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26" i="419" l="1"/>
  <c r="F25" i="419"/>
  <c r="D26" i="419"/>
  <c r="F28" i="419" l="1"/>
  <c r="F27" i="419"/>
  <c r="D25" i="419"/>
  <c r="F20" i="419"/>
  <c r="F19" i="419"/>
  <c r="F17" i="419"/>
  <c r="F16" i="419"/>
  <c r="F14" i="419"/>
  <c r="F13" i="419"/>
  <c r="F12" i="419"/>
  <c r="F11" i="419"/>
  <c r="AW3" i="418"/>
  <c r="AV3" i="418"/>
  <c r="AU3" i="418"/>
  <c r="AT3" i="418"/>
  <c r="AS3" i="418"/>
  <c r="AR3" i="418"/>
  <c r="AQ3" i="418"/>
  <c r="AP3" i="418"/>
  <c r="F18" i="419" l="1"/>
  <c r="B25" i="419"/>
  <c r="D27" i="419" l="1"/>
  <c r="B26" i="419"/>
  <c r="B27" i="419" s="1"/>
  <c r="D28" i="419"/>
  <c r="A7" i="414"/>
  <c r="F3" i="344" l="1"/>
  <c r="D3" i="344"/>
  <c r="B3" i="344"/>
  <c r="E21" i="419" l="1"/>
  <c r="D21" i="419"/>
  <c r="E20" i="419"/>
  <c r="D20" i="419"/>
  <c r="E19" i="419"/>
  <c r="D19" i="419"/>
  <c r="E17" i="419"/>
  <c r="D17" i="419"/>
  <c r="E16" i="419"/>
  <c r="D16" i="419"/>
  <c r="E14" i="419"/>
  <c r="D14" i="419"/>
  <c r="E13" i="419"/>
  <c r="D13" i="419"/>
  <c r="E12" i="419"/>
  <c r="D12" i="419"/>
  <c r="E11" i="419"/>
  <c r="D11" i="419"/>
  <c r="D18" i="419" l="1"/>
  <c r="D23" i="419"/>
  <c r="E23" i="419"/>
  <c r="E18" i="419"/>
  <c r="D22" i="419"/>
  <c r="E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5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F6" i="419" l="1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<sst xmlns="http://schemas.openxmlformats.org/spreadsheetml/2006/main" count="480" uniqueCount="274">
  <si>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</si>
  <si>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</si>
  <si>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</si>
  <si>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</si>
  <si>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</si>
  <si>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</si>
  <si>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</si>
  <si>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</si>
  <si>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</si>
  <si>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</si>
  <si>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</si>
  <si>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</si>
  <si>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</si>
  <si>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</si>
  <si>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</si>
  <si>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</si>
  <si>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</si>
  <si>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</si>
  <si>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</si>
  <si>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</si>
  <si>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</si>
  <si>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</si>
  <si>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</si>
  <si>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</si>
  <si>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</si>
  <si>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</si>
  <si>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</si>
  <si>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</si>
  <si>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</si>
  <si>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</si>
  <si>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</si>
  <si>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</si>
  <si>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</si>
  <si>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</si>
  <si>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</si>
  <si>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</si>
  <si>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</si>
  <si>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</si>
  <si>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</si>
  <si>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</si>
  <si>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</si>
  <si>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</si>
  <si>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</si>
  <si>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</si>
  <si>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</si>
  <si>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</si>
  <si>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</si>
  <si>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</si>
  <si>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</si>
  <si>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</si>
  <si>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</si>
  <si>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</si>
  <si>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</si>
  <si>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</si>
  <si>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</si>
  <si>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</si>
  <si>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</si>
  <si>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</si>
  <si>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</si>
  <si>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</si>
  <si>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</si>
  <si>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</si>
  <si>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</si>
  <si>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</si>
  <si>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</si>
  <si>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</si>
  <si>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</si>
  <si>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</si>
  <si>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</si>
  <si>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</si>
  <si>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</si>
  <si>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</si>
  <si>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</si>
  <si>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</si>
  <si>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</si>
  <si>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</si>
  <si>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</si>
  <si>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</si>
  <si>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</si>
  <si>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</si>
  <si>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</si>
  <si>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</si>
  <si>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</si>
  <si>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</si>
  <si>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</si>
  <si>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</si>
  <si>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</si>
  <si>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</si>
  <si>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</si>
  <si>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</si>
  <si>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</si>
  <si>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</si>
  <si>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</si>
  <si>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</si>
  <si>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</si>
  <si>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</si>
  <si>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</si>
  <si>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</si>
  <si>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</si>
  <si>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</si>
  <si>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</si>
  <si>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</si>
  <si>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</si>
  <si>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</si>
  <si>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</si>
  <si>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</si>
  <si>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</si>
  <si>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</si>
  <si>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</si>
  <si>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</si>
  <si>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</si>
  <si>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</si>
  <si>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</si>
  <si>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</si>
  <si>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</si>
  <si>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</si>
  <si>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</si>
  <si>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</si>
  <si>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</si>
  <si>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</si>
  <si>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</si>
  <si>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</si>
  <si>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</si>
  <si>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</si>
  <si>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</si>
  <si>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</si>
  <si>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</si>
  <si>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</si>
  <si>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</si>
  <si>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</si>
  <si>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</si>
  <si>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</si>
  <si>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</si>
  <si>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</si>
  <si>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</si>
  <si>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</si>
  <si>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</si>
  <si>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</si>
  <si>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</si>
  <si>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</si>
  <si>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</si>
  <si>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</si>
  <si>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</si>
  <si>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</si>
  <si>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</si>
  <si>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</si>
  <si>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</si>
  <si>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</si>
  <si>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</si>
  <si>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</si>
  <si>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</si>
  <si>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</si>
  <si>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</si>
  <si>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</si>
  <si>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</si>
  <si>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</si>
  <si>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</si>
  <si>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</si>
  <si>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</si>
  <si>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</si>
  <si>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</si>
  <si>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</si>
  <si>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</si>
  <si>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</si>
  <si>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</si>
  <si>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</si>
  <si>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</si>
  <si>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</si>
  <si>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</si>
  <si>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</si>
  <si>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</si>
  <si>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</si>
  <si>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</si>
  <si>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</si>
  <si>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</si>
  <si>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</si>
  <si>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</si>
  <si>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</si>
  <si>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</si>
  <si>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</si>
  <si>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</si>
  <si>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</si>
  <si>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</si>
  <si>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</si>
  <si>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</si>
  <si>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</si>
  <si>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</si>
  <si>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</si>
  <si>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</si>
  <si>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</si>
  <si>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</si>
  <si>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</si>
  <si>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</si>
  <si>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</si>
  <si>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</si>
  <si>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</si>
  <si>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</si>
  <si>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</si>
  <si>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</si>
  <si>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</si>
  <si>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</si>
  <si>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</si>
  <si>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</si>
  <si>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</si>
  <si>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</si>
  <si>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</si>
  <si>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</si>
  <si>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</si>
  <si>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</si>
  <si>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</si>
  <si>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</si>
  <si>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</si>
  <si>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</si>
  <si>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</si>
  <si>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</si>
  <si>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</si>
  <si>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</si>
  <si>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</si>
  <si>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</si>
  <si>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</si>
  <si>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</si>
  <si>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</si>
  <si>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</si>
  <si>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</si>
  <si>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</si>
  <si>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</si>
  <si>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</si>
  <si>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</si>
  <si>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</si>
  <si>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</si>
  <si>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</si>
  <si>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</si>
  <si>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</si>
  <si>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</si>
  <si>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</si>
  <si>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</si>
  <si>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</si>
  <si>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</si>
  <si>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</si>
  <si>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</si>
  <si>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</si>
  <si>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</si>
  <si>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</si>
  <si>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</si>
  <si>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</si>
  <si>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</si>
  <si>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</si>
  <si>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</si>
  <si>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</si>
  <si>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</si>
  <si>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</si>
  <si>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</si>
  <si>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07 - Klinika anesteziologie, resuscitace a intenzivní medicíny</t>
  </si>
  <si>
    <t>10 - Dětská klinika</t>
  </si>
  <si>
    <t>14 - Oční klinika</t>
  </si>
  <si>
    <t>17 - Neurologická klinika</t>
  </si>
  <si>
    <t>21 - Onkologická klinika</t>
  </si>
  <si>
    <t>30 - Oddělení geriatrie</t>
  </si>
  <si>
    <t>50 - Kardiochirurgická klinika</t>
  </si>
  <si>
    <t>59 - Oddělení intenzivní péče chirurgických oborů</t>
  </si>
  <si>
    <t>01</t>
  </si>
  <si>
    <t>02</t>
  </si>
  <si>
    <t>26023</t>
  </si>
  <si>
    <t>KONTROLNÍ VYŠETŘENÍ KLINICKÝM FARMAKOLOGEM</t>
  </si>
  <si>
    <t>03</t>
  </si>
  <si>
    <t>07</t>
  </si>
  <si>
    <t>10</t>
  </si>
  <si>
    <t>14</t>
  </si>
  <si>
    <t>17</t>
  </si>
  <si>
    <t>21</t>
  </si>
  <si>
    <t>30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</si>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</sst>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4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5" xfId="0" applyFont="1" applyFill="1" applyBorder="1" applyAlignment="1"/>
    <xf numFmtId="0" fontId="39" fillId="2" borderId="67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5" xfId="0" applyFont="1" applyFill="1" applyBorder="1" applyAlignment="1"/>
    <xf numFmtId="0" fontId="39" fillId="4" borderId="67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7" xfId="0" quotePrefix="1" applyFont="1" applyFill="1" applyBorder="1" applyAlignment="1">
      <alignment horizontal="left" indent="2"/>
    </xf>
    <xf numFmtId="0" fontId="32" fillId="2" borderId="72" xfId="0" quotePrefix="1" applyFont="1" applyFill="1" applyBorder="1" applyAlignment="1">
      <alignment horizontal="left" indent="2"/>
    </xf>
    <xf numFmtId="0" fontId="39" fillId="2" borderId="65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4" fillId="2" borderId="77" xfId="0" applyNumberFormat="1" applyFont="1" applyFill="1" applyBorder="1" applyAlignment="1">
      <alignment horizontal="center" vertical="center" wrapText="1"/>
    </xf>
    <xf numFmtId="173" fontId="39" fillId="4" borderId="66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8" xfId="0" applyNumberFormat="1" applyFont="1" applyBorder="1"/>
    <xf numFmtId="173" fontId="32" fillId="0" borderId="70" xfId="0" applyNumberFormat="1" applyFont="1" applyBorder="1"/>
    <xf numFmtId="173" fontId="39" fillId="0" borderId="76" xfId="0" applyNumberFormat="1" applyFont="1" applyBorder="1"/>
    <xf numFmtId="173" fontId="32" fillId="0" borderId="63" xfId="0" applyNumberFormat="1" applyFont="1" applyBorder="1"/>
    <xf numFmtId="173" fontId="39" fillId="2" borderId="78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3" xfId="0" applyNumberFormat="1" applyFont="1" applyBorder="1"/>
    <xf numFmtId="173" fontId="32" fillId="0" borderId="74" xfId="0" applyNumberFormat="1" applyFont="1" applyBorder="1"/>
    <xf numFmtId="173" fontId="39" fillId="0" borderId="66" xfId="0" applyNumberFormat="1" applyFont="1" applyBorder="1"/>
    <xf numFmtId="173" fontId="32" fillId="0" borderId="61" xfId="0" applyNumberFormat="1" applyFont="1" applyBorder="1"/>
    <xf numFmtId="174" fontId="39" fillId="2" borderId="66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8" xfId="0" applyNumberFormat="1" applyFont="1" applyBorder="1"/>
    <xf numFmtId="174" fontId="32" fillId="0" borderId="70" xfId="0" applyNumberFormat="1" applyFont="1" applyBorder="1"/>
    <xf numFmtId="174" fontId="39" fillId="0" borderId="73" xfId="0" applyNumberFormat="1" applyFont="1" applyBorder="1"/>
    <xf numFmtId="174" fontId="32" fillId="0" borderId="74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6" xfId="0" applyNumberFormat="1" applyFont="1" applyFill="1" applyBorder="1" applyAlignment="1">
      <alignment horizontal="center"/>
    </xf>
    <xf numFmtId="175" fontId="39" fillId="0" borderId="73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0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8" xfId="0" applyNumberFormat="1" applyFont="1" applyBorder="1"/>
    <xf numFmtId="9" fontId="32" fillId="0" borderId="70" xfId="0" applyNumberFormat="1" applyFont="1" applyBorder="1"/>
    <xf numFmtId="0" fontId="40" fillId="0" borderId="80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2"/>
    </xf>
    <xf numFmtId="0" fontId="38" fillId="10" borderId="90" xfId="0" applyFont="1" applyFill="1" applyBorder="1" applyAlignment="1">
      <alignment vertical="top" indent="4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99" xfId="0" applyBorder="1" applyAlignment="1">
      <alignment horizontal="center"/>
    </xf>
    <xf numFmtId="0" fontId="0" fillId="0" borderId="100" xfId="0" applyBorder="1" applyAlignment="1">
      <alignment horizontal="right"/>
    </xf>
    <xf numFmtId="0" fontId="0" fillId="0" borderId="100" xfId="0" applyBorder="1" applyAlignment="1">
      <alignment horizontal="right" wrapText="1"/>
    </xf>
    <xf numFmtId="0" fontId="0" fillId="0" borderId="101" xfId="0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4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03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03" xfId="0" applyNumberFormat="1" applyFont="1" applyBorder="1"/>
    <xf numFmtId="173" fontId="32" fillId="0" borderId="83" xfId="0" applyNumberFormat="1" applyFont="1" applyBorder="1"/>
    <xf numFmtId="173" fontId="39" fillId="4" borderId="104" xfId="0" applyNumberFormat="1" applyFont="1" applyFill="1" applyBorder="1" applyAlignment="1">
      <alignment horizontal="center"/>
    </xf>
    <xf numFmtId="173" fontId="32" fillId="0" borderId="105" xfId="0" applyNumberFormat="1" applyFont="1" applyBorder="1" applyAlignment="1">
      <alignment horizontal="right"/>
    </xf>
    <xf numFmtId="175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0" fontId="0" fillId="0" borderId="102" xfId="0" applyBorder="1"/>
    <xf numFmtId="173" fontId="39" fillId="4" borderId="107" xfId="0" applyNumberFormat="1" applyFont="1" applyFill="1" applyBorder="1" applyAlignment="1">
      <alignment horizontal="center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32" xfId="0" applyBorder="1" applyAlignment="1"/>
    <xf numFmtId="0" fontId="0" fillId="0" borderId="67" xfId="0" applyBorder="1" applyAlignment="1">
      <alignment horizontal="right"/>
    </xf>
    <xf numFmtId="0" fontId="0" fillId="0" borderId="75" xfId="0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1" xfId="0" applyNumberFormat="1" applyFont="1" applyFill="1" applyBorder="1"/>
    <xf numFmtId="0" fontId="32" fillId="0" borderId="61" xfId="0" applyFont="1" applyFill="1" applyBorder="1"/>
    <xf numFmtId="9" fontId="32" fillId="0" borderId="61" xfId="0" applyNumberFormat="1" applyFont="1" applyFill="1" applyBorder="1"/>
    <xf numFmtId="0" fontId="32" fillId="0" borderId="69" xfId="0" applyFont="1" applyFill="1" applyBorder="1"/>
    <xf numFmtId="169" fontId="32" fillId="0" borderId="70" xfId="0" applyNumberFormat="1" applyFont="1" applyFill="1" applyBorder="1"/>
    <xf numFmtId="0" fontId="32" fillId="0" borderId="70" xfId="0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0" fontId="32" fillId="0" borderId="62" xfId="0" applyFont="1" applyFill="1" applyBorder="1"/>
    <xf numFmtId="169" fontId="32" fillId="0" borderId="63" xfId="0" applyNumberFormat="1" applyFont="1" applyFill="1" applyBorder="1"/>
    <xf numFmtId="0" fontId="32" fillId="0" borderId="63" xfId="0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0" fontId="39" fillId="0" borderId="23" xfId="0" applyFont="1" applyFill="1" applyBorder="1"/>
    <xf numFmtId="0" fontId="39" fillId="0" borderId="69" xfId="0" applyFont="1" applyFill="1" applyBorder="1"/>
    <xf numFmtId="0" fontId="39" fillId="0" borderId="62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1" xfId="0" applyNumberFormat="1" applyFont="1" applyFill="1" applyBorder="1"/>
    <xf numFmtId="3" fontId="32" fillId="0" borderId="24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39888"/>
        <c:axId val="-11138366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1.109108828475707E-3</c:v>
                </c:pt>
                <c:pt idx="1">
                  <c:v>1.109108828475707E-3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8320656"/>
        <c:axId val="-1238322288"/>
      </c:scatterChart>
      <c:catAx>
        <c:axId val="-111383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3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3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39888"/>
        <c:crosses val="autoZero"/>
        <c:crossBetween val="between"/>
      </c:valAx>
      <c:valAx>
        <c:axId val="-12383206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8322288"/>
        <c:crosses val="max"/>
        <c:crossBetween val="midCat"/>
      </c:valAx>
      <c:valAx>
        <c:axId val="-12383222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83206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49" t="s">
        <v>84</v>
      </c>
      <c r="B1" s="249"/>
    </row>
    <row r="2" spans="1:3" ht="14.4" customHeight="1" thickBot="1" x14ac:dyDescent="0.35">
      <c r="A2" s="191" t="s">
        <v>183</v>
      </c>
      <c r="B2" s="41"/>
    </row>
    <row r="3" spans="1:3" ht="14.4" customHeight="1" thickBot="1" x14ac:dyDescent="0.35">
      <c r="A3" s="245" t="s">
        <v>101</v>
      </c>
      <c r="B3" s="246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185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47" t="s">
        <v>85</v>
      </c>
      <c r="B10" s="246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48" t="s">
        <v>86</v>
      </c>
      <c r="B13" s="246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237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243</v>
      </c>
      <c r="C15" s="42" t="s">
        <v>154</v>
      </c>
    </row>
    <row r="16" spans="1:3" ht="14.4" customHeight="1" x14ac:dyDescent="0.3">
      <c r="A16" s="116" t="str">
        <f t="shared" si="2"/>
        <v>ZV Vykáz.-A Detail</v>
      </c>
      <c r="B16" s="65" t="s">
        <v>248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273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77" t="s">
        <v>243</v>
      </c>
      <c r="B1" s="249"/>
      <c r="C1" s="249"/>
      <c r="D1" s="249"/>
      <c r="E1" s="249"/>
      <c r="F1" s="249"/>
      <c r="G1" s="249"/>
    </row>
    <row r="2" spans="1:7" ht="14.4" customHeight="1" thickBot="1" x14ac:dyDescent="0.35">
      <c r="A2" s="191" t="s">
        <v>183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39">
        <f t="shared" ref="B3:G3" si="0">SUBTOTAL(9,B6:B1048576)</f>
        <v>1</v>
      </c>
      <c r="C3" s="240">
        <f t="shared" si="0"/>
        <v>0</v>
      </c>
      <c r="D3" s="240">
        <f t="shared" si="0"/>
        <v>0</v>
      </c>
      <c r="E3" s="181">
        <f t="shared" si="0"/>
        <v>327</v>
      </c>
      <c r="F3" s="179">
        <f t="shared" si="0"/>
        <v>0</v>
      </c>
      <c r="G3" s="241">
        <f t="shared" si="0"/>
        <v>0</v>
      </c>
    </row>
    <row r="4" spans="1:7" ht="14.4" customHeight="1" x14ac:dyDescent="0.3">
      <c r="A4" s="278" t="s">
        <v>99</v>
      </c>
      <c r="B4" s="279" t="s">
        <v>153</v>
      </c>
      <c r="C4" s="280"/>
      <c r="D4" s="280"/>
      <c r="E4" s="282" t="s">
        <v>75</v>
      </c>
      <c r="F4" s="283"/>
      <c r="G4" s="284"/>
    </row>
    <row r="5" spans="1:7" ht="14.4" customHeight="1" thickBot="1" x14ac:dyDescent="0.35">
      <c r="A5" s="353"/>
      <c r="B5" s="354">
        <v>2014</v>
      </c>
      <c r="C5" s="355">
        <v>2015</v>
      </c>
      <c r="D5" s="355">
        <v>2016</v>
      </c>
      <c r="E5" s="354">
        <v>2014</v>
      </c>
      <c r="F5" s="355">
        <v>2015</v>
      </c>
      <c r="G5" s="355">
        <v>2016</v>
      </c>
    </row>
    <row r="6" spans="1:7" ht="14.4" customHeight="1" thickBot="1" x14ac:dyDescent="0.35">
      <c r="A6" s="360" t="s">
        <v>242</v>
      </c>
      <c r="B6" s="363">
        <v>1</v>
      </c>
      <c r="C6" s="363"/>
      <c r="D6" s="363"/>
      <c r="E6" s="358">
        <v>327</v>
      </c>
      <c r="F6" s="358"/>
      <c r="G6" s="364"/>
    </row>
    <row r="7" spans="1:7" ht="14.4" customHeight="1" x14ac:dyDescent="0.3">
      <c r="A7" s="361" t="s">
        <v>239</v>
      </c>
    </row>
    <row r="8" spans="1:7" ht="14.4" customHeight="1" x14ac:dyDescent="0.3">
      <c r="A8" s="362" t="s">
        <v>240</v>
      </c>
    </row>
    <row r="9" spans="1:7" ht="14.4" customHeight="1" x14ac:dyDescent="0.3">
      <c r="A9" s="361" t="s">
        <v>241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49" t="s">
        <v>248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17" ht="14.4" customHeight="1" thickBot="1" x14ac:dyDescent="0.35">
      <c r="A2" s="191" t="s">
        <v>183</v>
      </c>
      <c r="B2" s="244"/>
      <c r="C2" s="103"/>
      <c r="D2" s="238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0</v>
      </c>
      <c r="K3" s="75">
        <f t="shared" si="0"/>
        <v>0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286" t="s">
        <v>71</v>
      </c>
      <c r="B4" s="293" t="s">
        <v>0</v>
      </c>
      <c r="C4" s="287" t="s">
        <v>72</v>
      </c>
      <c r="D4" s="292" t="s">
        <v>47</v>
      </c>
      <c r="E4" s="288" t="s">
        <v>46</v>
      </c>
      <c r="F4" s="289">
        <v>2014</v>
      </c>
      <c r="G4" s="290"/>
      <c r="H4" s="73"/>
      <c r="I4" s="73"/>
      <c r="J4" s="289">
        <v>2015</v>
      </c>
      <c r="K4" s="290"/>
      <c r="L4" s="73"/>
      <c r="M4" s="73"/>
      <c r="N4" s="289">
        <v>2016</v>
      </c>
      <c r="O4" s="290"/>
      <c r="P4" s="291" t="s">
        <v>1</v>
      </c>
      <c r="Q4" s="285" t="s">
        <v>74</v>
      </c>
    </row>
    <row r="5" spans="1:17" ht="14.4" customHeight="1" thickBot="1" x14ac:dyDescent="0.35">
      <c r="A5" s="365"/>
      <c r="B5" s="366"/>
      <c r="C5" s="367"/>
      <c r="D5" s="368"/>
      <c r="E5" s="369"/>
      <c r="F5" s="370" t="s">
        <v>48</v>
      </c>
      <c r="G5" s="371" t="s">
        <v>4</v>
      </c>
      <c r="H5" s="372"/>
      <c r="I5" s="372"/>
      <c r="J5" s="370" t="s">
        <v>48</v>
      </c>
      <c r="K5" s="371" t="s">
        <v>4</v>
      </c>
      <c r="L5" s="372"/>
      <c r="M5" s="372"/>
      <c r="N5" s="370" t="s">
        <v>48</v>
      </c>
      <c r="O5" s="371" t="s">
        <v>4</v>
      </c>
      <c r="P5" s="373"/>
      <c r="Q5" s="374"/>
    </row>
    <row r="6" spans="1:17" ht="14.4" customHeight="1" thickBot="1" x14ac:dyDescent="0.35">
      <c r="A6" s="357" t="s">
        <v>244</v>
      </c>
      <c r="B6" s="359" t="s">
        <v>238</v>
      </c>
      <c r="C6" s="359" t="s">
        <v>245</v>
      </c>
      <c r="D6" s="359" t="s">
        <v>246</v>
      </c>
      <c r="E6" s="359" t="s">
        <v>247</v>
      </c>
      <c r="F6" s="363">
        <v>1</v>
      </c>
      <c r="G6" s="363">
        <v>327</v>
      </c>
      <c r="H6" s="359">
        <v>1</v>
      </c>
      <c r="I6" s="359">
        <v>327</v>
      </c>
      <c r="J6" s="363"/>
      <c r="K6" s="363"/>
      <c r="L6" s="359"/>
      <c r="M6" s="359"/>
      <c r="N6" s="363"/>
      <c r="O6" s="363"/>
      <c r="P6" s="235"/>
      <c r="Q6" s="375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58" t="s">
        <v>97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</row>
    <row r="2" spans="1:19" ht="14.4" customHeight="1" thickBot="1" x14ac:dyDescent="0.35">
      <c r="A2" s="191" t="s">
        <v>183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4577</v>
      </c>
      <c r="C3" s="179">
        <f t="shared" ref="C3:R3" si="0">SUBTOTAL(9,C6:C1048576)</f>
        <v>6</v>
      </c>
      <c r="D3" s="179">
        <f t="shared" si="0"/>
        <v>8274</v>
      </c>
      <c r="E3" s="179">
        <f t="shared" si="0"/>
        <v>15.775966097852724</v>
      </c>
      <c r="F3" s="179">
        <f t="shared" si="0"/>
        <v>6549</v>
      </c>
      <c r="G3" s="182">
        <f>IF(B3&lt;&gt;0,F3/B3,"")</f>
        <v>1.4308499016823246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78" t="s">
        <v>81</v>
      </c>
      <c r="B4" s="279" t="s">
        <v>75</v>
      </c>
      <c r="C4" s="280"/>
      <c r="D4" s="280"/>
      <c r="E4" s="280"/>
      <c r="F4" s="280"/>
      <c r="G4" s="281"/>
      <c r="H4" s="279" t="s">
        <v>76</v>
      </c>
      <c r="I4" s="280"/>
      <c r="J4" s="280"/>
      <c r="K4" s="280"/>
      <c r="L4" s="280"/>
      <c r="M4" s="281"/>
      <c r="N4" s="279" t="s">
        <v>77</v>
      </c>
      <c r="O4" s="280"/>
      <c r="P4" s="280"/>
      <c r="Q4" s="280"/>
      <c r="R4" s="280"/>
      <c r="S4" s="281"/>
    </row>
    <row r="5" spans="1:19" ht="14.4" customHeight="1" thickBot="1" x14ac:dyDescent="0.35">
      <c r="A5" s="353"/>
      <c r="B5" s="354">
        <v>2014</v>
      </c>
      <c r="C5" s="355"/>
      <c r="D5" s="355">
        <v>2015</v>
      </c>
      <c r="E5" s="355"/>
      <c r="F5" s="355">
        <v>2016</v>
      </c>
      <c r="G5" s="356" t="s">
        <v>1</v>
      </c>
      <c r="H5" s="354">
        <v>2014</v>
      </c>
      <c r="I5" s="355"/>
      <c r="J5" s="355">
        <v>2015</v>
      </c>
      <c r="K5" s="355"/>
      <c r="L5" s="355">
        <v>2016</v>
      </c>
      <c r="M5" s="356" t="s">
        <v>1</v>
      </c>
      <c r="N5" s="354">
        <v>2014</v>
      </c>
      <c r="O5" s="355"/>
      <c r="P5" s="355">
        <v>2015</v>
      </c>
      <c r="Q5" s="355"/>
      <c r="R5" s="355">
        <v>2016</v>
      </c>
      <c r="S5" s="356" t="s">
        <v>1</v>
      </c>
    </row>
    <row r="6" spans="1:19" ht="14.4" customHeight="1" x14ac:dyDescent="0.3">
      <c r="A6" s="390" t="s">
        <v>249</v>
      </c>
      <c r="B6" s="377"/>
      <c r="C6" s="378"/>
      <c r="D6" s="377">
        <v>331</v>
      </c>
      <c r="E6" s="378"/>
      <c r="F6" s="377">
        <v>708</v>
      </c>
      <c r="G6" s="379"/>
      <c r="H6" s="377"/>
      <c r="I6" s="378"/>
      <c r="J6" s="377"/>
      <c r="K6" s="378"/>
      <c r="L6" s="377"/>
      <c r="M6" s="379"/>
      <c r="N6" s="377"/>
      <c r="O6" s="378"/>
      <c r="P6" s="377"/>
      <c r="Q6" s="378"/>
      <c r="R6" s="377"/>
      <c r="S6" s="94"/>
    </row>
    <row r="7" spans="1:19" ht="14.4" customHeight="1" x14ac:dyDescent="0.3">
      <c r="A7" s="391" t="s">
        <v>250</v>
      </c>
      <c r="B7" s="381">
        <v>2779</v>
      </c>
      <c r="C7" s="382">
        <v>1</v>
      </c>
      <c r="D7" s="381">
        <v>1655</v>
      </c>
      <c r="E7" s="382">
        <v>0.59553796329614972</v>
      </c>
      <c r="F7" s="381">
        <v>531</v>
      </c>
      <c r="G7" s="383">
        <v>0.19107592659229938</v>
      </c>
      <c r="H7" s="381"/>
      <c r="I7" s="382"/>
      <c r="J7" s="381"/>
      <c r="K7" s="382"/>
      <c r="L7" s="381"/>
      <c r="M7" s="383"/>
      <c r="N7" s="381"/>
      <c r="O7" s="382"/>
      <c r="P7" s="381"/>
      <c r="Q7" s="382"/>
      <c r="R7" s="381"/>
      <c r="S7" s="384"/>
    </row>
    <row r="8" spans="1:19" ht="14.4" customHeight="1" x14ac:dyDescent="0.3">
      <c r="A8" s="391" t="s">
        <v>251</v>
      </c>
      <c r="B8" s="381">
        <v>327</v>
      </c>
      <c r="C8" s="382">
        <v>1</v>
      </c>
      <c r="D8" s="381">
        <v>3971</v>
      </c>
      <c r="E8" s="382">
        <v>12.143730886850152</v>
      </c>
      <c r="F8" s="381">
        <v>1593</v>
      </c>
      <c r="G8" s="383">
        <v>4.8715596330275233</v>
      </c>
      <c r="H8" s="381"/>
      <c r="I8" s="382"/>
      <c r="J8" s="381"/>
      <c r="K8" s="382"/>
      <c r="L8" s="381"/>
      <c r="M8" s="383"/>
      <c r="N8" s="381"/>
      <c r="O8" s="382"/>
      <c r="P8" s="381"/>
      <c r="Q8" s="382"/>
      <c r="R8" s="381"/>
      <c r="S8" s="384"/>
    </row>
    <row r="9" spans="1:19" ht="14.4" customHeight="1" x14ac:dyDescent="0.3">
      <c r="A9" s="391" t="s">
        <v>252</v>
      </c>
      <c r="B9" s="381"/>
      <c r="C9" s="382"/>
      <c r="D9" s="381">
        <v>993</v>
      </c>
      <c r="E9" s="382"/>
      <c r="F9" s="381">
        <v>1062</v>
      </c>
      <c r="G9" s="383"/>
      <c r="H9" s="381"/>
      <c r="I9" s="382"/>
      <c r="J9" s="381"/>
      <c r="K9" s="382"/>
      <c r="L9" s="381"/>
      <c r="M9" s="383"/>
      <c r="N9" s="381"/>
      <c r="O9" s="382"/>
      <c r="P9" s="381"/>
      <c r="Q9" s="382"/>
      <c r="R9" s="381"/>
      <c r="S9" s="384"/>
    </row>
    <row r="10" spans="1:19" ht="14.4" customHeight="1" x14ac:dyDescent="0.3">
      <c r="A10" s="391" t="s">
        <v>253</v>
      </c>
      <c r="B10" s="381">
        <v>490</v>
      </c>
      <c r="C10" s="382">
        <v>1</v>
      </c>
      <c r="D10" s="381"/>
      <c r="E10" s="382"/>
      <c r="F10" s="381">
        <v>1416</v>
      </c>
      <c r="G10" s="383">
        <v>2.8897959183673469</v>
      </c>
      <c r="H10" s="381"/>
      <c r="I10" s="382"/>
      <c r="J10" s="381"/>
      <c r="K10" s="382"/>
      <c r="L10" s="381"/>
      <c r="M10" s="383"/>
      <c r="N10" s="381"/>
      <c r="O10" s="382"/>
      <c r="P10" s="381"/>
      <c r="Q10" s="382"/>
      <c r="R10" s="381"/>
      <c r="S10" s="384"/>
    </row>
    <row r="11" spans="1:19" ht="14.4" customHeight="1" x14ac:dyDescent="0.3">
      <c r="A11" s="391" t="s">
        <v>254</v>
      </c>
      <c r="B11" s="381"/>
      <c r="C11" s="382"/>
      <c r="D11" s="381">
        <v>331</v>
      </c>
      <c r="E11" s="382"/>
      <c r="F11" s="381">
        <v>354</v>
      </c>
      <c r="G11" s="383"/>
      <c r="H11" s="381"/>
      <c r="I11" s="382"/>
      <c r="J11" s="381"/>
      <c r="K11" s="382"/>
      <c r="L11" s="381"/>
      <c r="M11" s="383"/>
      <c r="N11" s="381"/>
      <c r="O11" s="382"/>
      <c r="P11" s="381"/>
      <c r="Q11" s="382"/>
      <c r="R11" s="381"/>
      <c r="S11" s="384"/>
    </row>
    <row r="12" spans="1:19" ht="14.4" customHeight="1" x14ac:dyDescent="0.3">
      <c r="A12" s="391" t="s">
        <v>255</v>
      </c>
      <c r="B12" s="381"/>
      <c r="C12" s="382"/>
      <c r="D12" s="381"/>
      <c r="E12" s="382"/>
      <c r="F12" s="381">
        <v>354</v>
      </c>
      <c r="G12" s="383"/>
      <c r="H12" s="381"/>
      <c r="I12" s="382"/>
      <c r="J12" s="381"/>
      <c r="K12" s="382"/>
      <c r="L12" s="381"/>
      <c r="M12" s="383"/>
      <c r="N12" s="381"/>
      <c r="O12" s="382"/>
      <c r="P12" s="381"/>
      <c r="Q12" s="382"/>
      <c r="R12" s="381"/>
      <c r="S12" s="384"/>
    </row>
    <row r="13" spans="1:19" ht="14.4" customHeight="1" x14ac:dyDescent="0.3">
      <c r="A13" s="391" t="s">
        <v>256</v>
      </c>
      <c r="B13" s="381">
        <v>327</v>
      </c>
      <c r="C13" s="382">
        <v>1</v>
      </c>
      <c r="D13" s="381"/>
      <c r="E13" s="382"/>
      <c r="F13" s="381"/>
      <c r="G13" s="383"/>
      <c r="H13" s="381"/>
      <c r="I13" s="382"/>
      <c r="J13" s="381"/>
      <c r="K13" s="382"/>
      <c r="L13" s="381"/>
      <c r="M13" s="383"/>
      <c r="N13" s="381"/>
      <c r="O13" s="382"/>
      <c r="P13" s="381"/>
      <c r="Q13" s="382"/>
      <c r="R13" s="381"/>
      <c r="S13" s="384"/>
    </row>
    <row r="14" spans="1:19" ht="14.4" customHeight="1" x14ac:dyDescent="0.3">
      <c r="A14" s="391" t="s">
        <v>257</v>
      </c>
      <c r="B14" s="381">
        <v>327</v>
      </c>
      <c r="C14" s="382">
        <v>1</v>
      </c>
      <c r="D14" s="381">
        <v>993</v>
      </c>
      <c r="E14" s="382">
        <v>3.0366972477064218</v>
      </c>
      <c r="F14" s="381"/>
      <c r="G14" s="383"/>
      <c r="H14" s="381"/>
      <c r="I14" s="382"/>
      <c r="J14" s="381"/>
      <c r="K14" s="382"/>
      <c r="L14" s="381"/>
      <c r="M14" s="383"/>
      <c r="N14" s="381"/>
      <c r="O14" s="382"/>
      <c r="P14" s="381"/>
      <c r="Q14" s="382"/>
      <c r="R14" s="381"/>
      <c r="S14" s="384"/>
    </row>
    <row r="15" spans="1:19" ht="14.4" customHeight="1" x14ac:dyDescent="0.3">
      <c r="A15" s="391" t="s">
        <v>258</v>
      </c>
      <c r="B15" s="381"/>
      <c r="C15" s="382"/>
      <c r="D15" s="381"/>
      <c r="E15" s="382"/>
      <c r="F15" s="381">
        <v>531</v>
      </c>
      <c r="G15" s="383"/>
      <c r="H15" s="381"/>
      <c r="I15" s="382"/>
      <c r="J15" s="381"/>
      <c r="K15" s="382"/>
      <c r="L15" s="381"/>
      <c r="M15" s="383"/>
      <c r="N15" s="381"/>
      <c r="O15" s="382"/>
      <c r="P15" s="381"/>
      <c r="Q15" s="382"/>
      <c r="R15" s="381"/>
      <c r="S15" s="384"/>
    </row>
    <row r="16" spans="1:19" ht="14.4" customHeight="1" thickBot="1" x14ac:dyDescent="0.35">
      <c r="A16" s="392" t="s">
        <v>259</v>
      </c>
      <c r="B16" s="386">
        <v>327</v>
      </c>
      <c r="C16" s="387">
        <v>1</v>
      </c>
      <c r="D16" s="386"/>
      <c r="E16" s="387"/>
      <c r="F16" s="386"/>
      <c r="G16" s="388"/>
      <c r="H16" s="386"/>
      <c r="I16" s="387"/>
      <c r="J16" s="386"/>
      <c r="K16" s="387"/>
      <c r="L16" s="386"/>
      <c r="M16" s="388"/>
      <c r="N16" s="386"/>
      <c r="O16" s="387"/>
      <c r="P16" s="386"/>
      <c r="Q16" s="387"/>
      <c r="R16" s="386"/>
      <c r="S16" s="38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49" t="s">
        <v>273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17" ht="14.4" customHeight="1" thickBot="1" x14ac:dyDescent="0.35">
      <c r="A2" s="191" t="s">
        <v>183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15</v>
      </c>
      <c r="G3" s="75">
        <f t="shared" si="0"/>
        <v>4577</v>
      </c>
      <c r="H3" s="75"/>
      <c r="I3" s="75"/>
      <c r="J3" s="75">
        <f t="shared" si="0"/>
        <v>26</v>
      </c>
      <c r="K3" s="75">
        <f t="shared" si="0"/>
        <v>8274</v>
      </c>
      <c r="L3" s="75"/>
      <c r="M3" s="75"/>
      <c r="N3" s="75">
        <f t="shared" si="0"/>
        <v>22</v>
      </c>
      <c r="O3" s="75">
        <f t="shared" si="0"/>
        <v>6549</v>
      </c>
      <c r="P3" s="58">
        <f>IF(G3=0,0,O3/G3)</f>
        <v>1.4308499016823246</v>
      </c>
      <c r="Q3" s="76">
        <f>IF(N3=0,0,O3/N3)</f>
        <v>297.68181818181819</v>
      </c>
    </row>
    <row r="4" spans="1:17" ht="14.4" customHeight="1" x14ac:dyDescent="0.3">
      <c r="A4" s="287" t="s">
        <v>45</v>
      </c>
      <c r="B4" s="286" t="s">
        <v>71</v>
      </c>
      <c r="C4" s="287" t="s">
        <v>72</v>
      </c>
      <c r="D4" s="296" t="s">
        <v>73</v>
      </c>
      <c r="E4" s="288" t="s">
        <v>46</v>
      </c>
      <c r="F4" s="294">
        <v>2014</v>
      </c>
      <c r="G4" s="295"/>
      <c r="H4" s="77"/>
      <c r="I4" s="77"/>
      <c r="J4" s="294">
        <v>2015</v>
      </c>
      <c r="K4" s="295"/>
      <c r="L4" s="77"/>
      <c r="M4" s="77"/>
      <c r="N4" s="294">
        <v>2016</v>
      </c>
      <c r="O4" s="295"/>
      <c r="P4" s="297" t="s">
        <v>1</v>
      </c>
      <c r="Q4" s="285" t="s">
        <v>74</v>
      </c>
    </row>
    <row r="5" spans="1:17" ht="14.4" customHeight="1" thickBot="1" x14ac:dyDescent="0.35">
      <c r="A5" s="367"/>
      <c r="B5" s="365"/>
      <c r="C5" s="367"/>
      <c r="D5" s="393"/>
      <c r="E5" s="369"/>
      <c r="F5" s="394" t="s">
        <v>48</v>
      </c>
      <c r="G5" s="395" t="s">
        <v>4</v>
      </c>
      <c r="H5" s="396"/>
      <c r="I5" s="396"/>
      <c r="J5" s="394" t="s">
        <v>48</v>
      </c>
      <c r="K5" s="395" t="s">
        <v>4</v>
      </c>
      <c r="L5" s="396"/>
      <c r="M5" s="396"/>
      <c r="N5" s="394" t="s">
        <v>48</v>
      </c>
      <c r="O5" s="395" t="s">
        <v>4</v>
      </c>
      <c r="P5" s="397"/>
      <c r="Q5" s="374"/>
    </row>
    <row r="6" spans="1:17" ht="14.4" customHeight="1" x14ac:dyDescent="0.3">
      <c r="A6" s="376" t="s">
        <v>260</v>
      </c>
      <c r="B6" s="378" t="s">
        <v>244</v>
      </c>
      <c r="C6" s="378" t="s">
        <v>245</v>
      </c>
      <c r="D6" s="378" t="s">
        <v>246</v>
      </c>
      <c r="E6" s="378" t="s">
        <v>247</v>
      </c>
      <c r="F6" s="398"/>
      <c r="G6" s="398"/>
      <c r="H6" s="398"/>
      <c r="I6" s="398"/>
      <c r="J6" s="398">
        <v>1</v>
      </c>
      <c r="K6" s="398">
        <v>331</v>
      </c>
      <c r="L6" s="398"/>
      <c r="M6" s="398">
        <v>331</v>
      </c>
      <c r="N6" s="398">
        <v>2</v>
      </c>
      <c r="O6" s="398">
        <v>708</v>
      </c>
      <c r="P6" s="379"/>
      <c r="Q6" s="399">
        <v>354</v>
      </c>
    </row>
    <row r="7" spans="1:17" ht="14.4" customHeight="1" x14ac:dyDescent="0.3">
      <c r="A7" s="380" t="s">
        <v>261</v>
      </c>
      <c r="B7" s="382" t="s">
        <v>244</v>
      </c>
      <c r="C7" s="382" t="s">
        <v>245</v>
      </c>
      <c r="D7" s="382" t="s">
        <v>246</v>
      </c>
      <c r="E7" s="382" t="s">
        <v>247</v>
      </c>
      <c r="F7" s="400">
        <v>8</v>
      </c>
      <c r="G7" s="400">
        <v>2616</v>
      </c>
      <c r="H7" s="400">
        <v>1</v>
      </c>
      <c r="I7" s="400">
        <v>327</v>
      </c>
      <c r="J7" s="400">
        <v>5</v>
      </c>
      <c r="K7" s="400">
        <v>1655</v>
      </c>
      <c r="L7" s="400">
        <v>0.63264525993883791</v>
      </c>
      <c r="M7" s="400">
        <v>331</v>
      </c>
      <c r="N7" s="400">
        <v>1</v>
      </c>
      <c r="O7" s="400">
        <v>354</v>
      </c>
      <c r="P7" s="383">
        <v>0.13532110091743119</v>
      </c>
      <c r="Q7" s="401">
        <v>354</v>
      </c>
    </row>
    <row r="8" spans="1:17" ht="14.4" customHeight="1" x14ac:dyDescent="0.3">
      <c r="A8" s="380" t="s">
        <v>261</v>
      </c>
      <c r="B8" s="382" t="s">
        <v>244</v>
      </c>
      <c r="C8" s="382" t="s">
        <v>245</v>
      </c>
      <c r="D8" s="382" t="s">
        <v>262</v>
      </c>
      <c r="E8" s="382" t="s">
        <v>263</v>
      </c>
      <c r="F8" s="400">
        <v>1</v>
      </c>
      <c r="G8" s="400">
        <v>163</v>
      </c>
      <c r="H8" s="400">
        <v>1</v>
      </c>
      <c r="I8" s="400">
        <v>163</v>
      </c>
      <c r="J8" s="400"/>
      <c r="K8" s="400"/>
      <c r="L8" s="400"/>
      <c r="M8" s="400"/>
      <c r="N8" s="400">
        <v>1</v>
      </c>
      <c r="O8" s="400">
        <v>177</v>
      </c>
      <c r="P8" s="383">
        <v>1.0858895705521472</v>
      </c>
      <c r="Q8" s="401">
        <v>177</v>
      </c>
    </row>
    <row r="9" spans="1:17" ht="14.4" customHeight="1" x14ac:dyDescent="0.3">
      <c r="A9" s="380" t="s">
        <v>264</v>
      </c>
      <c r="B9" s="382" t="s">
        <v>244</v>
      </c>
      <c r="C9" s="382" t="s">
        <v>245</v>
      </c>
      <c r="D9" s="382" t="s">
        <v>246</v>
      </c>
      <c r="E9" s="382" t="s">
        <v>247</v>
      </c>
      <c r="F9" s="400">
        <v>1</v>
      </c>
      <c r="G9" s="400">
        <v>327</v>
      </c>
      <c r="H9" s="400">
        <v>1</v>
      </c>
      <c r="I9" s="400">
        <v>327</v>
      </c>
      <c r="J9" s="400">
        <v>11</v>
      </c>
      <c r="K9" s="400">
        <v>3641</v>
      </c>
      <c r="L9" s="400">
        <v>11.134556574923547</v>
      </c>
      <c r="M9" s="400">
        <v>331</v>
      </c>
      <c r="N9" s="400">
        <v>4</v>
      </c>
      <c r="O9" s="400">
        <v>1416</v>
      </c>
      <c r="P9" s="383">
        <v>4.330275229357798</v>
      </c>
      <c r="Q9" s="401">
        <v>354</v>
      </c>
    </row>
    <row r="10" spans="1:17" ht="14.4" customHeight="1" x14ac:dyDescent="0.3">
      <c r="A10" s="380" t="s">
        <v>264</v>
      </c>
      <c r="B10" s="382" t="s">
        <v>244</v>
      </c>
      <c r="C10" s="382" t="s">
        <v>245</v>
      </c>
      <c r="D10" s="382" t="s">
        <v>262</v>
      </c>
      <c r="E10" s="382" t="s">
        <v>263</v>
      </c>
      <c r="F10" s="400"/>
      <c r="G10" s="400"/>
      <c r="H10" s="400"/>
      <c r="I10" s="400"/>
      <c r="J10" s="400">
        <v>2</v>
      </c>
      <c r="K10" s="400">
        <v>330</v>
      </c>
      <c r="L10" s="400"/>
      <c r="M10" s="400">
        <v>165</v>
      </c>
      <c r="N10" s="400">
        <v>1</v>
      </c>
      <c r="O10" s="400">
        <v>177</v>
      </c>
      <c r="P10" s="383"/>
      <c r="Q10" s="401">
        <v>177</v>
      </c>
    </row>
    <row r="11" spans="1:17" ht="14.4" customHeight="1" x14ac:dyDescent="0.3">
      <c r="A11" s="380" t="s">
        <v>265</v>
      </c>
      <c r="B11" s="382" t="s">
        <v>244</v>
      </c>
      <c r="C11" s="382" t="s">
        <v>245</v>
      </c>
      <c r="D11" s="382" t="s">
        <v>246</v>
      </c>
      <c r="E11" s="382" t="s">
        <v>247</v>
      </c>
      <c r="F11" s="400"/>
      <c r="G11" s="400"/>
      <c r="H11" s="400"/>
      <c r="I11" s="400"/>
      <c r="J11" s="400">
        <v>3</v>
      </c>
      <c r="K11" s="400">
        <v>993</v>
      </c>
      <c r="L11" s="400"/>
      <c r="M11" s="400">
        <v>331</v>
      </c>
      <c r="N11" s="400">
        <v>2</v>
      </c>
      <c r="O11" s="400">
        <v>708</v>
      </c>
      <c r="P11" s="383"/>
      <c r="Q11" s="401">
        <v>354</v>
      </c>
    </row>
    <row r="12" spans="1:17" ht="14.4" customHeight="1" x14ac:dyDescent="0.3">
      <c r="A12" s="380" t="s">
        <v>265</v>
      </c>
      <c r="B12" s="382" t="s">
        <v>244</v>
      </c>
      <c r="C12" s="382" t="s">
        <v>245</v>
      </c>
      <c r="D12" s="382" t="s">
        <v>262</v>
      </c>
      <c r="E12" s="382" t="s">
        <v>263</v>
      </c>
      <c r="F12" s="400"/>
      <c r="G12" s="400"/>
      <c r="H12" s="400"/>
      <c r="I12" s="400"/>
      <c r="J12" s="400"/>
      <c r="K12" s="400"/>
      <c r="L12" s="400"/>
      <c r="M12" s="400"/>
      <c r="N12" s="400">
        <v>2</v>
      </c>
      <c r="O12" s="400">
        <v>354</v>
      </c>
      <c r="P12" s="383"/>
      <c r="Q12" s="401">
        <v>177</v>
      </c>
    </row>
    <row r="13" spans="1:17" ht="14.4" customHeight="1" x14ac:dyDescent="0.3">
      <c r="A13" s="380" t="s">
        <v>266</v>
      </c>
      <c r="B13" s="382" t="s">
        <v>244</v>
      </c>
      <c r="C13" s="382" t="s">
        <v>245</v>
      </c>
      <c r="D13" s="382" t="s">
        <v>246</v>
      </c>
      <c r="E13" s="382" t="s">
        <v>247</v>
      </c>
      <c r="F13" s="400">
        <v>1</v>
      </c>
      <c r="G13" s="400">
        <v>327</v>
      </c>
      <c r="H13" s="400">
        <v>1</v>
      </c>
      <c r="I13" s="400">
        <v>327</v>
      </c>
      <c r="J13" s="400"/>
      <c r="K13" s="400"/>
      <c r="L13" s="400"/>
      <c r="M13" s="400"/>
      <c r="N13" s="400">
        <v>3</v>
      </c>
      <c r="O13" s="400">
        <v>1062</v>
      </c>
      <c r="P13" s="383">
        <v>3.2477064220183487</v>
      </c>
      <c r="Q13" s="401">
        <v>354</v>
      </c>
    </row>
    <row r="14" spans="1:17" ht="14.4" customHeight="1" x14ac:dyDescent="0.3">
      <c r="A14" s="380" t="s">
        <v>266</v>
      </c>
      <c r="B14" s="382" t="s">
        <v>244</v>
      </c>
      <c r="C14" s="382" t="s">
        <v>245</v>
      </c>
      <c r="D14" s="382" t="s">
        <v>262</v>
      </c>
      <c r="E14" s="382" t="s">
        <v>263</v>
      </c>
      <c r="F14" s="400">
        <v>1</v>
      </c>
      <c r="G14" s="400">
        <v>163</v>
      </c>
      <c r="H14" s="400">
        <v>1</v>
      </c>
      <c r="I14" s="400">
        <v>163</v>
      </c>
      <c r="J14" s="400"/>
      <c r="K14" s="400"/>
      <c r="L14" s="400"/>
      <c r="M14" s="400"/>
      <c r="N14" s="400">
        <v>2</v>
      </c>
      <c r="O14" s="400">
        <v>354</v>
      </c>
      <c r="P14" s="383">
        <v>2.1717791411042944</v>
      </c>
      <c r="Q14" s="401">
        <v>177</v>
      </c>
    </row>
    <row r="15" spans="1:17" ht="14.4" customHeight="1" x14ac:dyDescent="0.3">
      <c r="A15" s="380" t="s">
        <v>267</v>
      </c>
      <c r="B15" s="382" t="s">
        <v>244</v>
      </c>
      <c r="C15" s="382" t="s">
        <v>245</v>
      </c>
      <c r="D15" s="382" t="s">
        <v>246</v>
      </c>
      <c r="E15" s="382" t="s">
        <v>247</v>
      </c>
      <c r="F15" s="400"/>
      <c r="G15" s="400"/>
      <c r="H15" s="400"/>
      <c r="I15" s="400"/>
      <c r="J15" s="400">
        <v>1</v>
      </c>
      <c r="K15" s="400">
        <v>331</v>
      </c>
      <c r="L15" s="400"/>
      <c r="M15" s="400">
        <v>331</v>
      </c>
      <c r="N15" s="400">
        <v>1</v>
      </c>
      <c r="O15" s="400">
        <v>354</v>
      </c>
      <c r="P15" s="383"/>
      <c r="Q15" s="401">
        <v>354</v>
      </c>
    </row>
    <row r="16" spans="1:17" ht="14.4" customHeight="1" x14ac:dyDescent="0.3">
      <c r="A16" s="380" t="s">
        <v>268</v>
      </c>
      <c r="B16" s="382" t="s">
        <v>244</v>
      </c>
      <c r="C16" s="382" t="s">
        <v>245</v>
      </c>
      <c r="D16" s="382" t="s">
        <v>246</v>
      </c>
      <c r="E16" s="382" t="s">
        <v>247</v>
      </c>
      <c r="F16" s="400"/>
      <c r="G16" s="400"/>
      <c r="H16" s="400"/>
      <c r="I16" s="400"/>
      <c r="J16" s="400"/>
      <c r="K16" s="400"/>
      <c r="L16" s="400"/>
      <c r="M16" s="400"/>
      <c r="N16" s="400">
        <v>1</v>
      </c>
      <c r="O16" s="400">
        <v>354</v>
      </c>
      <c r="P16" s="383"/>
      <c r="Q16" s="401">
        <v>354</v>
      </c>
    </row>
    <row r="17" spans="1:17" ht="14.4" customHeight="1" x14ac:dyDescent="0.3">
      <c r="A17" s="380" t="s">
        <v>269</v>
      </c>
      <c r="B17" s="382" t="s">
        <v>244</v>
      </c>
      <c r="C17" s="382" t="s">
        <v>245</v>
      </c>
      <c r="D17" s="382" t="s">
        <v>246</v>
      </c>
      <c r="E17" s="382" t="s">
        <v>247</v>
      </c>
      <c r="F17" s="400">
        <v>1</v>
      </c>
      <c r="G17" s="400">
        <v>327</v>
      </c>
      <c r="H17" s="400">
        <v>1</v>
      </c>
      <c r="I17" s="400">
        <v>327</v>
      </c>
      <c r="J17" s="400"/>
      <c r="K17" s="400"/>
      <c r="L17" s="400"/>
      <c r="M17" s="400"/>
      <c r="N17" s="400"/>
      <c r="O17" s="400"/>
      <c r="P17" s="383"/>
      <c r="Q17" s="401"/>
    </row>
    <row r="18" spans="1:17" ht="14.4" customHeight="1" x14ac:dyDescent="0.3">
      <c r="A18" s="380" t="s">
        <v>270</v>
      </c>
      <c r="B18" s="382" t="s">
        <v>244</v>
      </c>
      <c r="C18" s="382" t="s">
        <v>245</v>
      </c>
      <c r="D18" s="382" t="s">
        <v>246</v>
      </c>
      <c r="E18" s="382" t="s">
        <v>247</v>
      </c>
      <c r="F18" s="400">
        <v>1</v>
      </c>
      <c r="G18" s="400">
        <v>327</v>
      </c>
      <c r="H18" s="400">
        <v>1</v>
      </c>
      <c r="I18" s="400">
        <v>327</v>
      </c>
      <c r="J18" s="400">
        <v>3</v>
      </c>
      <c r="K18" s="400">
        <v>993</v>
      </c>
      <c r="L18" s="400">
        <v>3.0366972477064218</v>
      </c>
      <c r="M18" s="400">
        <v>331</v>
      </c>
      <c r="N18" s="400"/>
      <c r="O18" s="400"/>
      <c r="P18" s="383"/>
      <c r="Q18" s="401"/>
    </row>
    <row r="19" spans="1:17" ht="14.4" customHeight="1" x14ac:dyDescent="0.3">
      <c r="A19" s="380" t="s">
        <v>271</v>
      </c>
      <c r="B19" s="382" t="s">
        <v>244</v>
      </c>
      <c r="C19" s="382" t="s">
        <v>245</v>
      </c>
      <c r="D19" s="382" t="s">
        <v>246</v>
      </c>
      <c r="E19" s="382" t="s">
        <v>247</v>
      </c>
      <c r="F19" s="400"/>
      <c r="G19" s="400"/>
      <c r="H19" s="400"/>
      <c r="I19" s="400"/>
      <c r="J19" s="400"/>
      <c r="K19" s="400"/>
      <c r="L19" s="400"/>
      <c r="M19" s="400"/>
      <c r="N19" s="400">
        <v>1</v>
      </c>
      <c r="O19" s="400">
        <v>354</v>
      </c>
      <c r="P19" s="383"/>
      <c r="Q19" s="401">
        <v>354</v>
      </c>
    </row>
    <row r="20" spans="1:17" ht="14.4" customHeight="1" x14ac:dyDescent="0.3">
      <c r="A20" s="380" t="s">
        <v>271</v>
      </c>
      <c r="B20" s="382" t="s">
        <v>244</v>
      </c>
      <c r="C20" s="382" t="s">
        <v>245</v>
      </c>
      <c r="D20" s="382" t="s">
        <v>262</v>
      </c>
      <c r="E20" s="382" t="s">
        <v>263</v>
      </c>
      <c r="F20" s="400"/>
      <c r="G20" s="400"/>
      <c r="H20" s="400"/>
      <c r="I20" s="400"/>
      <c r="J20" s="400"/>
      <c r="K20" s="400"/>
      <c r="L20" s="400"/>
      <c r="M20" s="400"/>
      <c r="N20" s="400">
        <v>1</v>
      </c>
      <c r="O20" s="400">
        <v>177</v>
      </c>
      <c r="P20" s="383"/>
      <c r="Q20" s="401">
        <v>177</v>
      </c>
    </row>
    <row r="21" spans="1:17" ht="14.4" customHeight="1" thickBot="1" x14ac:dyDescent="0.35">
      <c r="A21" s="385" t="s">
        <v>272</v>
      </c>
      <c r="B21" s="387" t="s">
        <v>244</v>
      </c>
      <c r="C21" s="387" t="s">
        <v>245</v>
      </c>
      <c r="D21" s="387" t="s">
        <v>246</v>
      </c>
      <c r="E21" s="387" t="s">
        <v>247</v>
      </c>
      <c r="F21" s="402">
        <v>1</v>
      </c>
      <c r="G21" s="402">
        <v>327</v>
      </c>
      <c r="H21" s="402">
        <v>1</v>
      </c>
      <c r="I21" s="402">
        <v>327</v>
      </c>
      <c r="J21" s="402"/>
      <c r="K21" s="402"/>
      <c r="L21" s="402"/>
      <c r="M21" s="402"/>
      <c r="N21" s="402"/>
      <c r="O21" s="402"/>
      <c r="P21" s="388"/>
      <c r="Q21" s="40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49" t="s">
        <v>91</v>
      </c>
      <c r="B1" s="249"/>
      <c r="C1" s="250"/>
      <c r="D1" s="250"/>
      <c r="E1" s="250"/>
    </row>
    <row r="2" spans="1:5" ht="14.4" customHeight="1" thickBot="1" x14ac:dyDescent="0.35">
      <c r="A2" s="191" t="s">
        <v>183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294.83130203679769</v>
      </c>
      <c r="D4" s="130">
        <f ca="1">IF(ISERROR(VLOOKUP("Náklady celkem",INDIRECT("HI!$A:$G"),5,0)),0,VLOOKUP("Náklady celkem",INDIRECT("HI!$A:$G"),5,0))</f>
        <v>259.00290999999999</v>
      </c>
      <c r="E4" s="131">
        <f ca="1">IF(C4=0,0,D4/C4)</f>
        <v>0.8784783305256848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294.35769854525603</v>
      </c>
      <c r="D12" s="134">
        <f ca="1">IF(ISERROR(VLOOKUP("Osobní náklady (Kč) *",INDIRECT("HI!$A:$G"),5,0)),0,VLOOKUP("Osobní náklady (Kč) *",INDIRECT("HI!$A:$G"),5,0))</f>
        <v>258.60185999999999</v>
      </c>
      <c r="E12" s="135">
        <f ca="1">IF(C12=0,0,D12/C12)</f>
        <v>0.87852929030915505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1.4308499016823246</v>
      </c>
      <c r="E17" s="135">
        <f t="shared" si="1"/>
        <v>1.6833528255086172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49" t="s">
        <v>100</v>
      </c>
      <c r="B1" s="249"/>
      <c r="C1" s="249"/>
      <c r="D1" s="249"/>
      <c r="E1" s="249"/>
      <c r="F1" s="249"/>
      <c r="G1" s="250"/>
      <c r="H1" s="250"/>
    </row>
    <row r="2" spans="1:8" ht="14.4" customHeight="1" thickBot="1" x14ac:dyDescent="0.35">
      <c r="A2" s="191" t="s">
        <v>183</v>
      </c>
      <c r="B2" s="83"/>
      <c r="C2" s="83"/>
      <c r="D2" s="83"/>
      <c r="E2" s="83"/>
      <c r="F2" s="83"/>
    </row>
    <row r="3" spans="1:8" ht="14.4" customHeight="1" x14ac:dyDescent="0.3">
      <c r="A3" s="251"/>
      <c r="B3" s="79">
        <v>2014</v>
      </c>
      <c r="C3" s="40">
        <v>2015</v>
      </c>
      <c r="D3" s="7"/>
      <c r="E3" s="255">
        <v>2016</v>
      </c>
      <c r="F3" s="256"/>
      <c r="G3" s="256"/>
      <c r="H3" s="257"/>
    </row>
    <row r="4" spans="1:8" ht="14.4" customHeight="1" thickBot="1" x14ac:dyDescent="0.35">
      <c r="A4" s="252"/>
      <c r="B4" s="253" t="s">
        <v>49</v>
      </c>
      <c r="C4" s="254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270.62441000000098</v>
      </c>
      <c r="C7" s="31">
        <v>241.12315999999998</v>
      </c>
      <c r="D7" s="8"/>
      <c r="E7" s="90">
        <v>258.60185999999999</v>
      </c>
      <c r="F7" s="30">
        <v>294.35769854525603</v>
      </c>
      <c r="G7" s="91">
        <f>E7-F7</f>
        <v>-35.75583854525604</v>
      </c>
      <c r="H7" s="95">
        <f>IF(F7&lt;0.00000001,"",E7/F7)</f>
        <v>0.87852929030915505</v>
      </c>
    </row>
    <row r="8" spans="1:8" ht="14.4" customHeight="1" thickBot="1" x14ac:dyDescent="0.35">
      <c r="A8" s="1" t="s">
        <v>52</v>
      </c>
      <c r="B8" s="11">
        <v>0</v>
      </c>
      <c r="C8" s="33">
        <v>0</v>
      </c>
      <c r="D8" s="8"/>
      <c r="E8" s="92">
        <v>0.40104999999999791</v>
      </c>
      <c r="F8" s="32">
        <v>0.4736034915416667</v>
      </c>
      <c r="G8" s="93">
        <f>E8-F8</f>
        <v>-7.2553491541668791E-2</v>
      </c>
      <c r="H8" s="96">
        <f>IF(F8&lt;0.00000001,"",E8/F8)</f>
        <v>0.84680541246540686</v>
      </c>
    </row>
    <row r="9" spans="1:8" ht="14.4" customHeight="1" thickBot="1" x14ac:dyDescent="0.35">
      <c r="A9" s="2" t="s">
        <v>53</v>
      </c>
      <c r="B9" s="3">
        <v>270.62441000000098</v>
      </c>
      <c r="C9" s="35">
        <v>241.12315999999998</v>
      </c>
      <c r="D9" s="8"/>
      <c r="E9" s="3">
        <v>259.00290999999999</v>
      </c>
      <c r="F9" s="34">
        <v>294.83130203679769</v>
      </c>
      <c r="G9" s="34">
        <f>E9-F9</f>
        <v>-35.828392036797709</v>
      </c>
      <c r="H9" s="97">
        <f>IF(F9&lt;0.00000001,"",E9/F9)</f>
        <v>0.8784783305256848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1.2083167220576993E-3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1.109108828475707E-3</v>
      </c>
      <c r="G15" s="38">
        <f>IF(ISERROR(F15-E15),"",E15-F15)</f>
        <v>-1.109108828475707E-3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30" t="s">
        <v>140</v>
      </c>
      <c r="B18" s="231"/>
      <c r="C18" s="231"/>
      <c r="D18" s="231"/>
      <c r="E18" s="231"/>
      <c r="F18" s="231"/>
      <c r="G18" s="231"/>
      <c r="H18" s="231"/>
    </row>
    <row r="19" spans="1:8" x14ac:dyDescent="0.3">
      <c r="A19" s="229" t="s">
        <v>139</v>
      </c>
      <c r="B19" s="231"/>
      <c r="C19" s="231"/>
      <c r="D19" s="231"/>
      <c r="E19" s="231"/>
      <c r="F19" s="231"/>
      <c r="G19" s="231"/>
      <c r="H19" s="231"/>
    </row>
    <row r="20" spans="1:8" ht="14.4" customHeight="1" x14ac:dyDescent="0.3">
      <c r="A20" s="86" t="s">
        <v>152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182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49" t="s">
        <v>80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3" ht="14.4" customHeight="1" x14ac:dyDescent="0.3">
      <c r="A2" s="191" t="s">
        <v>183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129.31088</v>
      </c>
      <c r="C5" s="170">
        <f>IF(ISERROR(VLOOKUP($A5,'Man Tab'!$A:$Q,COLUMN()+2,0)),0,VLOOKUP($A5,'Man Tab'!$A:$Q,COLUMN()+2,0))</f>
        <v>129.69202999999999</v>
      </c>
      <c r="D5" s="170">
        <f>IF(ISERROR(VLOOKUP($A5,'Man Tab'!$A:$Q,COLUMN()+2,0)),0,VLOOKUP($A5,'Man Tab'!$A:$Q,COLUMN()+2,0))</f>
        <v>0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129.31088</v>
      </c>
      <c r="C6" s="172">
        <f t="shared" ref="C6:M6" si="1">C5+B6</f>
        <v>259.00290999999999</v>
      </c>
      <c r="D6" s="172">
        <f t="shared" si="1"/>
        <v>259.00290999999999</v>
      </c>
      <c r="E6" s="172">
        <f t="shared" si="1"/>
        <v>259.00290999999999</v>
      </c>
      <c r="F6" s="172">
        <f t="shared" si="1"/>
        <v>259.00290999999999</v>
      </c>
      <c r="G6" s="172">
        <f t="shared" si="1"/>
        <v>259.00290999999999</v>
      </c>
      <c r="H6" s="172">
        <f t="shared" si="1"/>
        <v>259.00290999999999</v>
      </c>
      <c r="I6" s="172">
        <f t="shared" si="1"/>
        <v>259.00290999999999</v>
      </c>
      <c r="J6" s="172">
        <f t="shared" si="1"/>
        <v>259.00290999999999</v>
      </c>
      <c r="K6" s="172">
        <f t="shared" si="1"/>
        <v>259.00290999999999</v>
      </c>
      <c r="L6" s="172">
        <f t="shared" si="1"/>
        <v>259.00290999999999</v>
      </c>
      <c r="M6" s="172">
        <f t="shared" si="1"/>
        <v>259.00290999999999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1.109108828475707E-3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1.109108828475707E-3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58" t="s">
        <v>185</v>
      </c>
      <c r="B1" s="258"/>
      <c r="C1" s="258"/>
      <c r="D1" s="258"/>
      <c r="E1" s="258"/>
      <c r="F1" s="258"/>
      <c r="G1" s="258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17" s="173" customFormat="1" ht="14.4" customHeight="1" thickBot="1" x14ac:dyDescent="0.3">
      <c r="A2" s="191" t="s">
        <v>183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59" t="s">
        <v>5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110"/>
      <c r="Q3" s="112"/>
    </row>
    <row r="4" spans="1:17" ht="14.4" customHeight="1" x14ac:dyDescent="0.3">
      <c r="A4" s="60"/>
      <c r="B4" s="20">
        <v>2016</v>
      </c>
      <c r="C4" s="111" t="s">
        <v>6</v>
      </c>
      <c r="D4" s="101" t="s">
        <v>162</v>
      </c>
      <c r="E4" s="101" t="s">
        <v>163</v>
      </c>
      <c r="F4" s="101" t="s">
        <v>164</v>
      </c>
      <c r="G4" s="101" t="s">
        <v>165</v>
      </c>
      <c r="H4" s="101" t="s">
        <v>166</v>
      </c>
      <c r="I4" s="101" t="s">
        <v>167</v>
      </c>
      <c r="J4" s="101" t="s">
        <v>168</v>
      </c>
      <c r="K4" s="101" t="s">
        <v>169</v>
      </c>
      <c r="L4" s="101" t="s">
        <v>170</v>
      </c>
      <c r="M4" s="101" t="s">
        <v>171</v>
      </c>
      <c r="N4" s="101" t="s">
        <v>172</v>
      </c>
      <c r="O4" s="101" t="s">
        <v>173</v>
      </c>
      <c r="P4" s="261" t="s">
        <v>2</v>
      </c>
      <c r="Q4" s="262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184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184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184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184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184</v>
      </c>
    </row>
    <row r="11" spans="1:17" ht="14.4" customHeight="1" x14ac:dyDescent="0.3">
      <c r="A11" s="15" t="s">
        <v>15</v>
      </c>
      <c r="B11" s="46">
        <v>2.8065277050400002</v>
      </c>
      <c r="C11" s="47">
        <v>0.233877308753</v>
      </c>
      <c r="D11" s="47">
        <v>0</v>
      </c>
      <c r="E11" s="47">
        <v>0.41699999999999998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0.41699999999999998</v>
      </c>
      <c r="Q11" s="70">
        <v>0.89149307006800005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184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184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184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184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184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184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184</v>
      </c>
    </row>
    <row r="19" spans="1:17" ht="14.4" customHeight="1" x14ac:dyDescent="0.3">
      <c r="A19" s="15" t="s">
        <v>23</v>
      </c>
      <c r="B19" s="46">
        <v>3.5093244204999999E-2</v>
      </c>
      <c r="C19" s="47">
        <v>2.9244370170000001E-3</v>
      </c>
      <c r="D19" s="47">
        <v>-1.5949999999999999E-2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-1.5949999999999999E-2</v>
      </c>
      <c r="Q19" s="70">
        <v>-2.7270206037050002</v>
      </c>
    </row>
    <row r="20" spans="1:17" ht="14.4" customHeight="1" x14ac:dyDescent="0.3">
      <c r="A20" s="15" t="s">
        <v>24</v>
      </c>
      <c r="B20" s="46">
        <v>1766.1461912715399</v>
      </c>
      <c r="C20" s="47">
        <v>147.17884927262801</v>
      </c>
      <c r="D20" s="47">
        <v>129.32683</v>
      </c>
      <c r="E20" s="47">
        <v>129.27502999999999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258.60185999999999</v>
      </c>
      <c r="Q20" s="70">
        <v>0.87852929030899995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184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184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184</v>
      </c>
    </row>
    <row r="24" spans="1:17" ht="14.4" customHeight="1" x14ac:dyDescent="0.3">
      <c r="A24" s="16" t="s">
        <v>28</v>
      </c>
      <c r="B24" s="46">
        <v>0</v>
      </c>
      <c r="C24" s="47">
        <v>-2.8421709430404001E-14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70" t="s">
        <v>184</v>
      </c>
    </row>
    <row r="25" spans="1:17" ht="14.4" customHeight="1" x14ac:dyDescent="0.3">
      <c r="A25" s="17" t="s">
        <v>29</v>
      </c>
      <c r="B25" s="49">
        <v>1768.9878122207799</v>
      </c>
      <c r="C25" s="50">
        <v>147.41565101839899</v>
      </c>
      <c r="D25" s="50">
        <v>129.31088</v>
      </c>
      <c r="E25" s="50">
        <v>129.69202999999999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259.00290999999999</v>
      </c>
      <c r="Q25" s="71">
        <v>0.87847833052500002</v>
      </c>
    </row>
    <row r="26" spans="1:17" ht="14.4" customHeight="1" x14ac:dyDescent="0.3">
      <c r="A26" s="15" t="s">
        <v>30</v>
      </c>
      <c r="B26" s="46">
        <v>0</v>
      </c>
      <c r="C26" s="47">
        <v>0</v>
      </c>
      <c r="D26" s="47">
        <v>21.403030000000001</v>
      </c>
      <c r="E26" s="47">
        <v>20.362179999999999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41.765210000000003</v>
      </c>
      <c r="Q26" s="70" t="s">
        <v>184</v>
      </c>
    </row>
    <row r="27" spans="1:17" ht="14.4" customHeight="1" x14ac:dyDescent="0.3">
      <c r="A27" s="18" t="s">
        <v>31</v>
      </c>
      <c r="B27" s="49">
        <v>1768.9878122207799</v>
      </c>
      <c r="C27" s="50">
        <v>147.41565101839899</v>
      </c>
      <c r="D27" s="50">
        <v>150.71391</v>
      </c>
      <c r="E27" s="50">
        <v>150.05421000000001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300.76812000000001</v>
      </c>
      <c r="Q27" s="71">
        <v>1.020136321761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12.5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184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10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184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174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58" t="s">
        <v>37</v>
      </c>
      <c r="B1" s="258"/>
      <c r="C1" s="258"/>
      <c r="D1" s="258"/>
      <c r="E1" s="258"/>
      <c r="F1" s="258"/>
      <c r="G1" s="258"/>
      <c r="H1" s="263"/>
      <c r="I1" s="263"/>
      <c r="J1" s="263"/>
      <c r="K1" s="263"/>
    </row>
    <row r="2" spans="1:11" s="55" customFormat="1" ht="14.4" customHeight="1" thickBot="1" x14ac:dyDescent="0.35">
      <c r="A2" s="191" t="s">
        <v>183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59" t="s">
        <v>38</v>
      </c>
      <c r="C3" s="260"/>
      <c r="D3" s="260"/>
      <c r="E3" s="260"/>
      <c r="F3" s="266" t="s">
        <v>39</v>
      </c>
      <c r="G3" s="260"/>
      <c r="H3" s="260"/>
      <c r="I3" s="260"/>
      <c r="J3" s="260"/>
      <c r="K3" s="267"/>
    </row>
    <row r="4" spans="1:11" ht="14.4" customHeight="1" x14ac:dyDescent="0.3">
      <c r="A4" s="60"/>
      <c r="B4" s="264"/>
      <c r="C4" s="265"/>
      <c r="D4" s="265"/>
      <c r="E4" s="265"/>
      <c r="F4" s="268" t="s">
        <v>179</v>
      </c>
      <c r="G4" s="270" t="s">
        <v>40</v>
      </c>
      <c r="H4" s="113" t="s">
        <v>102</v>
      </c>
      <c r="I4" s="268" t="s">
        <v>41</v>
      </c>
      <c r="J4" s="270" t="s">
        <v>155</v>
      </c>
      <c r="K4" s="271" t="s">
        <v>181</v>
      </c>
    </row>
    <row r="5" spans="1:11" ht="42" thickBot="1" x14ac:dyDescent="0.35">
      <c r="A5" s="61"/>
      <c r="B5" s="24" t="s">
        <v>175</v>
      </c>
      <c r="C5" s="25" t="s">
        <v>176</v>
      </c>
      <c r="D5" s="26" t="s">
        <v>177</v>
      </c>
      <c r="E5" s="26" t="s">
        <v>178</v>
      </c>
      <c r="F5" s="269"/>
      <c r="G5" s="269"/>
      <c r="H5" s="25" t="s">
        <v>180</v>
      </c>
      <c r="I5" s="269"/>
      <c r="J5" s="269"/>
      <c r="K5" s="272"/>
    </row>
    <row r="6" spans="1:11" ht="14.4" customHeight="1" thickBot="1" x14ac:dyDescent="0.35">
      <c r="A6" s="316" t="s">
        <v>186</v>
      </c>
      <c r="B6" s="298">
        <v>1697.85664223972</v>
      </c>
      <c r="C6" s="298">
        <v>1755.3616999999999</v>
      </c>
      <c r="D6" s="299">
        <v>57.505057760283002</v>
      </c>
      <c r="E6" s="300">
        <v>1.033869206816</v>
      </c>
      <c r="F6" s="298">
        <v>1768.9878122207799</v>
      </c>
      <c r="G6" s="299">
        <v>294.83130203679701</v>
      </c>
      <c r="H6" s="301">
        <v>129.69202999999999</v>
      </c>
      <c r="I6" s="298">
        <v>259.00290999999999</v>
      </c>
      <c r="J6" s="299">
        <v>-35.828392036796998</v>
      </c>
      <c r="K6" s="302">
        <v>0.146413055087</v>
      </c>
    </row>
    <row r="7" spans="1:11" ht="14.4" customHeight="1" thickBot="1" x14ac:dyDescent="0.35">
      <c r="A7" s="317" t="s">
        <v>187</v>
      </c>
      <c r="B7" s="298">
        <v>4.3062894542860004</v>
      </c>
      <c r="C7" s="298">
        <v>3.9630899999999998</v>
      </c>
      <c r="D7" s="299">
        <v>-0.34319945428600002</v>
      </c>
      <c r="E7" s="300">
        <v>0.92030274371200005</v>
      </c>
      <c r="F7" s="298">
        <v>2.8065277050400002</v>
      </c>
      <c r="G7" s="299">
        <v>0.467754617506</v>
      </c>
      <c r="H7" s="301">
        <v>0.41699999999999998</v>
      </c>
      <c r="I7" s="298">
        <v>0.41699999999999998</v>
      </c>
      <c r="J7" s="299">
        <v>-5.0754617506000001E-2</v>
      </c>
      <c r="K7" s="302">
        <v>0.148582178344</v>
      </c>
    </row>
    <row r="8" spans="1:11" ht="14.4" customHeight="1" thickBot="1" x14ac:dyDescent="0.35">
      <c r="A8" s="318" t="s">
        <v>188</v>
      </c>
      <c r="B8" s="298">
        <v>4.3062894542860004</v>
      </c>
      <c r="C8" s="298">
        <v>3.9630899999999998</v>
      </c>
      <c r="D8" s="299">
        <v>-0.34319945428600002</v>
      </c>
      <c r="E8" s="300">
        <v>0.92030274371200005</v>
      </c>
      <c r="F8" s="298">
        <v>2.8065277050400002</v>
      </c>
      <c r="G8" s="299">
        <v>0.467754617506</v>
      </c>
      <c r="H8" s="301">
        <v>0.41699999999999998</v>
      </c>
      <c r="I8" s="298">
        <v>0.41699999999999998</v>
      </c>
      <c r="J8" s="299">
        <v>-5.0754617506000001E-2</v>
      </c>
      <c r="K8" s="302">
        <v>0.148582178344</v>
      </c>
    </row>
    <row r="9" spans="1:11" ht="14.4" customHeight="1" thickBot="1" x14ac:dyDescent="0.35">
      <c r="A9" s="319" t="s">
        <v>189</v>
      </c>
      <c r="B9" s="303">
        <v>4.3062894542860004</v>
      </c>
      <c r="C9" s="303">
        <v>2.4614600000000002</v>
      </c>
      <c r="D9" s="304">
        <v>-1.844829454286</v>
      </c>
      <c r="E9" s="305">
        <v>0.57159650463099998</v>
      </c>
      <c r="F9" s="303">
        <v>2.8065277050400002</v>
      </c>
      <c r="G9" s="304">
        <v>0.467754617506</v>
      </c>
      <c r="H9" s="306">
        <v>0.41699999999999998</v>
      </c>
      <c r="I9" s="303">
        <v>0.41699999999999998</v>
      </c>
      <c r="J9" s="304">
        <v>-5.0754617506000001E-2</v>
      </c>
      <c r="K9" s="307">
        <v>0.148582178344</v>
      </c>
    </row>
    <row r="10" spans="1:11" ht="14.4" customHeight="1" thickBot="1" x14ac:dyDescent="0.35">
      <c r="A10" s="320" t="s">
        <v>190</v>
      </c>
      <c r="B10" s="298">
        <v>0.31905168952099999</v>
      </c>
      <c r="C10" s="298">
        <v>0.84599999999999997</v>
      </c>
      <c r="D10" s="299">
        <v>0.52694831047799995</v>
      </c>
      <c r="E10" s="300">
        <v>2.651607961297</v>
      </c>
      <c r="F10" s="298">
        <v>0.78520902517400004</v>
      </c>
      <c r="G10" s="299">
        <v>0.13086817086200001</v>
      </c>
      <c r="H10" s="301">
        <v>0</v>
      </c>
      <c r="I10" s="298">
        <v>0</v>
      </c>
      <c r="J10" s="299">
        <v>-0.13086817086200001</v>
      </c>
      <c r="K10" s="302">
        <v>0</v>
      </c>
    </row>
    <row r="11" spans="1:11" ht="14.4" customHeight="1" thickBot="1" x14ac:dyDescent="0.35">
      <c r="A11" s="320" t="s">
        <v>191</v>
      </c>
      <c r="B11" s="298">
        <v>1</v>
      </c>
      <c r="C11" s="298">
        <v>0</v>
      </c>
      <c r="D11" s="299">
        <v>-1</v>
      </c>
      <c r="E11" s="300">
        <v>0</v>
      </c>
      <c r="F11" s="298">
        <v>0</v>
      </c>
      <c r="G11" s="299">
        <v>0</v>
      </c>
      <c r="H11" s="301">
        <v>0</v>
      </c>
      <c r="I11" s="298">
        <v>0</v>
      </c>
      <c r="J11" s="299">
        <v>0</v>
      </c>
      <c r="K11" s="302">
        <v>2</v>
      </c>
    </row>
    <row r="12" spans="1:11" ht="14.4" customHeight="1" thickBot="1" x14ac:dyDescent="0.35">
      <c r="A12" s="320" t="s">
        <v>192</v>
      </c>
      <c r="B12" s="298">
        <v>1</v>
      </c>
      <c r="C12" s="298">
        <v>0.48196</v>
      </c>
      <c r="D12" s="299">
        <v>-0.51803999999999994</v>
      </c>
      <c r="E12" s="300">
        <v>0.48196</v>
      </c>
      <c r="F12" s="298">
        <v>0.46065408785200002</v>
      </c>
      <c r="G12" s="299">
        <v>7.6775681307999999E-2</v>
      </c>
      <c r="H12" s="301">
        <v>0</v>
      </c>
      <c r="I12" s="298">
        <v>0</v>
      </c>
      <c r="J12" s="299">
        <v>-7.6775681307999999E-2</v>
      </c>
      <c r="K12" s="302">
        <v>0</v>
      </c>
    </row>
    <row r="13" spans="1:11" ht="14.4" customHeight="1" thickBot="1" x14ac:dyDescent="0.35">
      <c r="A13" s="320" t="s">
        <v>193</v>
      </c>
      <c r="B13" s="298">
        <v>0.98723776476500003</v>
      </c>
      <c r="C13" s="298">
        <v>0.90749999999999997</v>
      </c>
      <c r="D13" s="299">
        <v>-7.9737764764999997E-2</v>
      </c>
      <c r="E13" s="300">
        <v>0.91923144797300005</v>
      </c>
      <c r="F13" s="298">
        <v>1.196597522524</v>
      </c>
      <c r="G13" s="299">
        <v>0.19943292041999999</v>
      </c>
      <c r="H13" s="301">
        <v>0.41699999999999998</v>
      </c>
      <c r="I13" s="298">
        <v>0.41699999999999998</v>
      </c>
      <c r="J13" s="299">
        <v>0.21756707957900001</v>
      </c>
      <c r="K13" s="302">
        <v>0.34848810243200001</v>
      </c>
    </row>
    <row r="14" spans="1:11" ht="14.4" customHeight="1" thickBot="1" x14ac:dyDescent="0.35">
      <c r="A14" s="320" t="s">
        <v>194</v>
      </c>
      <c r="B14" s="298">
        <v>1</v>
      </c>
      <c r="C14" s="298">
        <v>0.22600000000000001</v>
      </c>
      <c r="D14" s="299">
        <v>-0.77400000000000002</v>
      </c>
      <c r="E14" s="300">
        <v>0.22600000000000001</v>
      </c>
      <c r="F14" s="298">
        <v>0.36406706948799999</v>
      </c>
      <c r="G14" s="299">
        <v>6.0677844914000002E-2</v>
      </c>
      <c r="H14" s="301">
        <v>0</v>
      </c>
      <c r="I14" s="298">
        <v>0</v>
      </c>
      <c r="J14" s="299">
        <v>-6.0677844914000002E-2</v>
      </c>
      <c r="K14" s="302">
        <v>0</v>
      </c>
    </row>
    <row r="15" spans="1:11" ht="14.4" customHeight="1" thickBot="1" x14ac:dyDescent="0.35">
      <c r="A15" s="319" t="s">
        <v>195</v>
      </c>
      <c r="B15" s="303">
        <v>0</v>
      </c>
      <c r="C15" s="303">
        <v>1.50163</v>
      </c>
      <c r="D15" s="304">
        <v>1.50163</v>
      </c>
      <c r="E15" s="308" t="s">
        <v>196</v>
      </c>
      <c r="F15" s="303">
        <v>0</v>
      </c>
      <c r="G15" s="304">
        <v>0</v>
      </c>
      <c r="H15" s="306">
        <v>0</v>
      </c>
      <c r="I15" s="303">
        <v>0</v>
      </c>
      <c r="J15" s="304">
        <v>0</v>
      </c>
      <c r="K15" s="309" t="s">
        <v>184</v>
      </c>
    </row>
    <row r="16" spans="1:11" ht="14.4" customHeight="1" thickBot="1" x14ac:dyDescent="0.35">
      <c r="A16" s="320" t="s">
        <v>197</v>
      </c>
      <c r="B16" s="298">
        <v>0</v>
      </c>
      <c r="C16" s="298">
        <v>1.50163</v>
      </c>
      <c r="D16" s="299">
        <v>1.50163</v>
      </c>
      <c r="E16" s="310" t="s">
        <v>196</v>
      </c>
      <c r="F16" s="298">
        <v>0</v>
      </c>
      <c r="G16" s="299">
        <v>0</v>
      </c>
      <c r="H16" s="301">
        <v>0</v>
      </c>
      <c r="I16" s="298">
        <v>0</v>
      </c>
      <c r="J16" s="299">
        <v>0</v>
      </c>
      <c r="K16" s="311" t="s">
        <v>184</v>
      </c>
    </row>
    <row r="17" spans="1:11" ht="14.4" customHeight="1" thickBot="1" x14ac:dyDescent="0.35">
      <c r="A17" s="321" t="s">
        <v>198</v>
      </c>
      <c r="B17" s="303">
        <v>6.8329062649999999E-3</v>
      </c>
      <c r="C17" s="303">
        <v>3.1910000000000001E-2</v>
      </c>
      <c r="D17" s="304">
        <v>2.5077093734000001E-2</v>
      </c>
      <c r="E17" s="305">
        <v>4.670047965158</v>
      </c>
      <c r="F17" s="303">
        <v>3.5093244204999999E-2</v>
      </c>
      <c r="G17" s="304">
        <v>5.8488740340000003E-3</v>
      </c>
      <c r="H17" s="306">
        <v>0</v>
      </c>
      <c r="I17" s="303">
        <v>-1.5949999999999999E-2</v>
      </c>
      <c r="J17" s="304">
        <v>-2.1798874034E-2</v>
      </c>
      <c r="K17" s="307">
        <v>-0.45450343394999998</v>
      </c>
    </row>
    <row r="18" spans="1:11" ht="14.4" customHeight="1" thickBot="1" x14ac:dyDescent="0.35">
      <c r="A18" s="318" t="s">
        <v>23</v>
      </c>
      <c r="B18" s="298">
        <v>6.8329062649999999E-3</v>
      </c>
      <c r="C18" s="298">
        <v>3.1910000000000001E-2</v>
      </c>
      <c r="D18" s="299">
        <v>2.5077093734000001E-2</v>
      </c>
      <c r="E18" s="300">
        <v>4.670047965158</v>
      </c>
      <c r="F18" s="298">
        <v>3.5093244204999999E-2</v>
      </c>
      <c r="G18" s="299">
        <v>5.8488740340000003E-3</v>
      </c>
      <c r="H18" s="301">
        <v>0</v>
      </c>
      <c r="I18" s="298">
        <v>-1.5949999999999999E-2</v>
      </c>
      <c r="J18" s="299">
        <v>-2.1798874034E-2</v>
      </c>
      <c r="K18" s="302">
        <v>-0.45450343394999998</v>
      </c>
    </row>
    <row r="19" spans="1:11" ht="14.4" customHeight="1" thickBot="1" x14ac:dyDescent="0.35">
      <c r="A19" s="319" t="s">
        <v>199</v>
      </c>
      <c r="B19" s="303">
        <v>6.8329062649999999E-3</v>
      </c>
      <c r="C19" s="303">
        <v>3.1910000000000001E-2</v>
      </c>
      <c r="D19" s="304">
        <v>2.5077093734000001E-2</v>
      </c>
      <c r="E19" s="305">
        <v>4.670047965158</v>
      </c>
      <c r="F19" s="303">
        <v>3.5093244204999999E-2</v>
      </c>
      <c r="G19" s="304">
        <v>5.8488740340000003E-3</v>
      </c>
      <c r="H19" s="306">
        <v>0</v>
      </c>
      <c r="I19" s="303">
        <v>-1.5949999999999999E-2</v>
      </c>
      <c r="J19" s="304">
        <v>-2.1798874034E-2</v>
      </c>
      <c r="K19" s="307">
        <v>-0.45450343394999998</v>
      </c>
    </row>
    <row r="20" spans="1:11" ht="14.4" customHeight="1" thickBot="1" x14ac:dyDescent="0.35">
      <c r="A20" s="320" t="s">
        <v>200</v>
      </c>
      <c r="B20" s="298">
        <v>6.8329062649999999E-3</v>
      </c>
      <c r="C20" s="298">
        <v>3.1910000000000001E-2</v>
      </c>
      <c r="D20" s="299">
        <v>2.5077093734000001E-2</v>
      </c>
      <c r="E20" s="300">
        <v>4.670047965158</v>
      </c>
      <c r="F20" s="298">
        <v>3.5093244204999999E-2</v>
      </c>
      <c r="G20" s="299">
        <v>5.8488740340000003E-3</v>
      </c>
      <c r="H20" s="301">
        <v>0</v>
      </c>
      <c r="I20" s="298">
        <v>-1.5949999999999999E-2</v>
      </c>
      <c r="J20" s="299">
        <v>-2.1798874034E-2</v>
      </c>
      <c r="K20" s="302">
        <v>-0.45450343394999998</v>
      </c>
    </row>
    <row r="21" spans="1:11" ht="14.4" customHeight="1" thickBot="1" x14ac:dyDescent="0.35">
      <c r="A21" s="317" t="s">
        <v>24</v>
      </c>
      <c r="B21" s="298">
        <v>1693.5435198791599</v>
      </c>
      <c r="C21" s="298">
        <v>1751.3667</v>
      </c>
      <c r="D21" s="299">
        <v>57.823180120836</v>
      </c>
      <c r="E21" s="300">
        <v>1.034143309246</v>
      </c>
      <c r="F21" s="298">
        <v>1766.1461912715399</v>
      </c>
      <c r="G21" s="299">
        <v>294.35769854525603</v>
      </c>
      <c r="H21" s="301">
        <v>129.27502999999999</v>
      </c>
      <c r="I21" s="298">
        <v>258.60185999999999</v>
      </c>
      <c r="J21" s="299">
        <v>-35.755838545255997</v>
      </c>
      <c r="K21" s="302">
        <v>0.14642154838400001</v>
      </c>
    </row>
    <row r="22" spans="1:11" ht="14.4" customHeight="1" thickBot="1" x14ac:dyDescent="0.35">
      <c r="A22" s="322" t="s">
        <v>201</v>
      </c>
      <c r="B22" s="303">
        <v>1254.12876931146</v>
      </c>
      <c r="C22" s="303">
        <v>1304.0340000000001</v>
      </c>
      <c r="D22" s="304">
        <v>49.905230688534999</v>
      </c>
      <c r="E22" s="305">
        <v>1.039792748487</v>
      </c>
      <c r="F22" s="303">
        <v>1304.14606391861</v>
      </c>
      <c r="G22" s="304">
        <v>217.35767731976901</v>
      </c>
      <c r="H22" s="306">
        <v>96.147000000000006</v>
      </c>
      <c r="I22" s="303">
        <v>192.334</v>
      </c>
      <c r="J22" s="304">
        <v>-25.023677319769</v>
      </c>
      <c r="K22" s="307">
        <v>0.147478879338</v>
      </c>
    </row>
    <row r="23" spans="1:11" ht="14.4" customHeight="1" thickBot="1" x14ac:dyDescent="0.35">
      <c r="A23" s="319" t="s">
        <v>202</v>
      </c>
      <c r="B23" s="303">
        <v>1249.9999606280301</v>
      </c>
      <c r="C23" s="303">
        <v>1303.653</v>
      </c>
      <c r="D23" s="304">
        <v>53.653039371970998</v>
      </c>
      <c r="E23" s="305">
        <v>1.0429224328490001</v>
      </c>
      <c r="F23" s="303">
        <v>1300.0003583523801</v>
      </c>
      <c r="G23" s="304">
        <v>216.66672639206399</v>
      </c>
      <c r="H23" s="306">
        <v>96.147000000000006</v>
      </c>
      <c r="I23" s="303">
        <v>192.334</v>
      </c>
      <c r="J23" s="304">
        <v>-24.332726392064</v>
      </c>
      <c r="K23" s="307">
        <v>0.14794918998600001</v>
      </c>
    </row>
    <row r="24" spans="1:11" ht="14.4" customHeight="1" thickBot="1" x14ac:dyDescent="0.35">
      <c r="A24" s="320" t="s">
        <v>203</v>
      </c>
      <c r="B24" s="298">
        <v>1249.9999606280301</v>
      </c>
      <c r="C24" s="298">
        <v>1303.653</v>
      </c>
      <c r="D24" s="299">
        <v>53.653039371970998</v>
      </c>
      <c r="E24" s="300">
        <v>1.0429224328490001</v>
      </c>
      <c r="F24" s="298">
        <v>1300.0003583523801</v>
      </c>
      <c r="G24" s="299">
        <v>216.66672639206399</v>
      </c>
      <c r="H24" s="301">
        <v>96.147000000000006</v>
      </c>
      <c r="I24" s="298">
        <v>192.334</v>
      </c>
      <c r="J24" s="299">
        <v>-24.332726392064</v>
      </c>
      <c r="K24" s="302">
        <v>0.14794918998600001</v>
      </c>
    </row>
    <row r="25" spans="1:11" ht="14.4" customHeight="1" thickBot="1" x14ac:dyDescent="0.35">
      <c r="A25" s="319" t="s">
        <v>204</v>
      </c>
      <c r="B25" s="303">
        <v>4.1288086834350004</v>
      </c>
      <c r="C25" s="303">
        <v>0.38100000000000001</v>
      </c>
      <c r="D25" s="304">
        <v>-3.7478086834350002</v>
      </c>
      <c r="E25" s="305">
        <v>9.2278434098000003E-2</v>
      </c>
      <c r="F25" s="303">
        <v>4.1457055662290001</v>
      </c>
      <c r="G25" s="304">
        <v>0.69095092770400002</v>
      </c>
      <c r="H25" s="306">
        <v>0</v>
      </c>
      <c r="I25" s="303">
        <v>0</v>
      </c>
      <c r="J25" s="304">
        <v>-0.69095092770400002</v>
      </c>
      <c r="K25" s="307">
        <v>0</v>
      </c>
    </row>
    <row r="26" spans="1:11" ht="14.4" customHeight="1" thickBot="1" x14ac:dyDescent="0.35">
      <c r="A26" s="320" t="s">
        <v>205</v>
      </c>
      <c r="B26" s="298">
        <v>4.1288086834350004</v>
      </c>
      <c r="C26" s="298">
        <v>0.38100000000000001</v>
      </c>
      <c r="D26" s="299">
        <v>-3.7478086834350002</v>
      </c>
      <c r="E26" s="300">
        <v>9.2278434098000003E-2</v>
      </c>
      <c r="F26" s="298">
        <v>4.1457055662290001</v>
      </c>
      <c r="G26" s="299">
        <v>0.69095092770400002</v>
      </c>
      <c r="H26" s="301">
        <v>0</v>
      </c>
      <c r="I26" s="298">
        <v>0</v>
      </c>
      <c r="J26" s="299">
        <v>-0.69095092770400002</v>
      </c>
      <c r="K26" s="302">
        <v>0</v>
      </c>
    </row>
    <row r="27" spans="1:11" ht="14.4" customHeight="1" thickBot="1" x14ac:dyDescent="0.35">
      <c r="A27" s="318" t="s">
        <v>206</v>
      </c>
      <c r="B27" s="298">
        <v>425.99998658203202</v>
      </c>
      <c r="C27" s="298">
        <v>434.29374999999999</v>
      </c>
      <c r="D27" s="299">
        <v>8.2937634179669999</v>
      </c>
      <c r="E27" s="300">
        <v>1.019468928824</v>
      </c>
      <c r="F27" s="298">
        <v>442.00012183981102</v>
      </c>
      <c r="G27" s="299">
        <v>73.666686973300997</v>
      </c>
      <c r="H27" s="301">
        <v>31.684999999999999</v>
      </c>
      <c r="I27" s="298">
        <v>63.383000000000003</v>
      </c>
      <c r="J27" s="299">
        <v>-10.283686973301</v>
      </c>
      <c r="K27" s="302">
        <v>0.143400412959</v>
      </c>
    </row>
    <row r="28" spans="1:11" ht="14.4" customHeight="1" thickBot="1" x14ac:dyDescent="0.35">
      <c r="A28" s="319" t="s">
        <v>207</v>
      </c>
      <c r="B28" s="303">
        <v>112.999996440774</v>
      </c>
      <c r="C28" s="303">
        <v>117.32599999999999</v>
      </c>
      <c r="D28" s="304">
        <v>4.3260035592259998</v>
      </c>
      <c r="E28" s="305">
        <v>1.0382832185440001</v>
      </c>
      <c r="F28" s="303">
        <v>117.000032251715</v>
      </c>
      <c r="G28" s="304">
        <v>19.500005375284999</v>
      </c>
      <c r="H28" s="306">
        <v>8.6539999999999999</v>
      </c>
      <c r="I28" s="303">
        <v>17.311</v>
      </c>
      <c r="J28" s="304">
        <v>-2.1890053752849998</v>
      </c>
      <c r="K28" s="307">
        <v>0.147957224172</v>
      </c>
    </row>
    <row r="29" spans="1:11" ht="14.4" customHeight="1" thickBot="1" x14ac:dyDescent="0.35">
      <c r="A29" s="320" t="s">
        <v>208</v>
      </c>
      <c r="B29" s="298">
        <v>112.999996440774</v>
      </c>
      <c r="C29" s="298">
        <v>117.32599999999999</v>
      </c>
      <c r="D29" s="299">
        <v>4.3260035592259998</v>
      </c>
      <c r="E29" s="300">
        <v>1.0382832185440001</v>
      </c>
      <c r="F29" s="298">
        <v>117.000032251715</v>
      </c>
      <c r="G29" s="299">
        <v>19.500005375284999</v>
      </c>
      <c r="H29" s="301">
        <v>8.6539999999999999</v>
      </c>
      <c r="I29" s="298">
        <v>17.311</v>
      </c>
      <c r="J29" s="299">
        <v>-2.1890053752849998</v>
      </c>
      <c r="K29" s="302">
        <v>0.147957224172</v>
      </c>
    </row>
    <row r="30" spans="1:11" ht="14.4" customHeight="1" thickBot="1" x14ac:dyDescent="0.35">
      <c r="A30" s="319" t="s">
        <v>209</v>
      </c>
      <c r="B30" s="303">
        <v>312.99999014125899</v>
      </c>
      <c r="C30" s="303">
        <v>316.96775000000002</v>
      </c>
      <c r="D30" s="304">
        <v>3.9677598587410001</v>
      </c>
      <c r="E30" s="305">
        <v>1.0126765494679999</v>
      </c>
      <c r="F30" s="303">
        <v>325.00008958809599</v>
      </c>
      <c r="G30" s="304">
        <v>54.166681598015998</v>
      </c>
      <c r="H30" s="306">
        <v>23.030999999999999</v>
      </c>
      <c r="I30" s="303">
        <v>46.072000000000003</v>
      </c>
      <c r="J30" s="304">
        <v>-8.0946815980160007</v>
      </c>
      <c r="K30" s="307">
        <v>0.141759960923</v>
      </c>
    </row>
    <row r="31" spans="1:11" ht="14.4" customHeight="1" thickBot="1" x14ac:dyDescent="0.35">
      <c r="A31" s="320" t="s">
        <v>210</v>
      </c>
      <c r="B31" s="298">
        <v>312.99999014125899</v>
      </c>
      <c r="C31" s="298">
        <v>316.96775000000002</v>
      </c>
      <c r="D31" s="299">
        <v>3.9677598587410001</v>
      </c>
      <c r="E31" s="300">
        <v>1.0126765494679999</v>
      </c>
      <c r="F31" s="298">
        <v>325.00008958809599</v>
      </c>
      <c r="G31" s="299">
        <v>54.166681598015998</v>
      </c>
      <c r="H31" s="301">
        <v>23.030999999999999</v>
      </c>
      <c r="I31" s="298">
        <v>46.072000000000003</v>
      </c>
      <c r="J31" s="299">
        <v>-8.0946815980160007</v>
      </c>
      <c r="K31" s="302">
        <v>0.141759960923</v>
      </c>
    </row>
    <row r="32" spans="1:11" ht="14.4" customHeight="1" thickBot="1" x14ac:dyDescent="0.35">
      <c r="A32" s="318" t="s">
        <v>211</v>
      </c>
      <c r="B32" s="298">
        <v>13.414763985666999</v>
      </c>
      <c r="C32" s="298">
        <v>13.03895</v>
      </c>
      <c r="D32" s="299">
        <v>-0.37581398566699997</v>
      </c>
      <c r="E32" s="300">
        <v>0.97198504676800002</v>
      </c>
      <c r="F32" s="298">
        <v>20.000005513112999</v>
      </c>
      <c r="G32" s="299">
        <v>3.3333342521849998</v>
      </c>
      <c r="H32" s="301">
        <v>1.44303</v>
      </c>
      <c r="I32" s="298">
        <v>2.8848600000000002</v>
      </c>
      <c r="J32" s="299">
        <v>-0.44847425218499998</v>
      </c>
      <c r="K32" s="302">
        <v>0.14424296023800001</v>
      </c>
    </row>
    <row r="33" spans="1:11" ht="14.4" customHeight="1" thickBot="1" x14ac:dyDescent="0.35">
      <c r="A33" s="319" t="s">
        <v>212</v>
      </c>
      <c r="B33" s="303">
        <v>13.414763985666999</v>
      </c>
      <c r="C33" s="303">
        <v>13.03895</v>
      </c>
      <c r="D33" s="304">
        <v>-0.37581398566699997</v>
      </c>
      <c r="E33" s="305">
        <v>0.97198504676800002</v>
      </c>
      <c r="F33" s="303">
        <v>20.000005513112999</v>
      </c>
      <c r="G33" s="304">
        <v>3.3333342521849998</v>
      </c>
      <c r="H33" s="306">
        <v>1.44303</v>
      </c>
      <c r="I33" s="303">
        <v>2.8848600000000002</v>
      </c>
      <c r="J33" s="304">
        <v>-0.44847425218499998</v>
      </c>
      <c r="K33" s="307">
        <v>0.14424296023800001</v>
      </c>
    </row>
    <row r="34" spans="1:11" ht="14.4" customHeight="1" thickBot="1" x14ac:dyDescent="0.35">
      <c r="A34" s="320" t="s">
        <v>213</v>
      </c>
      <c r="B34" s="298">
        <v>13.414763985666999</v>
      </c>
      <c r="C34" s="298">
        <v>13.03895</v>
      </c>
      <c r="D34" s="299">
        <v>-0.37581398566699997</v>
      </c>
      <c r="E34" s="300">
        <v>0.97198504676800002</v>
      </c>
      <c r="F34" s="298">
        <v>20.000005513112999</v>
      </c>
      <c r="G34" s="299">
        <v>3.3333342521849998</v>
      </c>
      <c r="H34" s="301">
        <v>1.44303</v>
      </c>
      <c r="I34" s="298">
        <v>2.8848600000000002</v>
      </c>
      <c r="J34" s="299">
        <v>-0.44847425218499998</v>
      </c>
      <c r="K34" s="302">
        <v>0.14424296023800001</v>
      </c>
    </row>
    <row r="35" spans="1:11" ht="14.4" customHeight="1" thickBot="1" x14ac:dyDescent="0.35">
      <c r="A35" s="316" t="s">
        <v>214</v>
      </c>
      <c r="B35" s="298">
        <v>44.000000000010999</v>
      </c>
      <c r="C35" s="298">
        <v>43.926810000000003</v>
      </c>
      <c r="D35" s="299">
        <v>-7.3190000010999998E-2</v>
      </c>
      <c r="E35" s="300">
        <v>0.99833659090799998</v>
      </c>
      <c r="F35" s="298">
        <v>46.162853441007002</v>
      </c>
      <c r="G35" s="299">
        <v>7.6938089068339997</v>
      </c>
      <c r="H35" s="301">
        <v>2.5688300000000002</v>
      </c>
      <c r="I35" s="298">
        <v>6.2987200000000003</v>
      </c>
      <c r="J35" s="299">
        <v>-1.395088906834</v>
      </c>
      <c r="K35" s="302">
        <v>0.13644563822399999</v>
      </c>
    </row>
    <row r="36" spans="1:11" ht="14.4" customHeight="1" thickBot="1" x14ac:dyDescent="0.35">
      <c r="A36" s="317" t="s">
        <v>215</v>
      </c>
      <c r="B36" s="298">
        <v>44.000000000010999</v>
      </c>
      <c r="C36" s="298">
        <v>42.480530000000002</v>
      </c>
      <c r="D36" s="299">
        <v>-1.519470000011</v>
      </c>
      <c r="E36" s="300">
        <v>0.96546659090800002</v>
      </c>
      <c r="F36" s="298">
        <v>45.000004512088999</v>
      </c>
      <c r="G36" s="299">
        <v>7.5000007520140004</v>
      </c>
      <c r="H36" s="301">
        <v>2.5688300000000002</v>
      </c>
      <c r="I36" s="298">
        <v>6.2987200000000003</v>
      </c>
      <c r="J36" s="299">
        <v>-1.2012807520140001</v>
      </c>
      <c r="K36" s="302">
        <v>0.13997154151999999</v>
      </c>
    </row>
    <row r="37" spans="1:11" ht="14.4" customHeight="1" thickBot="1" x14ac:dyDescent="0.35">
      <c r="A37" s="318" t="s">
        <v>216</v>
      </c>
      <c r="B37" s="298">
        <v>44.000000000010999</v>
      </c>
      <c r="C37" s="298">
        <v>42.480530000000002</v>
      </c>
      <c r="D37" s="299">
        <v>-1.519470000011</v>
      </c>
      <c r="E37" s="300">
        <v>0.96546659090800002</v>
      </c>
      <c r="F37" s="298">
        <v>45.000004512088999</v>
      </c>
      <c r="G37" s="299">
        <v>7.5000007520140004</v>
      </c>
      <c r="H37" s="301">
        <v>2.5688300000000002</v>
      </c>
      <c r="I37" s="298">
        <v>6.2987200000000003</v>
      </c>
      <c r="J37" s="299">
        <v>-1.2012807520140001</v>
      </c>
      <c r="K37" s="302">
        <v>0.13997154151999999</v>
      </c>
    </row>
    <row r="38" spans="1:11" ht="14.4" customHeight="1" thickBot="1" x14ac:dyDescent="0.35">
      <c r="A38" s="319" t="s">
        <v>217</v>
      </c>
      <c r="B38" s="303">
        <v>44.000000000010999</v>
      </c>
      <c r="C38" s="303">
        <v>40.50705</v>
      </c>
      <c r="D38" s="304">
        <v>-3.4929500000110001</v>
      </c>
      <c r="E38" s="305">
        <v>0.92061477272699999</v>
      </c>
      <c r="F38" s="303">
        <v>45.000004512088999</v>
      </c>
      <c r="G38" s="304">
        <v>7.5000007520140004</v>
      </c>
      <c r="H38" s="306">
        <v>2.5688300000000002</v>
      </c>
      <c r="I38" s="303">
        <v>6.2987200000000003</v>
      </c>
      <c r="J38" s="304">
        <v>-1.2012807520140001</v>
      </c>
      <c r="K38" s="307">
        <v>0.13997154151999999</v>
      </c>
    </row>
    <row r="39" spans="1:11" ht="14.4" customHeight="1" thickBot="1" x14ac:dyDescent="0.35">
      <c r="A39" s="320" t="s">
        <v>218</v>
      </c>
      <c r="B39" s="298">
        <v>23.000000000006001</v>
      </c>
      <c r="C39" s="298">
        <v>18.080410000000001</v>
      </c>
      <c r="D39" s="299">
        <v>-4.919590000006</v>
      </c>
      <c r="E39" s="300">
        <v>0.78610478260799999</v>
      </c>
      <c r="F39" s="298">
        <v>22.00000220591</v>
      </c>
      <c r="G39" s="299">
        <v>3.6666670343179999</v>
      </c>
      <c r="H39" s="301">
        <v>0.90610999999999997</v>
      </c>
      <c r="I39" s="298">
        <v>3.3305400000000001</v>
      </c>
      <c r="J39" s="299">
        <v>-0.33612703431800001</v>
      </c>
      <c r="K39" s="302">
        <v>0.151388166638</v>
      </c>
    </row>
    <row r="40" spans="1:11" ht="14.4" customHeight="1" thickBot="1" x14ac:dyDescent="0.35">
      <c r="A40" s="320" t="s">
        <v>219</v>
      </c>
      <c r="B40" s="298">
        <v>21.000000000004999</v>
      </c>
      <c r="C40" s="298">
        <v>22.426639999999999</v>
      </c>
      <c r="D40" s="299">
        <v>1.426639999994</v>
      </c>
      <c r="E40" s="300">
        <v>1.0679352380939999</v>
      </c>
      <c r="F40" s="298">
        <v>23.000002306178999</v>
      </c>
      <c r="G40" s="299">
        <v>3.8333337176960001</v>
      </c>
      <c r="H40" s="301">
        <v>1.66272</v>
      </c>
      <c r="I40" s="298">
        <v>2.9681799999999998</v>
      </c>
      <c r="J40" s="299">
        <v>-0.86515371769600002</v>
      </c>
      <c r="K40" s="302">
        <v>0.12905129140800001</v>
      </c>
    </row>
    <row r="41" spans="1:11" ht="14.4" customHeight="1" thickBot="1" x14ac:dyDescent="0.35">
      <c r="A41" s="319" t="s">
        <v>220</v>
      </c>
      <c r="B41" s="303">
        <v>0</v>
      </c>
      <c r="C41" s="303">
        <v>1.9734799999999999</v>
      </c>
      <c r="D41" s="304">
        <v>1.9734799999999999</v>
      </c>
      <c r="E41" s="308" t="s">
        <v>184</v>
      </c>
      <c r="F41" s="303">
        <v>0</v>
      </c>
      <c r="G41" s="304">
        <v>0</v>
      </c>
      <c r="H41" s="306">
        <v>0</v>
      </c>
      <c r="I41" s="303">
        <v>0</v>
      </c>
      <c r="J41" s="304">
        <v>0</v>
      </c>
      <c r="K41" s="309" t="s">
        <v>184</v>
      </c>
    </row>
    <row r="42" spans="1:11" ht="14.4" customHeight="1" thickBot="1" x14ac:dyDescent="0.35">
      <c r="A42" s="320" t="s">
        <v>221</v>
      </c>
      <c r="B42" s="298">
        <v>0</v>
      </c>
      <c r="C42" s="298">
        <v>0.55476000000000003</v>
      </c>
      <c r="D42" s="299">
        <v>0.55476000000000003</v>
      </c>
      <c r="E42" s="310" t="s">
        <v>184</v>
      </c>
      <c r="F42" s="298">
        <v>0</v>
      </c>
      <c r="G42" s="299">
        <v>0</v>
      </c>
      <c r="H42" s="301">
        <v>0</v>
      </c>
      <c r="I42" s="298">
        <v>0</v>
      </c>
      <c r="J42" s="299">
        <v>0</v>
      </c>
      <c r="K42" s="311" t="s">
        <v>184</v>
      </c>
    </row>
    <row r="43" spans="1:11" ht="14.4" customHeight="1" thickBot="1" x14ac:dyDescent="0.35">
      <c r="A43" s="320" t="s">
        <v>222</v>
      </c>
      <c r="B43" s="298">
        <v>0</v>
      </c>
      <c r="C43" s="298">
        <v>1.41872</v>
      </c>
      <c r="D43" s="299">
        <v>1.41872</v>
      </c>
      <c r="E43" s="310" t="s">
        <v>184</v>
      </c>
      <c r="F43" s="298">
        <v>0</v>
      </c>
      <c r="G43" s="299">
        <v>0</v>
      </c>
      <c r="H43" s="301">
        <v>0</v>
      </c>
      <c r="I43" s="298">
        <v>0</v>
      </c>
      <c r="J43" s="299">
        <v>0</v>
      </c>
      <c r="K43" s="311" t="s">
        <v>184</v>
      </c>
    </row>
    <row r="44" spans="1:11" ht="14.4" customHeight="1" thickBot="1" x14ac:dyDescent="0.35">
      <c r="A44" s="317" t="s">
        <v>223</v>
      </c>
      <c r="B44" s="298">
        <v>0</v>
      </c>
      <c r="C44" s="298">
        <v>1.44628</v>
      </c>
      <c r="D44" s="299">
        <v>1.44628</v>
      </c>
      <c r="E44" s="310" t="s">
        <v>184</v>
      </c>
      <c r="F44" s="298">
        <v>1.1628489289170001</v>
      </c>
      <c r="G44" s="299">
        <v>0.19380815481899999</v>
      </c>
      <c r="H44" s="301">
        <v>0</v>
      </c>
      <c r="I44" s="298">
        <v>0</v>
      </c>
      <c r="J44" s="299">
        <v>-0.19380815481899999</v>
      </c>
      <c r="K44" s="302">
        <v>0</v>
      </c>
    </row>
    <row r="45" spans="1:11" ht="14.4" customHeight="1" thickBot="1" x14ac:dyDescent="0.35">
      <c r="A45" s="322" t="s">
        <v>224</v>
      </c>
      <c r="B45" s="303">
        <v>0</v>
      </c>
      <c r="C45" s="303">
        <v>1.44628</v>
      </c>
      <c r="D45" s="304">
        <v>1.44628</v>
      </c>
      <c r="E45" s="308" t="s">
        <v>184</v>
      </c>
      <c r="F45" s="303">
        <v>1.1628489289170001</v>
      </c>
      <c r="G45" s="304">
        <v>0.19380815481899999</v>
      </c>
      <c r="H45" s="306">
        <v>0</v>
      </c>
      <c r="I45" s="303">
        <v>0</v>
      </c>
      <c r="J45" s="304">
        <v>-0.19380815481899999</v>
      </c>
      <c r="K45" s="307">
        <v>0</v>
      </c>
    </row>
    <row r="46" spans="1:11" ht="14.4" customHeight="1" thickBot="1" x14ac:dyDescent="0.35">
      <c r="A46" s="319" t="s">
        <v>225</v>
      </c>
      <c r="B46" s="303">
        <v>0</v>
      </c>
      <c r="C46" s="303">
        <v>-2.0000000000000002E-5</v>
      </c>
      <c r="D46" s="304">
        <v>-2.0000000000000002E-5</v>
      </c>
      <c r="E46" s="308" t="s">
        <v>184</v>
      </c>
      <c r="F46" s="303">
        <v>0</v>
      </c>
      <c r="G46" s="304">
        <v>0</v>
      </c>
      <c r="H46" s="306">
        <v>0</v>
      </c>
      <c r="I46" s="303">
        <v>0</v>
      </c>
      <c r="J46" s="304">
        <v>0</v>
      </c>
      <c r="K46" s="309" t="s">
        <v>184</v>
      </c>
    </row>
    <row r="47" spans="1:11" ht="14.4" customHeight="1" thickBot="1" x14ac:dyDescent="0.35">
      <c r="A47" s="320" t="s">
        <v>226</v>
      </c>
      <c r="B47" s="298">
        <v>0</v>
      </c>
      <c r="C47" s="298">
        <v>-2.0000000000000002E-5</v>
      </c>
      <c r="D47" s="299">
        <v>-2.0000000000000002E-5</v>
      </c>
      <c r="E47" s="310" t="s">
        <v>196</v>
      </c>
      <c r="F47" s="298">
        <v>0</v>
      </c>
      <c r="G47" s="299">
        <v>0</v>
      </c>
      <c r="H47" s="301">
        <v>0</v>
      </c>
      <c r="I47" s="298">
        <v>0</v>
      </c>
      <c r="J47" s="299">
        <v>0</v>
      </c>
      <c r="K47" s="311" t="s">
        <v>184</v>
      </c>
    </row>
    <row r="48" spans="1:11" ht="14.4" customHeight="1" thickBot="1" x14ac:dyDescent="0.35">
      <c r="A48" s="319" t="s">
        <v>227</v>
      </c>
      <c r="B48" s="303">
        <v>0</v>
      </c>
      <c r="C48" s="303">
        <v>1.4462999999999999</v>
      </c>
      <c r="D48" s="304">
        <v>1.4462999999999999</v>
      </c>
      <c r="E48" s="308" t="s">
        <v>196</v>
      </c>
      <c r="F48" s="303">
        <v>1.1628489289170001</v>
      </c>
      <c r="G48" s="304">
        <v>0.19380815481899999</v>
      </c>
      <c r="H48" s="306">
        <v>0</v>
      </c>
      <c r="I48" s="303">
        <v>0</v>
      </c>
      <c r="J48" s="304">
        <v>-0.19380815481899999</v>
      </c>
      <c r="K48" s="307">
        <v>0</v>
      </c>
    </row>
    <row r="49" spans="1:11" ht="14.4" customHeight="1" thickBot="1" x14ac:dyDescent="0.35">
      <c r="A49" s="320" t="s">
        <v>228</v>
      </c>
      <c r="B49" s="298">
        <v>0</v>
      </c>
      <c r="C49" s="298">
        <v>1.4462999999999999</v>
      </c>
      <c r="D49" s="299">
        <v>1.4462999999999999</v>
      </c>
      <c r="E49" s="310" t="s">
        <v>196</v>
      </c>
      <c r="F49" s="298">
        <v>1.1628489289170001</v>
      </c>
      <c r="G49" s="299">
        <v>0.19380815481899999</v>
      </c>
      <c r="H49" s="301">
        <v>0</v>
      </c>
      <c r="I49" s="298">
        <v>0</v>
      </c>
      <c r="J49" s="299">
        <v>-0.19380815481899999</v>
      </c>
      <c r="K49" s="302">
        <v>0</v>
      </c>
    </row>
    <row r="50" spans="1:11" ht="14.4" customHeight="1" thickBot="1" x14ac:dyDescent="0.35">
      <c r="A50" s="316" t="s">
        <v>229</v>
      </c>
      <c r="B50" s="298">
        <v>290.77654384974602</v>
      </c>
      <c r="C50" s="298">
        <v>299.73736000000002</v>
      </c>
      <c r="D50" s="299">
        <v>8.9608161502530006</v>
      </c>
      <c r="E50" s="300">
        <v>1.030816846612</v>
      </c>
      <c r="F50" s="298">
        <v>0</v>
      </c>
      <c r="G50" s="299">
        <v>0</v>
      </c>
      <c r="H50" s="301">
        <v>20.362179999999999</v>
      </c>
      <c r="I50" s="298">
        <v>41.765210000000003</v>
      </c>
      <c r="J50" s="299">
        <v>41.765210000000003</v>
      </c>
      <c r="K50" s="311" t="s">
        <v>196</v>
      </c>
    </row>
    <row r="51" spans="1:11" ht="14.4" customHeight="1" thickBot="1" x14ac:dyDescent="0.35">
      <c r="A51" s="321" t="s">
        <v>230</v>
      </c>
      <c r="B51" s="303">
        <v>290.77654384974602</v>
      </c>
      <c r="C51" s="303">
        <v>299.73736000000002</v>
      </c>
      <c r="D51" s="304">
        <v>8.9608161502530006</v>
      </c>
      <c r="E51" s="305">
        <v>1.030816846612</v>
      </c>
      <c r="F51" s="303">
        <v>0</v>
      </c>
      <c r="G51" s="304">
        <v>0</v>
      </c>
      <c r="H51" s="306">
        <v>20.362179999999999</v>
      </c>
      <c r="I51" s="303">
        <v>41.765210000000003</v>
      </c>
      <c r="J51" s="304">
        <v>41.765210000000003</v>
      </c>
      <c r="K51" s="309" t="s">
        <v>196</v>
      </c>
    </row>
    <row r="52" spans="1:11" ht="14.4" customHeight="1" thickBot="1" x14ac:dyDescent="0.35">
      <c r="A52" s="322" t="s">
        <v>30</v>
      </c>
      <c r="B52" s="303">
        <v>290.77654384974602</v>
      </c>
      <c r="C52" s="303">
        <v>299.73736000000002</v>
      </c>
      <c r="D52" s="304">
        <v>8.9608161502530006</v>
      </c>
      <c r="E52" s="305">
        <v>1.030816846612</v>
      </c>
      <c r="F52" s="303">
        <v>0</v>
      </c>
      <c r="G52" s="304">
        <v>0</v>
      </c>
      <c r="H52" s="306">
        <v>20.362179999999999</v>
      </c>
      <c r="I52" s="303">
        <v>41.765210000000003</v>
      </c>
      <c r="J52" s="304">
        <v>41.765210000000003</v>
      </c>
      <c r="K52" s="309" t="s">
        <v>196</v>
      </c>
    </row>
    <row r="53" spans="1:11" ht="14.4" customHeight="1" thickBot="1" x14ac:dyDescent="0.35">
      <c r="A53" s="319" t="s">
        <v>231</v>
      </c>
      <c r="B53" s="303">
        <v>125</v>
      </c>
      <c r="C53" s="303">
        <v>114.29792999999999</v>
      </c>
      <c r="D53" s="304">
        <v>-10.702069999999001</v>
      </c>
      <c r="E53" s="305">
        <v>0.91438344000000005</v>
      </c>
      <c r="F53" s="303">
        <v>0</v>
      </c>
      <c r="G53" s="304">
        <v>0</v>
      </c>
      <c r="H53" s="306">
        <v>9.3121700000000001</v>
      </c>
      <c r="I53" s="303">
        <v>16.249009999999998</v>
      </c>
      <c r="J53" s="304">
        <v>16.249009999999998</v>
      </c>
      <c r="K53" s="309" t="s">
        <v>196</v>
      </c>
    </row>
    <row r="54" spans="1:11" ht="14.4" customHeight="1" thickBot="1" x14ac:dyDescent="0.35">
      <c r="A54" s="320" t="s">
        <v>232</v>
      </c>
      <c r="B54" s="298">
        <v>125</v>
      </c>
      <c r="C54" s="298">
        <v>114.29792999999999</v>
      </c>
      <c r="D54" s="299">
        <v>-10.702069999999001</v>
      </c>
      <c r="E54" s="300">
        <v>0.91438344000000005</v>
      </c>
      <c r="F54" s="298">
        <v>0</v>
      </c>
      <c r="G54" s="299">
        <v>0</v>
      </c>
      <c r="H54" s="301">
        <v>9.3121700000000001</v>
      </c>
      <c r="I54" s="298">
        <v>16.249009999999998</v>
      </c>
      <c r="J54" s="299">
        <v>16.249009999999998</v>
      </c>
      <c r="K54" s="311" t="s">
        <v>196</v>
      </c>
    </row>
    <row r="55" spans="1:11" ht="14.4" customHeight="1" thickBot="1" x14ac:dyDescent="0.35">
      <c r="A55" s="319" t="s">
        <v>233</v>
      </c>
      <c r="B55" s="303">
        <v>165.77654384974599</v>
      </c>
      <c r="C55" s="303">
        <v>185.43942999999999</v>
      </c>
      <c r="D55" s="304">
        <v>19.662886150253001</v>
      </c>
      <c r="E55" s="305">
        <v>1.118610785902</v>
      </c>
      <c r="F55" s="303">
        <v>0</v>
      </c>
      <c r="G55" s="304">
        <v>0</v>
      </c>
      <c r="H55" s="306">
        <v>11.05001</v>
      </c>
      <c r="I55" s="303">
        <v>25.516200000000001</v>
      </c>
      <c r="J55" s="304">
        <v>25.516200000000001</v>
      </c>
      <c r="K55" s="309" t="s">
        <v>196</v>
      </c>
    </row>
    <row r="56" spans="1:11" ht="14.4" customHeight="1" thickBot="1" x14ac:dyDescent="0.35">
      <c r="A56" s="320" t="s">
        <v>234</v>
      </c>
      <c r="B56" s="298">
        <v>165.77654384974599</v>
      </c>
      <c r="C56" s="298">
        <v>185.43942999999999</v>
      </c>
      <c r="D56" s="299">
        <v>19.662886150253001</v>
      </c>
      <c r="E56" s="300">
        <v>1.118610785902</v>
      </c>
      <c r="F56" s="298">
        <v>0</v>
      </c>
      <c r="G56" s="299">
        <v>0</v>
      </c>
      <c r="H56" s="301">
        <v>11.05001</v>
      </c>
      <c r="I56" s="298">
        <v>25.516200000000001</v>
      </c>
      <c r="J56" s="299">
        <v>25.516200000000001</v>
      </c>
      <c r="K56" s="311" t="s">
        <v>196</v>
      </c>
    </row>
    <row r="57" spans="1:11" ht="14.4" customHeight="1" thickBot="1" x14ac:dyDescent="0.35">
      <c r="A57" s="323"/>
      <c r="B57" s="298">
        <v>-1944.63318608945</v>
      </c>
      <c r="C57" s="298">
        <v>-2011.1722500000001</v>
      </c>
      <c r="D57" s="299">
        <v>-66.539063910549004</v>
      </c>
      <c r="E57" s="300">
        <v>1.0342167686870001</v>
      </c>
      <c r="F57" s="298">
        <v>-1722.82495877978</v>
      </c>
      <c r="G57" s="299">
        <v>-287.13749312996299</v>
      </c>
      <c r="H57" s="301">
        <v>-147.48537999999999</v>
      </c>
      <c r="I57" s="298">
        <v>-294.46940000000001</v>
      </c>
      <c r="J57" s="299">
        <v>-7.3319068700369998</v>
      </c>
      <c r="K57" s="302">
        <v>0.170922413504</v>
      </c>
    </row>
    <row r="58" spans="1:11" ht="14.4" customHeight="1" thickBot="1" x14ac:dyDescent="0.35">
      <c r="A58" s="324" t="s">
        <v>42</v>
      </c>
      <c r="B58" s="312">
        <v>-1944.63318608945</v>
      </c>
      <c r="C58" s="312">
        <v>-2011.1722500000001</v>
      </c>
      <c r="D58" s="313">
        <v>-66.539063910549004</v>
      </c>
      <c r="E58" s="314">
        <v>-1.066349462519</v>
      </c>
      <c r="F58" s="312">
        <v>-1722.82495877978</v>
      </c>
      <c r="G58" s="313">
        <v>-287.13749312996299</v>
      </c>
      <c r="H58" s="312">
        <v>-147.48537999999999</v>
      </c>
      <c r="I58" s="312">
        <v>-294.46940000000001</v>
      </c>
      <c r="J58" s="313">
        <v>-7.3319068700369998</v>
      </c>
      <c r="K58" s="315">
        <v>0.170922413504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G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F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</cols>
  <sheetData>
    <row r="1" spans="1:7" ht="18.600000000000001" thickBot="1" x14ac:dyDescent="0.4">
      <c r="A1" s="276" t="s">
        <v>82</v>
      </c>
      <c r="B1" s="273"/>
      <c r="C1" s="273"/>
      <c r="D1" s="273"/>
      <c r="E1" s="273"/>
      <c r="F1" s="273"/>
    </row>
    <row r="2" spans="1:7" ht="15" thickBot="1" x14ac:dyDescent="0.35">
      <c r="A2" s="191" t="s">
        <v>183</v>
      </c>
      <c r="B2" s="192"/>
      <c r="C2" s="192"/>
      <c r="D2" s="192"/>
      <c r="E2" s="192"/>
    </row>
    <row r="3" spans="1:7" x14ac:dyDescent="0.3">
      <c r="A3" s="206" t="s">
        <v>143</v>
      </c>
      <c r="B3" s="274" t="s">
        <v>127</v>
      </c>
      <c r="C3" s="209">
        <v>101</v>
      </c>
      <c r="D3" s="209">
        <v>302</v>
      </c>
      <c r="E3" s="209">
        <v>526</v>
      </c>
      <c r="F3" s="329">
        <v>930</v>
      </c>
      <c r="G3" s="344"/>
    </row>
    <row r="4" spans="1:7" ht="36.6" outlineLevel="1" thickBot="1" x14ac:dyDescent="0.35">
      <c r="A4" s="207">
        <v>2016</v>
      </c>
      <c r="B4" s="275"/>
      <c r="C4" s="210" t="s">
        <v>157</v>
      </c>
      <c r="D4" s="210" t="s">
        <v>158</v>
      </c>
      <c r="E4" s="210" t="s">
        <v>151</v>
      </c>
      <c r="F4" s="330" t="s">
        <v>145</v>
      </c>
      <c r="G4" s="344"/>
    </row>
    <row r="5" spans="1:7" x14ac:dyDescent="0.3">
      <c r="A5" s="193" t="s">
        <v>128</v>
      </c>
      <c r="B5" s="223"/>
      <c r="C5" s="224"/>
      <c r="D5" s="224"/>
      <c r="E5" s="224"/>
      <c r="F5" s="331"/>
      <c r="G5" s="344"/>
    </row>
    <row r="6" spans="1:7" ht="15" collapsed="1" thickBot="1" x14ac:dyDescent="0.35">
      <c r="A6" s="194" t="s">
        <v>49</v>
      </c>
      <c r="B6" s="225">
        <f xml:space="preserve">
TRUNC(IF($A$4&lt;=12,SUMIFS('ON Data'!F:F,'ON Data'!$D:$D,$A$4,'ON Data'!$E:$E,1),SUMIFS('ON Data'!F:F,'ON Data'!$E:$E,1)/'ON Data'!$D$3),1)</f>
        <v>3.4</v>
      </c>
      <c r="C6" s="226">
        <f xml:space="preserve">
TRUNC(IF($A$4&lt;=12,SUMIFS('ON Data'!K:K,'ON Data'!$D:$D,$A$4,'ON Data'!$E:$E,1),SUMIFS('ON Data'!K:K,'ON Data'!$E:$E,1)/'ON Data'!$D$3),1)</f>
        <v>2.8</v>
      </c>
      <c r="D6" s="226">
        <f xml:space="preserve">
TRUNC(IF($A$4&lt;=12,SUMIFS('ON Data'!O:O,'ON Data'!$D:$D,$A$4,'ON Data'!$E:$E,1),SUMIFS('ON Data'!O:O,'ON Data'!$E:$E,1)/'ON Data'!$D$3),1)</f>
        <v>0</v>
      </c>
      <c r="E6" s="226">
        <f xml:space="preserve">
TRUNC(IF($A$4&lt;=12,SUMIFS('ON Data'!AJ:AJ,'ON Data'!$D:$D,$A$4,'ON Data'!$E:$E,1),SUMIFS('ON Data'!AJ:AJ,'ON Data'!$E:$E,1)/'ON Data'!$D$3),1)</f>
        <v>0</v>
      </c>
      <c r="F6" s="332">
        <f xml:space="preserve">
TRUNC(IF($A$4&lt;=12,SUMIFS('ON Data'!AW:AW,'ON Data'!$D:$D,$A$4,'ON Data'!$E:$E,1),SUMIFS('ON Data'!AW:AW,'ON Data'!$E:$E,1)/'ON Data'!$D$3),1)</f>
        <v>0.6</v>
      </c>
      <c r="G6" s="344"/>
    </row>
    <row r="7" spans="1:7" ht="15" hidden="1" outlineLevel="1" thickBot="1" x14ac:dyDescent="0.35">
      <c r="A7" s="194" t="s">
        <v>83</v>
      </c>
      <c r="B7" s="225"/>
      <c r="C7" s="226"/>
      <c r="D7" s="226"/>
      <c r="E7" s="226"/>
      <c r="F7" s="332"/>
      <c r="G7" s="344"/>
    </row>
    <row r="8" spans="1:7" ht="15" hidden="1" outlineLevel="1" thickBot="1" x14ac:dyDescent="0.35">
      <c r="A8" s="194" t="s">
        <v>51</v>
      </c>
      <c r="B8" s="225"/>
      <c r="C8" s="226"/>
      <c r="D8" s="226"/>
      <c r="E8" s="226"/>
      <c r="F8" s="332"/>
      <c r="G8" s="344"/>
    </row>
    <row r="9" spans="1:7" ht="15" hidden="1" outlineLevel="1" thickBot="1" x14ac:dyDescent="0.35">
      <c r="A9" s="195" t="s">
        <v>44</v>
      </c>
      <c r="B9" s="227"/>
      <c r="C9" s="228"/>
      <c r="D9" s="228"/>
      <c r="E9" s="228"/>
      <c r="F9" s="333"/>
      <c r="G9" s="344"/>
    </row>
    <row r="10" spans="1:7" x14ac:dyDescent="0.3">
      <c r="A10" s="196" t="s">
        <v>129</v>
      </c>
      <c r="B10" s="211"/>
      <c r="C10" s="212"/>
      <c r="D10" s="212"/>
      <c r="E10" s="212"/>
      <c r="F10" s="334"/>
      <c r="G10" s="344"/>
    </row>
    <row r="11" spans="1:7" x14ac:dyDescent="0.3">
      <c r="A11" s="197" t="s">
        <v>130</v>
      </c>
      <c r="B11" s="213">
        <f xml:space="preserve">
IF($A$4&lt;=12,SUMIFS('ON Data'!F:F,'ON Data'!$D:$D,$A$4,'ON Data'!$E:$E,2),SUMIFS('ON Data'!F:F,'ON Data'!$E:$E,2))</f>
        <v>984.8</v>
      </c>
      <c r="C11" s="214">
        <f xml:space="preserve">
IF($A$4&lt;=12,SUMIFS('ON Data'!K:K,'ON Data'!$D:$D,$A$4,'ON Data'!$E:$E,2),SUMIFS('ON Data'!K:K,'ON Data'!$E:$E,2))</f>
        <v>766.4</v>
      </c>
      <c r="D11" s="214">
        <f xml:space="preserve">
IF($A$4&lt;=12,SUMIFS('ON Data'!O:O,'ON Data'!$D:$D,$A$4,'ON Data'!$E:$E,2),SUMIFS('ON Data'!O:O,'ON Data'!$E:$E,2))</f>
        <v>0</v>
      </c>
      <c r="E11" s="214">
        <f xml:space="preserve">
IF($A$4&lt;=12,SUMIFS('ON Data'!AJ:AJ,'ON Data'!$D:$D,$A$4,'ON Data'!$E:$E,2),SUMIFS('ON Data'!AJ:AJ,'ON Data'!$E:$E,2))</f>
        <v>16.8</v>
      </c>
      <c r="F11" s="335">
        <f xml:space="preserve">
IF($A$4&lt;=12,SUMIFS('ON Data'!AW:AW,'ON Data'!$D:$D,$A$4,'ON Data'!$E:$E,2),SUMIFS('ON Data'!AW:AW,'ON Data'!$E:$E,2))</f>
        <v>201.6</v>
      </c>
      <c r="G11" s="344"/>
    </row>
    <row r="12" spans="1:7" x14ac:dyDescent="0.3">
      <c r="A12" s="197" t="s">
        <v>131</v>
      </c>
      <c r="B12" s="213">
        <f xml:space="preserve">
IF($A$4&lt;=12,SUMIFS('ON Data'!F:F,'ON Data'!$D:$D,$A$4,'ON Data'!$E:$E,3),SUMIFS('ON Data'!F:F,'ON Data'!$E:$E,3))</f>
        <v>0</v>
      </c>
      <c r="C12" s="214">
        <f xml:space="preserve">
IF($A$4&lt;=12,SUMIFS('ON Data'!K:K,'ON Data'!$D:$D,$A$4,'ON Data'!$E:$E,3),SUMIFS('ON Data'!K:K,'ON Data'!$E:$E,3))</f>
        <v>0</v>
      </c>
      <c r="D12" s="214">
        <f xml:space="preserve">
IF($A$4&lt;=12,SUMIFS('ON Data'!O:O,'ON Data'!$D:$D,$A$4,'ON Data'!$E:$E,3),SUMIFS('ON Data'!O:O,'ON Data'!$E:$E,3))</f>
        <v>0</v>
      </c>
      <c r="E12" s="214">
        <f xml:space="preserve">
IF($A$4&lt;=12,SUMIFS('ON Data'!AJ:AJ,'ON Data'!$D:$D,$A$4,'ON Data'!$E:$E,3),SUMIFS('ON Data'!AJ:AJ,'ON Data'!$E:$E,3))</f>
        <v>0</v>
      </c>
      <c r="F12" s="335">
        <f xml:space="preserve">
IF($A$4&lt;=12,SUMIFS('ON Data'!AW:AW,'ON Data'!$D:$D,$A$4,'ON Data'!$E:$E,3),SUMIFS('ON Data'!AW:AW,'ON Data'!$E:$E,3))</f>
        <v>0</v>
      </c>
      <c r="G12" s="344"/>
    </row>
    <row r="13" spans="1:7" x14ac:dyDescent="0.3">
      <c r="A13" s="197" t="s">
        <v>138</v>
      </c>
      <c r="B13" s="213">
        <f xml:space="preserve">
IF($A$4&lt;=12,SUMIFS('ON Data'!F:F,'ON Data'!$D:$D,$A$4,'ON Data'!$E:$E,4),SUMIFS('ON Data'!F:F,'ON Data'!$E:$E,4))</f>
        <v>0</v>
      </c>
      <c r="C13" s="214">
        <f xml:space="preserve">
IF($A$4&lt;=12,SUMIFS('ON Data'!K:K,'ON Data'!$D:$D,$A$4,'ON Data'!$E:$E,4),SUMIFS('ON Data'!K:K,'ON Data'!$E:$E,4))</f>
        <v>0</v>
      </c>
      <c r="D13" s="214">
        <f xml:space="preserve">
IF($A$4&lt;=12,SUMIFS('ON Data'!O:O,'ON Data'!$D:$D,$A$4,'ON Data'!$E:$E,4),SUMIFS('ON Data'!O:O,'ON Data'!$E:$E,4))</f>
        <v>0</v>
      </c>
      <c r="E13" s="214">
        <f xml:space="preserve">
IF($A$4&lt;=12,SUMIFS('ON Data'!AJ:AJ,'ON Data'!$D:$D,$A$4,'ON Data'!$E:$E,4),SUMIFS('ON Data'!AJ:AJ,'ON Data'!$E:$E,4))</f>
        <v>0</v>
      </c>
      <c r="F13" s="335">
        <f xml:space="preserve">
IF($A$4&lt;=12,SUMIFS('ON Data'!AW:AW,'ON Data'!$D:$D,$A$4,'ON Data'!$E:$E,4),SUMIFS('ON Data'!AW:AW,'ON Data'!$E:$E,4))</f>
        <v>0</v>
      </c>
      <c r="G13" s="344"/>
    </row>
    <row r="14" spans="1:7" ht="15" thickBot="1" x14ac:dyDescent="0.35">
      <c r="A14" s="198" t="s">
        <v>132</v>
      </c>
      <c r="B14" s="215">
        <f xml:space="preserve">
IF($A$4&lt;=12,SUMIFS('ON Data'!F:F,'ON Data'!$D:$D,$A$4,'ON Data'!$E:$E,5),SUMIFS('ON Data'!F:F,'ON Data'!$E:$E,5))</f>
        <v>0</v>
      </c>
      <c r="C14" s="216">
        <f xml:space="preserve">
IF($A$4&lt;=12,SUMIFS('ON Data'!K:K,'ON Data'!$D:$D,$A$4,'ON Data'!$E:$E,5),SUMIFS('ON Data'!K:K,'ON Data'!$E:$E,5))</f>
        <v>0</v>
      </c>
      <c r="D14" s="216">
        <f xml:space="preserve">
IF($A$4&lt;=12,SUMIFS('ON Data'!O:O,'ON Data'!$D:$D,$A$4,'ON Data'!$E:$E,5),SUMIFS('ON Data'!O:O,'ON Data'!$E:$E,5))</f>
        <v>0</v>
      </c>
      <c r="E14" s="216">
        <f xml:space="preserve">
IF($A$4&lt;=12,SUMIFS('ON Data'!AJ:AJ,'ON Data'!$D:$D,$A$4,'ON Data'!$E:$E,5),SUMIFS('ON Data'!AJ:AJ,'ON Data'!$E:$E,5))</f>
        <v>0</v>
      </c>
      <c r="F14" s="336">
        <f xml:space="preserve">
IF($A$4&lt;=12,SUMIFS('ON Data'!AW:AW,'ON Data'!$D:$D,$A$4,'ON Data'!$E:$E,5),SUMIFS('ON Data'!AW:AW,'ON Data'!$E:$E,5))</f>
        <v>0</v>
      </c>
      <c r="G14" s="344"/>
    </row>
    <row r="15" spans="1:7" x14ac:dyDescent="0.3">
      <c r="A15" s="132" t="s">
        <v>142</v>
      </c>
      <c r="B15" s="217"/>
      <c r="C15" s="218"/>
      <c r="D15" s="218"/>
      <c r="E15" s="218"/>
      <c r="F15" s="337"/>
      <c r="G15" s="344"/>
    </row>
    <row r="16" spans="1:7" x14ac:dyDescent="0.3">
      <c r="A16" s="199" t="s">
        <v>133</v>
      </c>
      <c r="B16" s="213">
        <f xml:space="preserve">
IF($A$4&lt;=12,SUMIFS('ON Data'!F:F,'ON Data'!$D:$D,$A$4,'ON Data'!$E:$E,7),SUMIFS('ON Data'!F:F,'ON Data'!$E:$E,7))</f>
        <v>0</v>
      </c>
      <c r="C16" s="214">
        <f xml:space="preserve">
IF($A$4&lt;=12,SUMIFS('ON Data'!K:K,'ON Data'!$D:$D,$A$4,'ON Data'!$E:$E,7),SUMIFS('ON Data'!K:K,'ON Data'!$E:$E,7))</f>
        <v>0</v>
      </c>
      <c r="D16" s="214">
        <f xml:space="preserve">
IF($A$4&lt;=12,SUMIFS('ON Data'!O:O,'ON Data'!$D:$D,$A$4,'ON Data'!$E:$E,7),SUMIFS('ON Data'!O:O,'ON Data'!$E:$E,7))</f>
        <v>0</v>
      </c>
      <c r="E16" s="214">
        <f xml:space="preserve">
IF($A$4&lt;=12,SUMIFS('ON Data'!AJ:AJ,'ON Data'!$D:$D,$A$4,'ON Data'!$E:$E,7),SUMIFS('ON Data'!AJ:AJ,'ON Data'!$E:$E,7))</f>
        <v>0</v>
      </c>
      <c r="F16" s="335">
        <f xml:space="preserve">
IF($A$4&lt;=12,SUMIFS('ON Data'!AW:AW,'ON Data'!$D:$D,$A$4,'ON Data'!$E:$E,7),SUMIFS('ON Data'!AW:AW,'ON Data'!$E:$E,7))</f>
        <v>0</v>
      </c>
      <c r="G16" s="344"/>
    </row>
    <row r="17" spans="1:7" x14ac:dyDescent="0.3">
      <c r="A17" s="199" t="s">
        <v>134</v>
      </c>
      <c r="B17" s="213">
        <f xml:space="preserve">
IF($A$4&lt;=12,SUMIFS('ON Data'!F:F,'ON Data'!$D:$D,$A$4,'ON Data'!$E:$E,8),SUMIFS('ON Data'!F:F,'ON Data'!$E:$E,8))</f>
        <v>0</v>
      </c>
      <c r="C17" s="214">
        <f xml:space="preserve">
IF($A$4&lt;=12,SUMIFS('ON Data'!K:K,'ON Data'!$D:$D,$A$4,'ON Data'!$E:$E,8),SUMIFS('ON Data'!K:K,'ON Data'!$E:$E,8))</f>
        <v>0</v>
      </c>
      <c r="D17" s="214">
        <f xml:space="preserve">
IF($A$4&lt;=12,SUMIFS('ON Data'!O:O,'ON Data'!$D:$D,$A$4,'ON Data'!$E:$E,8),SUMIFS('ON Data'!O:O,'ON Data'!$E:$E,8))</f>
        <v>0</v>
      </c>
      <c r="E17" s="214">
        <f xml:space="preserve">
IF($A$4&lt;=12,SUMIFS('ON Data'!AJ:AJ,'ON Data'!$D:$D,$A$4,'ON Data'!$E:$E,8),SUMIFS('ON Data'!AJ:AJ,'ON Data'!$E:$E,8))</f>
        <v>0</v>
      </c>
      <c r="F17" s="335">
        <f xml:space="preserve">
IF($A$4&lt;=12,SUMIFS('ON Data'!AW:AW,'ON Data'!$D:$D,$A$4,'ON Data'!$E:$E,8),SUMIFS('ON Data'!AW:AW,'ON Data'!$E:$E,8))</f>
        <v>0</v>
      </c>
      <c r="G17" s="344"/>
    </row>
    <row r="18" spans="1:7" x14ac:dyDescent="0.3">
      <c r="A18" s="199" t="s">
        <v>135</v>
      </c>
      <c r="B18" s="213">
        <f xml:space="preserve">
B19-B16-B17</f>
        <v>0</v>
      </c>
      <c r="C18" s="214">
        <f t="shared" ref="C18" si="0" xml:space="preserve">
C19-C16-C17</f>
        <v>0</v>
      </c>
      <c r="D18" s="214">
        <f t="shared" ref="D18:E18" si="1" xml:space="preserve">
D19-D16-D17</f>
        <v>0</v>
      </c>
      <c r="E18" s="214">
        <f t="shared" si="1"/>
        <v>0</v>
      </c>
      <c r="F18" s="335">
        <f t="shared" ref="F18" si="2" xml:space="preserve">
F19-F16-F17</f>
        <v>0</v>
      </c>
      <c r="G18" s="344"/>
    </row>
    <row r="19" spans="1:7" ht="15" thickBot="1" x14ac:dyDescent="0.35">
      <c r="A19" s="200" t="s">
        <v>136</v>
      </c>
      <c r="B19" s="219">
        <f xml:space="preserve">
IF($A$4&lt;=12,SUMIFS('ON Data'!F:F,'ON Data'!$D:$D,$A$4,'ON Data'!$E:$E,9),SUMIFS('ON Data'!F:F,'ON Data'!$E:$E,9))</f>
        <v>0</v>
      </c>
      <c r="C19" s="220">
        <f xml:space="preserve">
IF($A$4&lt;=12,SUMIFS('ON Data'!K:K,'ON Data'!$D:$D,$A$4,'ON Data'!$E:$E,9),SUMIFS('ON Data'!K:K,'ON Data'!$E:$E,9))</f>
        <v>0</v>
      </c>
      <c r="D19" s="220">
        <f xml:space="preserve">
IF($A$4&lt;=12,SUMIFS('ON Data'!O:O,'ON Data'!$D:$D,$A$4,'ON Data'!$E:$E,9),SUMIFS('ON Data'!O:O,'ON Data'!$E:$E,9))</f>
        <v>0</v>
      </c>
      <c r="E19" s="220">
        <f xml:space="preserve">
IF($A$4&lt;=12,SUMIFS('ON Data'!AJ:AJ,'ON Data'!$D:$D,$A$4,'ON Data'!$E:$E,9),SUMIFS('ON Data'!AJ:AJ,'ON Data'!$E:$E,9))</f>
        <v>0</v>
      </c>
      <c r="F19" s="338">
        <f xml:space="preserve">
IF($A$4&lt;=12,SUMIFS('ON Data'!AW:AW,'ON Data'!$D:$D,$A$4,'ON Data'!$E:$E,9),SUMIFS('ON Data'!AW:AW,'ON Data'!$E:$E,9))</f>
        <v>0</v>
      </c>
      <c r="G19" s="344"/>
    </row>
    <row r="20" spans="1:7" ht="15" collapsed="1" thickBot="1" x14ac:dyDescent="0.35">
      <c r="A20" s="201" t="s">
        <v>49</v>
      </c>
      <c r="B20" s="221">
        <f xml:space="preserve">
IF($A$4&lt;=12,SUMIFS('ON Data'!F:F,'ON Data'!$D:$D,$A$4,'ON Data'!$E:$E,6),SUMIFS('ON Data'!F:F,'ON Data'!$E:$E,6))</f>
        <v>192334</v>
      </c>
      <c r="C20" s="222">
        <f xml:space="preserve">
IF($A$4&lt;=12,SUMIFS('ON Data'!K:K,'ON Data'!$D:$D,$A$4,'ON Data'!$E:$E,6),SUMIFS('ON Data'!K:K,'ON Data'!$E:$E,6))</f>
        <v>164028</v>
      </c>
      <c r="D20" s="222">
        <f xml:space="preserve">
IF($A$4&lt;=12,SUMIFS('ON Data'!O:O,'ON Data'!$D:$D,$A$4,'ON Data'!$E:$E,6),SUMIFS('ON Data'!O:O,'ON Data'!$E:$E,6))</f>
        <v>0</v>
      </c>
      <c r="E20" s="222">
        <f xml:space="preserve">
IF($A$4&lt;=12,SUMIFS('ON Data'!AJ:AJ,'ON Data'!$D:$D,$A$4,'ON Data'!$E:$E,6),SUMIFS('ON Data'!AJ:AJ,'ON Data'!$E:$E,6))</f>
        <v>4500</v>
      </c>
      <c r="F20" s="339">
        <f xml:space="preserve">
IF($A$4&lt;=12,SUMIFS('ON Data'!AW:AW,'ON Data'!$D:$D,$A$4,'ON Data'!$E:$E,6),SUMIFS('ON Data'!AW:AW,'ON Data'!$E:$E,6))</f>
        <v>23806</v>
      </c>
      <c r="G20" s="344"/>
    </row>
    <row r="21" spans="1:7" ht="15" hidden="1" outlineLevel="1" thickBot="1" x14ac:dyDescent="0.35">
      <c r="A21" s="194" t="s">
        <v>83</v>
      </c>
      <c r="B21" s="213">
        <f xml:space="preserve">
IF($A$4&lt;=12,SUMIFS('ON Data'!F:F,'ON Data'!$D:$D,$A$4,'ON Data'!$E:$E,12),SUMIFS('ON Data'!F:F,'ON Data'!$E:$E,12))</f>
        <v>0</v>
      </c>
      <c r="C21" s="214">
        <f xml:space="preserve">
IF($A$4&lt;=12,SUMIFS('ON Data'!K:K,'ON Data'!$D:$D,$A$4,'ON Data'!$E:$E,12),SUMIFS('ON Data'!K:K,'ON Data'!$E:$E,12))</f>
        <v>0</v>
      </c>
      <c r="D21" s="214">
        <f xml:space="preserve">
IF($A$4&lt;=12,SUMIFS('ON Data'!O:O,'ON Data'!$D:$D,$A$4,'ON Data'!$E:$E,12),SUMIFS('ON Data'!O:O,'ON Data'!$E:$E,12))</f>
        <v>0</v>
      </c>
      <c r="E21" s="214">
        <f xml:space="preserve">
IF($A$4&lt;=12,SUMIFS('ON Data'!AJ:AJ,'ON Data'!$D:$D,$A$4,'ON Data'!$E:$E,12),SUMIFS('ON Data'!AJ:AJ,'ON Data'!$E:$E,12))</f>
        <v>0</v>
      </c>
      <c r="G21" s="344"/>
    </row>
    <row r="22" spans="1:7" ht="15" hidden="1" outlineLevel="1" thickBot="1" x14ac:dyDescent="0.35">
      <c r="A22" s="194" t="s">
        <v>51</v>
      </c>
      <c r="B22" s="242" t="str">
        <f xml:space="preserve">
IF(OR(B21="",B21=0),"",B20/B21)</f>
        <v/>
      </c>
      <c r="C22" s="243" t="str">
        <f t="shared" ref="C22" si="3" xml:space="preserve">
IF(OR(C21="",C21=0),"",C20/C21)</f>
        <v/>
      </c>
      <c r="D22" s="243" t="str">
        <f t="shared" ref="D22:E22" si="4" xml:space="preserve">
IF(OR(D21="",D21=0),"",D20/D21)</f>
        <v/>
      </c>
      <c r="E22" s="243" t="str">
        <f t="shared" si="4"/>
        <v/>
      </c>
      <c r="G22" s="344"/>
    </row>
    <row r="23" spans="1:7" ht="15" hidden="1" outlineLevel="1" thickBot="1" x14ac:dyDescent="0.35">
      <c r="A23" s="202" t="s">
        <v>44</v>
      </c>
      <c r="B23" s="215">
        <f xml:space="preserve">
IF(B21="","",B20-B21)</f>
        <v>192334</v>
      </c>
      <c r="C23" s="216">
        <f t="shared" ref="C23" si="5" xml:space="preserve">
IF(C21="","",C20-C21)</f>
        <v>164028</v>
      </c>
      <c r="D23" s="216">
        <f t="shared" ref="D23:E23" si="6" xml:space="preserve">
IF(D21="","",D20-D21)</f>
        <v>0</v>
      </c>
      <c r="E23" s="216">
        <f t="shared" si="6"/>
        <v>4500</v>
      </c>
      <c r="G23" s="344"/>
    </row>
    <row r="24" spans="1:7" x14ac:dyDescent="0.3">
      <c r="A24" s="196" t="s">
        <v>137</v>
      </c>
      <c r="B24" s="233" t="s">
        <v>2</v>
      </c>
      <c r="C24" s="350"/>
      <c r="D24" s="345" t="s">
        <v>148</v>
      </c>
      <c r="E24" s="325"/>
      <c r="F24" s="340" t="s">
        <v>149</v>
      </c>
      <c r="G24" s="344"/>
    </row>
    <row r="25" spans="1:7" x14ac:dyDescent="0.3">
      <c r="A25" s="197" t="s">
        <v>49</v>
      </c>
      <c r="B25" s="213">
        <f xml:space="preserve">
SUM(C25:F25)</f>
        <v>0</v>
      </c>
      <c r="C25" s="351"/>
      <c r="D25" s="346">
        <f xml:space="preserve">
IF($A$4&lt;=12,SUMIFS('ON Data'!O:O,'ON Data'!$D:$D,$A$4,'ON Data'!$E:$E,10),SUMIFS('ON Data'!O:O,'ON Data'!$E:$E,10))</f>
        <v>0</v>
      </c>
      <c r="E25" s="326"/>
      <c r="F25" s="341">
        <f xml:space="preserve">
IF($A$4&lt;=12,SUMIFS('ON Data'!AW:AW,'ON Data'!$D:$D,$A$4,'ON Data'!$E:$E,10),SUMIFS('ON Data'!AW:AW,'ON Data'!$E:$E,10))</f>
        <v>0</v>
      </c>
      <c r="G25" s="344"/>
    </row>
    <row r="26" spans="1:7" x14ac:dyDescent="0.3">
      <c r="A26" s="203" t="s">
        <v>147</v>
      </c>
      <c r="B26" s="219">
        <f xml:space="preserve">
SUM(C26:F26)</f>
        <v>333.33333333333331</v>
      </c>
      <c r="C26" s="351"/>
      <c r="D26" s="347">
        <f xml:space="preserve">
IF($A$4&lt;=12,SUMIFS('ON Data'!O:O,'ON Data'!$D:$D,$A$4,'ON Data'!$E:$E,11),SUMIFS('ON Data'!O:O,'ON Data'!$E:$E,11))</f>
        <v>333.33333333333331</v>
      </c>
      <c r="E26" s="327"/>
      <c r="F26" s="341">
        <f xml:space="preserve">
IF($A$4&lt;=12,SUMIFS('ON Data'!AW:AW,'ON Data'!$D:$D,$A$4,'ON Data'!$E:$E,11),SUMIFS('ON Data'!AW:AW,'ON Data'!$E:$E,11))</f>
        <v>0</v>
      </c>
      <c r="G26" s="344"/>
    </row>
    <row r="27" spans="1:7" x14ac:dyDescent="0.3">
      <c r="A27" s="203" t="s">
        <v>51</v>
      </c>
      <c r="B27" s="234">
        <f xml:space="preserve">
IF(B26=0,0,B25/B26)</f>
        <v>0</v>
      </c>
      <c r="C27" s="351"/>
      <c r="D27" s="348">
        <f xml:space="preserve">
IF(D26=0,0,D25/D26)</f>
        <v>0</v>
      </c>
      <c r="E27" s="326"/>
      <c r="F27" s="342">
        <f xml:space="preserve">
IF(F26=0,0,F25/F26)</f>
        <v>0</v>
      </c>
      <c r="G27" s="344"/>
    </row>
    <row r="28" spans="1:7" ht="15" thickBot="1" x14ac:dyDescent="0.35">
      <c r="A28" s="203" t="s">
        <v>146</v>
      </c>
      <c r="B28" s="219">
        <f xml:space="preserve">
SUM(C28:F28)</f>
        <v>333.33333333333331</v>
      </c>
      <c r="C28" s="352"/>
      <c r="D28" s="349">
        <f xml:space="preserve">
D26-D25</f>
        <v>333.33333333333331</v>
      </c>
      <c r="E28" s="328"/>
      <c r="F28" s="343">
        <f xml:space="preserve">
F26-F25</f>
        <v>0</v>
      </c>
      <c r="G28" s="344"/>
    </row>
    <row r="29" spans="1:7" x14ac:dyDescent="0.3">
      <c r="A29" s="204"/>
      <c r="B29" s="204"/>
      <c r="C29" s="205"/>
      <c r="D29" s="205"/>
      <c r="E29" s="205"/>
    </row>
    <row r="30" spans="1:7" x14ac:dyDescent="0.3">
      <c r="A30" s="85" t="s">
        <v>110</v>
      </c>
      <c r="B30" s="102"/>
      <c r="C30" s="102"/>
      <c r="D30" s="102"/>
      <c r="E30" s="102"/>
    </row>
    <row r="31" spans="1:7" x14ac:dyDescent="0.3">
      <c r="A31" s="86" t="s">
        <v>144</v>
      </c>
      <c r="B31" s="102"/>
      <c r="C31" s="102"/>
      <c r="D31" s="102"/>
      <c r="E31" s="102"/>
    </row>
    <row r="32" spans="1:7" ht="14.4" customHeight="1" x14ac:dyDescent="0.3">
      <c r="A32" s="230" t="s">
        <v>141</v>
      </c>
      <c r="B32" s="231"/>
      <c r="C32" s="231"/>
      <c r="D32" s="231"/>
      <c r="E32" s="231"/>
    </row>
    <row r="33" spans="1:1" x14ac:dyDescent="0.3">
      <c r="A33" s="232" t="s">
        <v>159</v>
      </c>
    </row>
    <row r="34" spans="1:1" x14ac:dyDescent="0.3">
      <c r="A34" s="232" t="s">
        <v>160</v>
      </c>
    </row>
    <row r="35" spans="1:1" x14ac:dyDescent="0.3">
      <c r="A35" s="232" t="s">
        <v>161</v>
      </c>
    </row>
    <row r="36" spans="1:1" x14ac:dyDescent="0.3">
      <c r="A36" s="232" t="s">
        <v>150</v>
      </c>
    </row>
  </sheetData>
  <mergeCells count="7">
    <mergeCell ref="B3:B4"/>
    <mergeCell ref="A1:F1"/>
    <mergeCell ref="D27:E27"/>
    <mergeCell ref="D28:E28"/>
    <mergeCell ref="D24:E24"/>
    <mergeCell ref="D25:E25"/>
    <mergeCell ref="D26:E26"/>
  </mergeCells>
  <conditionalFormatting sqref="B22:E22">
    <cfRule type="cellIs" dxfId="6" priority="6" operator="greaterThan">
      <formula>1</formula>
    </cfRule>
  </conditionalFormatting>
  <conditionalFormatting sqref="B23:E23">
    <cfRule type="cellIs" dxfId="5" priority="5" operator="greaterThan">
      <formula>0</formula>
    </cfRule>
  </conditionalFormatting>
  <conditionalFormatting sqref="F27">
    <cfRule type="cellIs" dxfId="4" priority="4" operator="greaterThan">
      <formula>1</formula>
    </cfRule>
  </conditionalFormatting>
  <conditionalFormatting sqref="F28">
    <cfRule type="cellIs" dxfId="3" priority="3" operator="lessThan">
      <formula>0</formula>
    </cfRule>
  </conditionalFormatting>
  <conditionalFormatting sqref="D28">
    <cfRule type="cellIs" dxfId="2" priority="1" operator="lessThan">
      <formula>0</formula>
    </cfRule>
  </conditionalFormatting>
  <conditionalFormatting sqref="D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9" x14ac:dyDescent="0.3">
      <c r="A1" s="187" t="s">
        <v>235</v>
      </c>
    </row>
    <row r="2" spans="1:49" x14ac:dyDescent="0.3">
      <c r="A2" s="191" t="s">
        <v>183</v>
      </c>
    </row>
    <row r="3" spans="1:49" x14ac:dyDescent="0.3">
      <c r="A3" s="187" t="s">
        <v>114</v>
      </c>
      <c r="B3" s="208">
        <v>2016</v>
      </c>
      <c r="D3" s="188">
        <f>MAX(D5:D1048576)</f>
        <v>2</v>
      </c>
      <c r="F3" s="188">
        <f>SUMIF($E5:$E1048576,"&lt;10",F5:F1048576)</f>
        <v>193325.7</v>
      </c>
      <c r="G3" s="188">
        <f t="shared" ref="G3:AW3" si="0">SUMIF($E5:$E1048576,"&lt;10",G5:G1048576)</f>
        <v>0</v>
      </c>
      <c r="H3" s="188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164800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0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4516.8999999999996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0</v>
      </c>
      <c r="AO3" s="188">
        <f t="shared" si="0"/>
        <v>0</v>
      </c>
      <c r="AP3" s="188">
        <f t="shared" si="0"/>
        <v>0</v>
      </c>
      <c r="AQ3" s="188">
        <f t="shared" si="0"/>
        <v>0</v>
      </c>
      <c r="AR3" s="188">
        <f t="shared" si="0"/>
        <v>0</v>
      </c>
      <c r="AS3" s="188">
        <f t="shared" si="0"/>
        <v>0</v>
      </c>
      <c r="AT3" s="188">
        <f t="shared" si="0"/>
        <v>0</v>
      </c>
      <c r="AU3" s="188">
        <f t="shared" si="0"/>
        <v>0</v>
      </c>
      <c r="AV3" s="188">
        <f t="shared" si="0"/>
        <v>0</v>
      </c>
      <c r="AW3" s="188">
        <f t="shared" si="0"/>
        <v>24008.799999999999</v>
      </c>
    </row>
    <row r="4" spans="1:49" x14ac:dyDescent="0.3">
      <c r="A4" s="187" t="s">
        <v>115</v>
      </c>
      <c r="B4" s="208">
        <v>1</v>
      </c>
      <c r="C4" s="189" t="s">
        <v>3</v>
      </c>
      <c r="D4" s="190" t="s">
        <v>43</v>
      </c>
      <c r="E4" s="190" t="s">
        <v>113</v>
      </c>
      <c r="F4" s="190" t="s">
        <v>2</v>
      </c>
      <c r="G4" s="190">
        <v>0</v>
      </c>
      <c r="H4" s="190">
        <v>25</v>
      </c>
      <c r="I4" s="190">
        <v>99</v>
      </c>
      <c r="J4" s="190">
        <v>100</v>
      </c>
      <c r="K4" s="190">
        <v>101</v>
      </c>
      <c r="L4" s="190">
        <v>102</v>
      </c>
      <c r="M4" s="190">
        <v>103</v>
      </c>
      <c r="N4" s="190">
        <v>203</v>
      </c>
      <c r="O4" s="190">
        <v>302</v>
      </c>
      <c r="P4" s="190">
        <v>303</v>
      </c>
      <c r="Q4" s="190">
        <v>304</v>
      </c>
      <c r="R4" s="190">
        <v>305</v>
      </c>
      <c r="S4" s="190">
        <v>306</v>
      </c>
      <c r="T4" s="190">
        <v>407</v>
      </c>
      <c r="U4" s="190">
        <v>408</v>
      </c>
      <c r="V4" s="190">
        <v>409</v>
      </c>
      <c r="W4" s="190">
        <v>410</v>
      </c>
      <c r="X4" s="190">
        <v>415</v>
      </c>
      <c r="Y4" s="190">
        <v>416</v>
      </c>
      <c r="Z4" s="190">
        <v>418</v>
      </c>
      <c r="AA4" s="190">
        <v>419</v>
      </c>
      <c r="AB4" s="190">
        <v>420</v>
      </c>
      <c r="AC4" s="190">
        <v>421</v>
      </c>
      <c r="AD4" s="190">
        <v>520</v>
      </c>
      <c r="AE4" s="190">
        <v>521</v>
      </c>
      <c r="AF4" s="190">
        <v>522</v>
      </c>
      <c r="AG4" s="190">
        <v>523</v>
      </c>
      <c r="AH4" s="190">
        <v>524</v>
      </c>
      <c r="AI4" s="190">
        <v>525</v>
      </c>
      <c r="AJ4" s="190">
        <v>526</v>
      </c>
      <c r="AK4" s="190">
        <v>527</v>
      </c>
      <c r="AL4" s="190">
        <v>528</v>
      </c>
      <c r="AM4" s="190">
        <v>629</v>
      </c>
      <c r="AN4" s="190">
        <v>630</v>
      </c>
      <c r="AO4" s="190">
        <v>636</v>
      </c>
      <c r="AP4" s="190">
        <v>637</v>
      </c>
      <c r="AQ4" s="190">
        <v>640</v>
      </c>
      <c r="AR4" s="190">
        <v>642</v>
      </c>
      <c r="AS4" s="190">
        <v>743</v>
      </c>
      <c r="AT4" s="190">
        <v>745</v>
      </c>
      <c r="AU4" s="190">
        <v>746</v>
      </c>
      <c r="AV4" s="190">
        <v>747</v>
      </c>
      <c r="AW4" s="190">
        <v>930</v>
      </c>
    </row>
    <row r="5" spans="1:49" x14ac:dyDescent="0.3">
      <c r="A5" s="187" t="s">
        <v>116</v>
      </c>
      <c r="B5" s="208">
        <v>2</v>
      </c>
      <c r="C5" s="187">
        <v>43</v>
      </c>
      <c r="D5" s="187">
        <v>1</v>
      </c>
      <c r="E5" s="187">
        <v>1</v>
      </c>
      <c r="F5" s="187">
        <v>3.45</v>
      </c>
      <c r="G5" s="187">
        <v>0</v>
      </c>
      <c r="H5" s="187">
        <v>0</v>
      </c>
      <c r="I5" s="187">
        <v>0</v>
      </c>
      <c r="J5" s="187">
        <v>0</v>
      </c>
      <c r="K5" s="187">
        <v>2.8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0.05</v>
      </c>
      <c r="AK5" s="187">
        <v>0</v>
      </c>
      <c r="AL5" s="187">
        <v>0</v>
      </c>
      <c r="AM5" s="187">
        <v>0</v>
      </c>
      <c r="AN5" s="187">
        <v>0</v>
      </c>
      <c r="AO5" s="187">
        <v>0</v>
      </c>
      <c r="AP5" s="187">
        <v>0</v>
      </c>
      <c r="AQ5" s="187">
        <v>0</v>
      </c>
      <c r="AR5" s="187">
        <v>0</v>
      </c>
      <c r="AS5" s="187">
        <v>0</v>
      </c>
      <c r="AT5" s="187">
        <v>0</v>
      </c>
      <c r="AU5" s="187">
        <v>0</v>
      </c>
      <c r="AV5" s="187">
        <v>0</v>
      </c>
      <c r="AW5" s="187">
        <v>0.6</v>
      </c>
    </row>
    <row r="6" spans="1:49" x14ac:dyDescent="0.3">
      <c r="A6" s="187" t="s">
        <v>117</v>
      </c>
      <c r="B6" s="208">
        <v>3</v>
      </c>
      <c r="C6" s="187">
        <v>43</v>
      </c>
      <c r="D6" s="187">
        <v>1</v>
      </c>
      <c r="E6" s="187">
        <v>2</v>
      </c>
      <c r="F6" s="187">
        <v>495.6</v>
      </c>
      <c r="G6" s="187">
        <v>0</v>
      </c>
      <c r="H6" s="187">
        <v>0</v>
      </c>
      <c r="I6" s="187">
        <v>0</v>
      </c>
      <c r="J6" s="187">
        <v>0</v>
      </c>
      <c r="K6" s="187">
        <v>386.4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0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8.4</v>
      </c>
      <c r="AK6" s="187">
        <v>0</v>
      </c>
      <c r="AL6" s="187">
        <v>0</v>
      </c>
      <c r="AM6" s="187">
        <v>0</v>
      </c>
      <c r="AN6" s="187">
        <v>0</v>
      </c>
      <c r="AO6" s="187">
        <v>0</v>
      </c>
      <c r="AP6" s="187">
        <v>0</v>
      </c>
      <c r="AQ6" s="187">
        <v>0</v>
      </c>
      <c r="AR6" s="187">
        <v>0</v>
      </c>
      <c r="AS6" s="187">
        <v>0</v>
      </c>
      <c r="AT6" s="187">
        <v>0</v>
      </c>
      <c r="AU6" s="187">
        <v>0</v>
      </c>
      <c r="AV6" s="187">
        <v>0</v>
      </c>
      <c r="AW6" s="187">
        <v>100.8</v>
      </c>
    </row>
    <row r="7" spans="1:49" x14ac:dyDescent="0.3">
      <c r="A7" s="187" t="s">
        <v>118</v>
      </c>
      <c r="B7" s="208">
        <v>4</v>
      </c>
      <c r="C7" s="187">
        <v>43</v>
      </c>
      <c r="D7" s="187">
        <v>1</v>
      </c>
      <c r="E7" s="187">
        <v>6</v>
      </c>
      <c r="F7" s="187">
        <v>96187</v>
      </c>
      <c r="G7" s="187">
        <v>0</v>
      </c>
      <c r="H7" s="187">
        <v>0</v>
      </c>
      <c r="I7" s="187">
        <v>0</v>
      </c>
      <c r="J7" s="187">
        <v>0</v>
      </c>
      <c r="K7" s="187">
        <v>82034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2250</v>
      </c>
      <c r="AK7" s="187">
        <v>0</v>
      </c>
      <c r="AL7" s="187">
        <v>0</v>
      </c>
      <c r="AM7" s="187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  <c r="AV7" s="187">
        <v>0</v>
      </c>
      <c r="AW7" s="187">
        <v>11903</v>
      </c>
    </row>
    <row r="8" spans="1:49" x14ac:dyDescent="0.3">
      <c r="A8" s="187" t="s">
        <v>119</v>
      </c>
      <c r="B8" s="208">
        <v>5</v>
      </c>
      <c r="C8" s="187">
        <v>43</v>
      </c>
      <c r="D8" s="187">
        <v>1</v>
      </c>
      <c r="E8" s="187">
        <v>11</v>
      </c>
      <c r="F8" s="187">
        <v>873.66570000617014</v>
      </c>
      <c r="G8" s="187">
        <v>0</v>
      </c>
      <c r="H8" s="187">
        <v>0</v>
      </c>
      <c r="I8" s="187">
        <v>0</v>
      </c>
      <c r="J8" s="187">
        <v>706.99903333950351</v>
      </c>
      <c r="K8" s="187">
        <v>0</v>
      </c>
      <c r="L8" s="187">
        <v>0</v>
      </c>
      <c r="M8" s="187">
        <v>0</v>
      </c>
      <c r="N8" s="187">
        <v>0</v>
      </c>
      <c r="O8" s="187">
        <v>166.66666666666666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  <c r="AP8" s="187">
        <v>0</v>
      </c>
      <c r="AQ8" s="187">
        <v>0</v>
      </c>
      <c r="AR8" s="187">
        <v>0</v>
      </c>
      <c r="AS8" s="187">
        <v>0</v>
      </c>
      <c r="AT8" s="187">
        <v>0</v>
      </c>
      <c r="AU8" s="187">
        <v>0</v>
      </c>
      <c r="AV8" s="187">
        <v>0</v>
      </c>
      <c r="AW8" s="187">
        <v>0</v>
      </c>
    </row>
    <row r="9" spans="1:49" x14ac:dyDescent="0.3">
      <c r="A9" s="187" t="s">
        <v>120</v>
      </c>
      <c r="B9" s="208">
        <v>6</v>
      </c>
      <c r="C9" s="187">
        <v>43</v>
      </c>
      <c r="D9" s="187">
        <v>2</v>
      </c>
      <c r="E9" s="187">
        <v>1</v>
      </c>
      <c r="F9" s="187">
        <v>3.45</v>
      </c>
      <c r="G9" s="187">
        <v>0</v>
      </c>
      <c r="H9" s="187">
        <v>0</v>
      </c>
      <c r="I9" s="187">
        <v>0</v>
      </c>
      <c r="J9" s="187">
        <v>0</v>
      </c>
      <c r="K9" s="187">
        <v>2.8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0.05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  <c r="AP9" s="187">
        <v>0</v>
      </c>
      <c r="AQ9" s="187">
        <v>0</v>
      </c>
      <c r="AR9" s="187">
        <v>0</v>
      </c>
      <c r="AS9" s="187">
        <v>0</v>
      </c>
      <c r="AT9" s="187">
        <v>0</v>
      </c>
      <c r="AU9" s="187">
        <v>0</v>
      </c>
      <c r="AV9" s="187">
        <v>0</v>
      </c>
      <c r="AW9" s="187">
        <v>0.6</v>
      </c>
    </row>
    <row r="10" spans="1:49" x14ac:dyDescent="0.3">
      <c r="A10" s="187" t="s">
        <v>121</v>
      </c>
      <c r="B10" s="208">
        <v>7</v>
      </c>
      <c r="C10" s="187">
        <v>43</v>
      </c>
      <c r="D10" s="187">
        <v>2</v>
      </c>
      <c r="E10" s="187">
        <v>2</v>
      </c>
      <c r="F10" s="187">
        <v>489.2</v>
      </c>
      <c r="G10" s="187">
        <v>0</v>
      </c>
      <c r="H10" s="187">
        <v>0</v>
      </c>
      <c r="I10" s="187">
        <v>0</v>
      </c>
      <c r="J10" s="187">
        <v>0</v>
      </c>
      <c r="K10" s="187">
        <v>380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8.4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  <c r="AP10" s="187">
        <v>0</v>
      </c>
      <c r="AQ10" s="187">
        <v>0</v>
      </c>
      <c r="AR10" s="187">
        <v>0</v>
      </c>
      <c r="AS10" s="187">
        <v>0</v>
      </c>
      <c r="AT10" s="187">
        <v>0</v>
      </c>
      <c r="AU10" s="187">
        <v>0</v>
      </c>
      <c r="AV10" s="187">
        <v>0</v>
      </c>
      <c r="AW10" s="187">
        <v>100.8</v>
      </c>
    </row>
    <row r="11" spans="1:49" x14ac:dyDescent="0.3">
      <c r="A11" s="187" t="s">
        <v>122</v>
      </c>
      <c r="B11" s="208">
        <v>8</v>
      </c>
      <c r="C11" s="187">
        <v>43</v>
      </c>
      <c r="D11" s="187">
        <v>2</v>
      </c>
      <c r="E11" s="187">
        <v>6</v>
      </c>
      <c r="F11" s="187">
        <v>96147</v>
      </c>
      <c r="G11" s="187">
        <v>0</v>
      </c>
      <c r="H11" s="187">
        <v>0</v>
      </c>
      <c r="I11" s="187">
        <v>0</v>
      </c>
      <c r="J11" s="187">
        <v>0</v>
      </c>
      <c r="K11" s="187">
        <v>81994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2250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0</v>
      </c>
      <c r="AS11" s="187">
        <v>0</v>
      </c>
      <c r="AT11" s="187">
        <v>0</v>
      </c>
      <c r="AU11" s="187">
        <v>0</v>
      </c>
      <c r="AV11" s="187">
        <v>0</v>
      </c>
      <c r="AW11" s="187">
        <v>11903</v>
      </c>
    </row>
    <row r="12" spans="1:49" x14ac:dyDescent="0.3">
      <c r="A12" s="187" t="s">
        <v>123</v>
      </c>
      <c r="B12" s="208">
        <v>9</v>
      </c>
      <c r="C12" s="187">
        <v>43</v>
      </c>
      <c r="D12" s="187">
        <v>2</v>
      </c>
      <c r="E12" s="187">
        <v>11</v>
      </c>
      <c r="F12" s="187">
        <v>873.66570000617014</v>
      </c>
      <c r="G12" s="187">
        <v>0</v>
      </c>
      <c r="H12" s="187">
        <v>0</v>
      </c>
      <c r="I12" s="187">
        <v>0</v>
      </c>
      <c r="J12" s="187">
        <v>706.99903333950351</v>
      </c>
      <c r="K12" s="187">
        <v>0</v>
      </c>
      <c r="L12" s="187">
        <v>0</v>
      </c>
      <c r="M12" s="187">
        <v>0</v>
      </c>
      <c r="N12" s="187">
        <v>0</v>
      </c>
      <c r="O12" s="187">
        <v>166.66666666666666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87">
        <v>0</v>
      </c>
      <c r="AP12" s="187">
        <v>0</v>
      </c>
      <c r="AQ12" s="187">
        <v>0</v>
      </c>
      <c r="AR12" s="187">
        <v>0</v>
      </c>
      <c r="AS12" s="187">
        <v>0</v>
      </c>
      <c r="AT12" s="187">
        <v>0</v>
      </c>
      <c r="AU12" s="187">
        <v>0</v>
      </c>
      <c r="AV12" s="187">
        <v>0</v>
      </c>
      <c r="AW12" s="187">
        <v>0</v>
      </c>
    </row>
    <row r="13" spans="1:49" x14ac:dyDescent="0.3">
      <c r="A13" s="187" t="s">
        <v>124</v>
      </c>
      <c r="B13" s="208">
        <v>10</v>
      </c>
    </row>
    <row r="14" spans="1:49" x14ac:dyDescent="0.3">
      <c r="A14" s="187" t="s">
        <v>125</v>
      </c>
      <c r="B14" s="208">
        <v>11</v>
      </c>
    </row>
    <row r="15" spans="1:49" x14ac:dyDescent="0.3">
      <c r="A15" s="187" t="s">
        <v>126</v>
      </c>
      <c r="B15" s="208">
        <v>12</v>
      </c>
    </row>
    <row r="16" spans="1:49" x14ac:dyDescent="0.3">
      <c r="A16" s="187" t="s">
        <v>114</v>
      </c>
      <c r="B16" s="208">
        <v>2016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7" t="s">
        <v>237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</row>
    <row r="2" spans="1:19" ht="14.4" customHeight="1" thickBot="1" x14ac:dyDescent="0.35">
      <c r="A2" s="191" t="s">
        <v>183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0</v>
      </c>
      <c r="E3" s="179">
        <f t="shared" si="0"/>
        <v>0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78" t="s">
        <v>156</v>
      </c>
      <c r="B4" s="279" t="s">
        <v>75</v>
      </c>
      <c r="C4" s="280"/>
      <c r="D4" s="280"/>
      <c r="E4" s="280"/>
      <c r="F4" s="280"/>
      <c r="G4" s="281"/>
      <c r="H4" s="279" t="s">
        <v>76</v>
      </c>
      <c r="I4" s="280"/>
      <c r="J4" s="280"/>
      <c r="K4" s="280"/>
      <c r="L4" s="280"/>
      <c r="M4" s="281"/>
      <c r="N4" s="279" t="s">
        <v>77</v>
      </c>
      <c r="O4" s="280"/>
      <c r="P4" s="280"/>
      <c r="Q4" s="280"/>
      <c r="R4" s="280"/>
      <c r="S4" s="281"/>
    </row>
    <row r="5" spans="1:19" ht="14.4" customHeight="1" thickBot="1" x14ac:dyDescent="0.35">
      <c r="A5" s="353"/>
      <c r="B5" s="354">
        <v>2014</v>
      </c>
      <c r="C5" s="355"/>
      <c r="D5" s="355">
        <v>2015</v>
      </c>
      <c r="E5" s="355"/>
      <c r="F5" s="355">
        <v>2016</v>
      </c>
      <c r="G5" s="356" t="s">
        <v>1</v>
      </c>
      <c r="H5" s="354">
        <v>2014</v>
      </c>
      <c r="I5" s="355"/>
      <c r="J5" s="355">
        <v>2015</v>
      </c>
      <c r="K5" s="355"/>
      <c r="L5" s="355">
        <v>2016</v>
      </c>
      <c r="M5" s="356" t="s">
        <v>1</v>
      </c>
      <c r="N5" s="354">
        <v>2014</v>
      </c>
      <c r="O5" s="355"/>
      <c r="P5" s="355">
        <v>2015</v>
      </c>
      <c r="Q5" s="355"/>
      <c r="R5" s="355">
        <v>2016</v>
      </c>
      <c r="S5" s="356" t="s">
        <v>1</v>
      </c>
    </row>
    <row r="6" spans="1:19" ht="14.4" customHeight="1" thickBot="1" x14ac:dyDescent="0.35">
      <c r="A6" s="360" t="s">
        <v>236</v>
      </c>
      <c r="B6" s="358">
        <v>327</v>
      </c>
      <c r="C6" s="359">
        <v>1</v>
      </c>
      <c r="D6" s="358"/>
      <c r="E6" s="359"/>
      <c r="F6" s="358"/>
      <c r="G6" s="235"/>
      <c r="H6" s="358"/>
      <c r="I6" s="359"/>
      <c r="J6" s="358"/>
      <c r="K6" s="359"/>
      <c r="L6" s="358"/>
      <c r="M6" s="235"/>
      <c r="N6" s="358"/>
      <c r="O6" s="359"/>
      <c r="P6" s="358"/>
      <c r="Q6" s="359"/>
      <c r="R6" s="358"/>
      <c r="S6" s="236"/>
    </row>
    <row r="7" spans="1:19" ht="14.4" customHeight="1" thickBot="1" x14ac:dyDescent="0.35"/>
    <row r="8" spans="1:19" ht="14.4" customHeight="1" thickBot="1" x14ac:dyDescent="0.35">
      <c r="A8" s="360" t="s">
        <v>238</v>
      </c>
      <c r="B8" s="358">
        <v>327</v>
      </c>
      <c r="C8" s="359">
        <v>1</v>
      </c>
      <c r="D8" s="358"/>
      <c r="E8" s="359"/>
      <c r="F8" s="358"/>
      <c r="G8" s="235"/>
      <c r="H8" s="358"/>
      <c r="I8" s="359"/>
      <c r="J8" s="358"/>
      <c r="K8" s="359"/>
      <c r="L8" s="358"/>
      <c r="M8" s="235"/>
      <c r="N8" s="358"/>
      <c r="O8" s="359"/>
      <c r="P8" s="358"/>
      <c r="Q8" s="359"/>
      <c r="R8" s="358"/>
      <c r="S8" s="236"/>
    </row>
    <row r="9" spans="1:19" ht="14.4" customHeight="1" x14ac:dyDescent="0.3">
      <c r="A9" s="361" t="s">
        <v>239</v>
      </c>
    </row>
    <row r="10" spans="1:19" ht="14.4" customHeight="1" x14ac:dyDescent="0.3">
      <c r="A10" s="362" t="s">
        <v>240</v>
      </c>
    </row>
    <row r="11" spans="1:19" ht="14.4" customHeight="1" x14ac:dyDescent="0.3">
      <c r="A11" s="361" t="s">
        <v>241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2016-03-30T20:57:16Z</dcterms:modified>
</cp:coreProperties>
</file>