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Osobní náklady" sheetId="419" r:id="rId6"/>
    <sheet name="ON Data" sheetId="418" state="hidden" r:id="rId7"/>
    <sheet name="ZV Vykáz.-A" sheetId="344" r:id="rId8"/>
    <sheet name="ZV Vykáz.-A Lékaři" sheetId="429" r:id="rId9"/>
    <sheet name="ZV Vykáz.-A Detail" sheetId="345" r:id="rId10"/>
    <sheet name="ZV Vykáz.-H" sheetId="410" r:id="rId11"/>
    <sheet name="ZV Vykáz.-H Detail" sheetId="377" r:id="rId12"/>
  </sheets>
  <definedNames>
    <definedName name="_xlnm._FilterDatabase" localSheetId="4" hidden="1">'Man Tab'!$A$5:$A$31</definedName>
    <definedName name="_xlnm._FilterDatabase" localSheetId="9" hidden="1">'ZV Vykáz.-A Detail'!$A$5:$Q$5</definedName>
    <definedName name="_xlnm._FilterDatabase" localSheetId="8" hidden="1">'ZV Vykáz.-A Lékaři'!$A$4:$A$5</definedName>
    <definedName name="_xlnm._FilterDatabase" localSheetId="11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G26" i="419" l="1"/>
  <c r="G25" i="419"/>
  <c r="E26" i="419"/>
  <c r="G28" i="419" l="1"/>
  <c r="G27" i="419"/>
  <c r="E25" i="419"/>
  <c r="G20" i="419"/>
  <c r="G19" i="419"/>
  <c r="G17" i="419"/>
  <c r="G16" i="419"/>
  <c r="G14" i="419"/>
  <c r="G13" i="419"/>
  <c r="G12" i="419"/>
  <c r="G11" i="419"/>
  <c r="AW3" i="418"/>
  <c r="AV3" i="418"/>
  <c r="AU3" i="418"/>
  <c r="AT3" i="418"/>
  <c r="AS3" i="418"/>
  <c r="AR3" i="418"/>
  <c r="AQ3" i="418"/>
  <c r="AP3" i="418"/>
  <c r="G18" i="419" l="1"/>
  <c r="B25" i="419"/>
  <c r="E27" i="419" l="1"/>
  <c r="B26" i="419"/>
  <c r="B27" i="419" s="1"/>
  <c r="E28" i="419"/>
  <c r="A7" i="414"/>
  <c r="F3" i="344" l="1"/>
  <c r="D3" i="344"/>
  <c r="B3" i="344"/>
  <c r="F21" i="419" l="1"/>
  <c r="E21" i="419"/>
  <c r="F20" i="419"/>
  <c r="E20" i="419"/>
  <c r="F19" i="419"/>
  <c r="E19" i="419"/>
  <c r="F17" i="419"/>
  <c r="E17" i="419"/>
  <c r="F16" i="419"/>
  <c r="E16" i="419"/>
  <c r="F14" i="419"/>
  <c r="E14" i="419"/>
  <c r="F13" i="419"/>
  <c r="E13" i="419"/>
  <c r="F12" i="419"/>
  <c r="E12" i="419"/>
  <c r="F11" i="419"/>
  <c r="E11" i="419"/>
  <c r="E18" i="419" l="1"/>
  <c r="E23" i="419"/>
  <c r="F23" i="419"/>
  <c r="F18" i="419"/>
  <c r="E22" i="419"/>
  <c r="F22" i="419"/>
  <c r="M3" i="418"/>
  <c r="D21" i="419" l="1"/>
  <c r="D22" i="419" s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B21" i="419"/>
  <c r="B22" i="419" l="1"/>
  <c r="A14" i="383"/>
  <c r="G3" i="429"/>
  <c r="F3" i="429"/>
  <c r="E3" i="429"/>
  <c r="D3" i="429"/>
  <c r="C3" i="429"/>
  <c r="B3" i="429"/>
  <c r="C11" i="340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F6" i="419"/>
  <c r="E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C18" i="414"/>
  <c r="D18" i="414"/>
  <c r="F13" i="339" l="1"/>
  <c r="E13" i="339"/>
  <c r="E15" i="339" s="1"/>
  <c r="H12" i="339"/>
  <c r="G12" i="339"/>
  <c r="A4" i="383"/>
  <c r="A17" i="383"/>
  <c r="A16" i="383"/>
  <c r="A15" i="383"/>
  <c r="A13" i="383"/>
  <c r="A10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<sst xmlns="http://schemas.openxmlformats.org/spreadsheetml/2006/main" count="424" uniqueCount="217">
  <si>
    <t>NS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</si>
  <si>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</si>
  <si>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</si>
  <si>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</si>
  <si>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</si>
  <si>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</si>
  <si>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</si>
  <si>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</si>
  <si>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</si>
  <si>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</si>
  <si>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</si>
  <si>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</si>
  <si>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</si>
  <si>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</si>
  <si>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</si>
  <si>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</si>
  <si>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</si>
  <si>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</si>
  <si>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</si>
  <si>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</si>
  <si>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</si>
  <si>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</si>
  <si>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</si>
  <si>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</si>
  <si>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</si>
  <si>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</si>
  <si>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</si>
  <si>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</si>
  <si>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</si>
  <si>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</si>
  <si>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</si>
  <si>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</si>
  <si>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</si>
  <si>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</si>
  <si>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</si>
  <si>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</si>
  <si>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</si>
  <si>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</si>
  <si>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</si>
  <si>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</si>
  <si>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</si>
  <si>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</si>
  <si>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</si>
  <si>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</si>
  <si>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</si>
  <si>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</si>
  <si>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</si>
  <si>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</si>
  <si>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</si>
  <si>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</si>
  <si>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</si>
  <si>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</si>
  <si>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</si>
  <si>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</si>
  <si>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</si>
  <si>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</si>
  <si>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</si>
  <si>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</si>
  <si>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</si>
  <si>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</si>
  <si>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</si>
  <si>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</si>
  <si>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</si>
  <si>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</si>
  <si>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</si>
  <si>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</si>
  <si>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</si>
  <si>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</si>
  <si>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</si>
  <si>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</si>
  <si>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</si>
  <si>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</si>
  <si>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</si>
  <si>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</si>
  <si>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</si>
  <si>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</si>
  <si>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</si>
  <si>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</si>
  <si>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</si>
  <si>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</si>
  <si>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</si>
  <si>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</si>
  <si>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</si>
  <si>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</si>
  <si>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</si>
  <si>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</si>
  <si>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</si>
  <si>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</si>
  <si>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</si>
  <si>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</si>
  <si>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</si>
  <si>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</si>
  <si>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</si>
  <si>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</si>
  <si>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</si>
  <si>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</si>
  <si>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</si>
  <si>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</si>
  <si>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</si>
  <si>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</si>
  <si>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</si>
  <si>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</si>
  <si>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</si>
  <si>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</si>
  <si>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</si>
  <si>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</si>
  <si>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</si>
  <si>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</si>
  <si>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</si>
  <si>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</si>
  <si>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</si>
  <si>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</si>
  <si>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</si>
  <si>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</si>
  <si>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</si>
  <si>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</si>
  <si>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</si>
  <si>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</si>
  <si>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</si>
  <si>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</si>
  <si>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</si>
  <si>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</si>
  <si>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</si>
  <si>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</si>
  <si>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</si>
  <si>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</si>
  <si>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</si>
  <si>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</si>
  <si>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</si>
  <si>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</si>
  <si>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</si>
  <si>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</si>
  <si>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</si>
  <si>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</si>
  <si>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</si>
  <si>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</si>
  <si>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</si>
  <si>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</si>
  <si>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</si>
  <si>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</si>
  <si>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</si>
  <si>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</si>
  <si>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</si>
  <si>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</si>
  <si>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</si>
  <si>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odborní pracovníci v lab. metodách</t>
  </si>
  <si>
    <t>Ambulance = vykázané výkony (body)</t>
  </si>
  <si>
    <t>Počet výkonů</t>
  </si>
  <si>
    <t>ZV Vykáz.-A Lékaři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</si>
  <si>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</si>
  <si>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</si>
  <si>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</si>
  <si>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</si>
  <si>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</si>
  <si>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</si>
  <si>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</si>
  <si>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</si>
  <si>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</si>
  <si>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</si>
  <si>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</si>
  <si>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</si>
  <si>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</si>
  <si>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</si>
  <si>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</si>
  <si>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</si>
  <si>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</si>
  <si>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</si>
  <si>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</si>
  <si>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</si>
  <si>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farmakologie</t>
    </r>
  </si>
  <si>
    <t>/0</t>
  </si>
  <si>
    <t>Plnění rozpočtu po měsících</t>
  </si>
  <si>
    <t>ON Data</t>
  </si>
  <si>
    <t>206 - Pracoviště klinické farmakologie (mimo laboratorní</t>
  </si>
  <si>
    <t>Zdravotní výkony vykázané na pracovišti v rámci ambulantní péče *</t>
  </si>
  <si>
    <t>4321</t>
  </si>
  <si>
    <t xml:space="preserve"> </t>
  </si>
  <si>
    <t>* Legenda</t>
  </si>
  <si>
    <t>Ambulantní péče znamená, že pacient v den poskytnutí zdravotní péče není hospitalizován ve FNOL</t>
  </si>
  <si>
    <t>Matalová Petra</t>
  </si>
  <si>
    <t>Zdravotní výkony vykázané na pracovišti v rámci ambulantní péče dle lékařů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</si>
  <si>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</si>
  <si>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</si>
  <si>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</si>
  <si>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</si>
  <si>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</si>
  <si>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</si>
  <si>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</si>
  <si>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</si>
  <si>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</si>
  <si>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</si>
  <si>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</si>
  <si>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</si>
  <si>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14 - Oční klinika</t>
  </si>
  <si>
    <t>17 - Neurologická klinika</t>
  </si>
  <si>
    <t>21 - Onkologická klinika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</si>
  <si>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</si>
  <si>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</si>
  <si>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</si>
  <si>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</si>
  <si>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</si>
  <si>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</si>
  <si>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</si>
  <si>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</si>
  <si>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</si>
  <si>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05</t>
  </si>
  <si>
    <t>07</t>
  </si>
  <si>
    <t>08</t>
  </si>
  <si>
    <t>10</t>
  </si>
  <si>
    <t>14</t>
  </si>
  <si>
    <t>17</t>
  </si>
  <si>
    <t>21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</si>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</sst>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9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4">
    <xf numFmtId="0" fontId="0" fillId="0" borderId="0"/>
    <xf numFmtId="0" fontId="22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1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9" fillId="0" borderId="0"/>
    <xf numFmtId="0" fontId="7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7" fillId="0" borderId="0"/>
    <xf numFmtId="0" fontId="19" fillId="0" borderId="0"/>
    <xf numFmtId="0" fontId="20" fillId="0" borderId="0"/>
    <xf numFmtId="0" fontId="23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5" fillId="0" borderId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1" fillId="0" borderId="0"/>
  </cellStyleXfs>
  <cellXfs count="366">
    <xf numFmtId="0" fontId="0" fillId="0" borderId="0" xfId="0"/>
    <xf numFmtId="0" fontId="24" fillId="2" borderId="16" xfId="78" applyFont="1" applyFill="1" applyBorder="1"/>
    <xf numFmtId="0" fontId="25" fillId="2" borderId="17" xfId="78" applyFont="1" applyFill="1" applyBorder="1"/>
    <xf numFmtId="3" fontId="25" fillId="2" borderId="18" xfId="78" applyNumberFormat="1" applyFont="1" applyFill="1" applyBorder="1"/>
    <xf numFmtId="0" fontId="25" fillId="4" borderId="17" xfId="78" applyFont="1" applyFill="1" applyBorder="1"/>
    <xf numFmtId="3" fontId="25" fillId="4" borderId="18" xfId="78" applyNumberFormat="1" applyFont="1" applyFill="1" applyBorder="1"/>
    <xf numFmtId="171" fontId="25" fillId="3" borderId="18" xfId="78" applyNumberFormat="1" applyFont="1" applyFill="1" applyBorder="1"/>
    <xf numFmtId="0" fontId="26" fillId="5" borderId="0" xfId="74" applyFont="1" applyFill="1"/>
    <xf numFmtId="0" fontId="29" fillId="5" borderId="0" xfId="74" applyFont="1" applyFill="1"/>
    <xf numFmtId="3" fontId="24" fillId="5" borderId="23" xfId="78" applyNumberFormat="1" applyFont="1" applyFill="1" applyBorder="1"/>
    <xf numFmtId="3" fontId="24" fillId="5" borderId="7" xfId="78" applyNumberFormat="1" applyFont="1" applyFill="1" applyBorder="1"/>
    <xf numFmtId="3" fontId="24" fillId="5" borderId="11" xfId="78" applyNumberFormat="1" applyFont="1" applyFill="1" applyBorder="1"/>
    <xf numFmtId="0" fontId="24" fillId="5" borderId="0" xfId="78" applyFont="1" applyFill="1"/>
    <xf numFmtId="10" fontId="24" fillId="5" borderId="0" xfId="78" applyNumberFormat="1" applyFont="1" applyFill="1"/>
    <xf numFmtId="0" fontId="34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1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3" fillId="2" borderId="33" xfId="0" applyFont="1" applyFill="1" applyBorder="1" applyAlignment="1">
      <alignment vertical="top"/>
    </xf>
    <xf numFmtId="0" fontId="31" fillId="2" borderId="34" xfId="0" applyFont="1" applyFill="1" applyBorder="1" applyAlignment="1">
      <alignment vertical="top"/>
    </xf>
    <xf numFmtId="0" fontId="34" fillId="2" borderId="7" xfId="0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3" fontId="24" fillId="5" borderId="3" xfId="78" applyNumberFormat="1" applyFont="1" applyFill="1" applyBorder="1"/>
    <xf numFmtId="3" fontId="24" fillId="5" borderId="28" xfId="78" applyNumberFormat="1" applyFont="1" applyFill="1" applyBorder="1"/>
    <xf numFmtId="3" fontId="24" fillId="5" borderId="24" xfId="78" applyNumberFormat="1" applyFont="1" applyFill="1" applyBorder="1"/>
    <xf numFmtId="3" fontId="24" fillId="5" borderId="8" xfId="78" applyNumberFormat="1" applyFont="1" applyFill="1" applyBorder="1"/>
    <xf numFmtId="3" fontId="24" fillId="5" borderId="9" xfId="78" applyNumberFormat="1" applyFont="1" applyFill="1" applyBorder="1"/>
    <xf numFmtId="3" fontId="24" fillId="5" borderId="12" xfId="78" applyNumberFormat="1" applyFont="1" applyFill="1" applyBorder="1"/>
    <xf numFmtId="3" fontId="24" fillId="5" borderId="13" xfId="78" applyNumberFormat="1" applyFont="1" applyFill="1" applyBorder="1"/>
    <xf numFmtId="3" fontId="25" fillId="2" borderId="26" xfId="78" applyNumberFormat="1" applyFont="1" applyFill="1" applyBorder="1"/>
    <xf numFmtId="3" fontId="25" fillId="2" borderId="19" xfId="78" applyNumberFormat="1" applyFont="1" applyFill="1" applyBorder="1"/>
    <xf numFmtId="3" fontId="25" fillId="4" borderId="26" xfId="78" applyNumberFormat="1" applyFont="1" applyFill="1" applyBorder="1"/>
    <xf numFmtId="3" fontId="25" fillId="4" borderId="19" xfId="78" applyNumberFormat="1" applyFont="1" applyFill="1" applyBorder="1"/>
    <xf numFmtId="171" fontId="25" fillId="3" borderId="26" xfId="78" applyNumberFormat="1" applyFont="1" applyFill="1" applyBorder="1"/>
    <xf numFmtId="171" fontId="25" fillId="3" borderId="19" xfId="78" applyNumberFormat="1" applyFont="1" applyFill="1" applyBorder="1"/>
    <xf numFmtId="0" fontId="28" fillId="2" borderId="24" xfId="78" applyFont="1" applyFill="1" applyBorder="1" applyAlignment="1">
      <alignment horizontal="center"/>
    </xf>
    <xf numFmtId="0" fontId="29" fillId="0" borderId="35" xfId="0" applyFont="1" applyFill="1" applyBorder="1" applyAlignment="1"/>
    <xf numFmtId="0" fontId="38" fillId="0" borderId="0" xfId="0" applyFont="1" applyFill="1" applyBorder="1" applyAlignment="1"/>
    <xf numFmtId="3" fontId="30" fillId="0" borderId="6" xfId="0" applyNumberFormat="1" applyFont="1" applyFill="1" applyBorder="1" applyAlignment="1">
      <alignment horizontal="right" vertical="top"/>
    </xf>
    <xf numFmtId="3" fontId="30" fillId="0" borderId="4" xfId="0" applyNumberFormat="1" applyFont="1" applyFill="1" applyBorder="1" applyAlignment="1">
      <alignment horizontal="right" vertical="top"/>
    </xf>
    <xf numFmtId="3" fontId="31" fillId="0" borderId="4" xfId="0" applyNumberFormat="1" applyFont="1" applyFill="1" applyBorder="1" applyAlignment="1">
      <alignment horizontal="right" vertical="top"/>
    </xf>
    <xf numFmtId="3" fontId="30" fillId="0" borderId="10" xfId="0" applyNumberFormat="1" applyFont="1" applyFill="1" applyBorder="1" applyAlignment="1">
      <alignment horizontal="right" vertical="top"/>
    </xf>
    <xf numFmtId="3" fontId="30" fillId="0" borderId="8" xfId="0" applyNumberFormat="1" applyFont="1" applyFill="1" applyBorder="1" applyAlignment="1">
      <alignment horizontal="right" vertical="top"/>
    </xf>
    <xf numFmtId="3" fontId="31" fillId="0" borderId="8" xfId="0" applyNumberFormat="1" applyFont="1" applyFill="1" applyBorder="1" applyAlignment="1">
      <alignment horizontal="right" vertical="top"/>
    </xf>
    <xf numFmtId="3" fontId="32" fillId="0" borderId="10" xfId="0" applyNumberFormat="1" applyFont="1" applyFill="1" applyBorder="1" applyAlignment="1">
      <alignment horizontal="right" vertical="top"/>
    </xf>
    <xf numFmtId="3" fontId="32" fillId="0" borderId="8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0" fillId="0" borderId="31" xfId="0" applyNumberFormat="1" applyFont="1" applyFill="1" applyBorder="1" applyAlignment="1">
      <alignment horizontal="right" vertical="top"/>
    </xf>
    <xf numFmtId="3" fontId="30" fillId="0" borderId="22" xfId="0" applyNumberFormat="1" applyFont="1" applyFill="1" applyBorder="1" applyAlignment="1">
      <alignment horizontal="right" vertical="top"/>
    </xf>
    <xf numFmtId="3" fontId="31" fillId="0" borderId="22" xfId="0" applyNumberFormat="1" applyFont="1" applyFill="1" applyBorder="1" applyAlignment="1">
      <alignment horizontal="right" vertical="top"/>
    </xf>
    <xf numFmtId="164" fontId="3" fillId="0" borderId="53" xfId="53" applyNumberFormat="1" applyFont="1" applyFill="1" applyBorder="1"/>
    <xf numFmtId="9" fontId="3" fillId="0" borderId="53" xfId="53" applyNumberFormat="1" applyFont="1" applyFill="1" applyBorder="1"/>
    <xf numFmtId="0" fontId="29" fillId="0" borderId="29" xfId="0" applyFont="1" applyFill="1" applyBorder="1" applyAlignment="1"/>
    <xf numFmtId="0" fontId="29" fillId="0" borderId="30" xfId="0" applyFont="1" applyFill="1" applyBorder="1" applyAlignment="1"/>
    <xf numFmtId="0" fontId="29" fillId="0" borderId="48" xfId="0" applyFont="1" applyFill="1" applyBorder="1" applyAlignment="1"/>
    <xf numFmtId="0" fontId="3" fillId="2" borderId="51" xfId="53" applyFont="1" applyFill="1" applyBorder="1" applyAlignment="1">
      <alignment horizontal="right"/>
    </xf>
    <xf numFmtId="0" fontId="29" fillId="0" borderId="24" xfId="0" applyFont="1" applyBorder="1" applyAlignment="1"/>
    <xf numFmtId="0" fontId="29" fillId="5" borderId="5" xfId="0" applyFont="1" applyFill="1" applyBorder="1"/>
    <xf numFmtId="0" fontId="29" fillId="5" borderId="9" xfId="0" applyFont="1" applyFill="1" applyBorder="1"/>
    <xf numFmtId="0" fontId="29" fillId="5" borderId="35" xfId="0" applyFont="1" applyFill="1" applyBorder="1"/>
    <xf numFmtId="0" fontId="29" fillId="5" borderId="41" xfId="0" applyFont="1" applyFill="1" applyBorder="1"/>
    <xf numFmtId="9" fontId="31" fillId="0" borderId="5" xfId="0" applyNumberFormat="1" applyFont="1" applyFill="1" applyBorder="1" applyAlignment="1">
      <alignment horizontal="right" vertical="top"/>
    </xf>
    <xf numFmtId="9" fontId="31" fillId="0" borderId="9" xfId="0" applyNumberFormat="1" applyFont="1" applyFill="1" applyBorder="1" applyAlignment="1">
      <alignment horizontal="right" vertical="top"/>
    </xf>
    <xf numFmtId="9" fontId="33" fillId="0" borderId="9" xfId="0" applyNumberFormat="1" applyFont="1" applyFill="1" applyBorder="1" applyAlignment="1">
      <alignment horizontal="right" vertical="top"/>
    </xf>
    <xf numFmtId="9" fontId="31" fillId="0" borderId="21" xfId="0" applyNumberFormat="1" applyFont="1" applyFill="1" applyBorder="1" applyAlignment="1">
      <alignment horizontal="right" vertical="top"/>
    </xf>
    <xf numFmtId="0" fontId="28" fillId="2" borderId="41" xfId="0" applyFont="1" applyFill="1" applyBorder="1" applyAlignment="1">
      <alignment horizontal="center"/>
    </xf>
    <xf numFmtId="3" fontId="3" fillId="0" borderId="52" xfId="53" applyNumberFormat="1" applyFont="1" applyFill="1" applyBorder="1"/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0" fontId="28" fillId="2" borderId="41" xfId="0" applyNumberFormat="1" applyFont="1" applyFill="1" applyBorder="1" applyAlignment="1">
      <alignment horizontal="center"/>
    </xf>
    <xf numFmtId="169" fontId="29" fillId="0" borderId="0" xfId="0" applyNumberFormat="1" applyFont="1" applyFill="1"/>
    <xf numFmtId="0" fontId="28" fillId="2" borderId="37" xfId="74" applyFont="1" applyFill="1" applyBorder="1" applyAlignment="1">
      <alignment horizontal="center"/>
    </xf>
    <xf numFmtId="0" fontId="24" fillId="5" borderId="35" xfId="78" applyFont="1" applyFill="1" applyBorder="1"/>
    <xf numFmtId="0" fontId="28" fillId="2" borderId="22" xfId="78" applyFont="1" applyFill="1" applyBorder="1" applyAlignment="1">
      <alignment horizontal="center"/>
    </xf>
    <xf numFmtId="0" fontId="28" fillId="2" borderId="21" xfId="78" applyFont="1" applyFill="1" applyBorder="1" applyAlignment="1">
      <alignment horizontal="center"/>
    </xf>
    <xf numFmtId="0" fontId="29" fillId="0" borderId="0" xfId="0" applyFont="1" applyFill="1" applyBorder="1" applyAlignment="1"/>
    <xf numFmtId="0" fontId="42" fillId="2" borderId="16" xfId="1" applyFont="1" applyFill="1" applyBorder="1"/>
    <xf numFmtId="0" fontId="43" fillId="0" borderId="0" xfId="0" applyFont="1" applyFill="1"/>
    <xf numFmtId="0" fontId="44" fillId="0" borderId="0" xfId="0" applyFont="1" applyFill="1"/>
    <xf numFmtId="0" fontId="44" fillId="0" borderId="0" xfId="0" applyFont="1" applyFill="1" applyBorder="1"/>
    <xf numFmtId="3" fontId="29" fillId="0" borderId="28" xfId="0" applyNumberFormat="1" applyFont="1" applyFill="1" applyBorder="1"/>
    <xf numFmtId="3" fontId="29" fillId="0" borderId="23" xfId="0" applyNumberFormat="1" applyFont="1" applyFill="1" applyBorder="1"/>
    <xf numFmtId="3" fontId="29" fillId="0" borderId="7" xfId="0" applyNumberFormat="1" applyFont="1" applyFill="1" applyBorder="1"/>
    <xf numFmtId="3" fontId="29" fillId="0" borderId="8" xfId="0" applyNumberFormat="1" applyFont="1" applyFill="1" applyBorder="1"/>
    <xf numFmtId="3" fontId="29" fillId="0" borderId="11" xfId="0" applyNumberFormat="1" applyFont="1" applyFill="1" applyBorder="1"/>
    <xf numFmtId="3" fontId="29" fillId="0" borderId="12" xfId="0" applyNumberFormat="1" applyFont="1" applyFill="1" applyBorder="1"/>
    <xf numFmtId="9" fontId="29" fillId="0" borderId="24" xfId="0" applyNumberFormat="1" applyFont="1" applyFill="1" applyBorder="1"/>
    <xf numFmtId="9" fontId="29" fillId="0" borderId="9" xfId="0" applyNumberFormat="1" applyFont="1" applyFill="1" applyBorder="1"/>
    <xf numFmtId="9" fontId="29" fillId="0" borderId="13" xfId="0" applyNumberFormat="1" applyFont="1" applyFill="1" applyBorder="1"/>
    <xf numFmtId="9" fontId="25" fillId="2" borderId="19" xfId="78" applyNumberFormat="1" applyFont="1" applyFill="1" applyBorder="1"/>
    <xf numFmtId="9" fontId="25" fillId="4" borderId="19" xfId="78" applyNumberFormat="1" applyFont="1" applyFill="1" applyBorder="1"/>
    <xf numFmtId="9" fontId="25" fillId="3" borderId="19" xfId="78" applyNumberFormat="1" applyFont="1" applyFill="1" applyBorder="1"/>
    <xf numFmtId="0" fontId="28" fillId="2" borderId="20" xfId="78" applyFont="1" applyFill="1" applyBorder="1" applyAlignment="1">
      <alignment horizontal="center"/>
    </xf>
    <xf numFmtId="49" fontId="34" fillId="2" borderId="8" xfId="0" applyNumberFormat="1" applyFont="1" applyFill="1" applyBorder="1" applyAlignment="1">
      <alignment horizontal="center" vertical="center"/>
    </xf>
    <xf numFmtId="0" fontId="29" fillId="0" borderId="0" xfId="0" applyFont="1" applyFill="1"/>
    <xf numFmtId="0" fontId="29" fillId="0" borderId="41" xfId="0" applyFont="1" applyFill="1" applyBorder="1" applyAlignment="1"/>
    <xf numFmtId="0" fontId="29" fillId="0" borderId="0" xfId="0" applyFont="1" applyFill="1" applyAlignment="1"/>
    <xf numFmtId="0" fontId="42" fillId="4" borderId="32" xfId="1" applyFont="1" applyFill="1" applyBorder="1"/>
    <xf numFmtId="0" fontId="42" fillId="4" borderId="16" xfId="1" applyFont="1" applyFill="1" applyBorder="1"/>
    <xf numFmtId="0" fontId="42" fillId="3" borderId="17" xfId="1" applyFont="1" applyFill="1" applyBorder="1"/>
    <xf numFmtId="0" fontId="45" fillId="0" borderId="0" xfId="0" applyFont="1" applyFill="1" applyBorder="1" applyAlignment="1">
      <alignment vertical="center"/>
    </xf>
    <xf numFmtId="0" fontId="45" fillId="0" borderId="0" xfId="0" applyFont="1" applyFill="1" applyAlignment="1">
      <alignment vertical="center"/>
    </xf>
    <xf numFmtId="0" fontId="29" fillId="2" borderId="28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42" fillId="3" borderId="7" xfId="1" applyFont="1" applyFill="1" applyBorder="1"/>
    <xf numFmtId="0" fontId="42" fillId="3" borderId="3" xfId="1" applyFont="1" applyFill="1" applyBorder="1"/>
    <xf numFmtId="0" fontId="42" fillId="6" borderId="3" xfId="1" applyFont="1" applyFill="1" applyBorder="1"/>
    <xf numFmtId="0" fontId="42" fillId="2" borderId="3" xfId="1" applyFont="1" applyFill="1" applyBorder="1"/>
    <xf numFmtId="0" fontId="42" fillId="4" borderId="3" xfId="1" applyFont="1" applyFill="1" applyBorder="1"/>
    <xf numFmtId="0" fontId="29" fillId="0" borderId="0" xfId="0" applyFont="1"/>
    <xf numFmtId="0" fontId="29" fillId="0" borderId="0" xfId="0" applyFont="1" applyBorder="1" applyAlignment="1"/>
    <xf numFmtId="3" fontId="29" fillId="0" borderId="0" xfId="0" applyNumberFormat="1" applyFont="1"/>
    <xf numFmtId="9" fontId="29" fillId="0" borderId="0" xfId="0" applyNumberFormat="1" applyFont="1"/>
    <xf numFmtId="0" fontId="29" fillId="0" borderId="0" xfId="0" applyFont="1" applyBorder="1"/>
    <xf numFmtId="3" fontId="36" fillId="2" borderId="44" xfId="0" applyNumberFormat="1" applyFont="1" applyFill="1" applyBorder="1"/>
    <xf numFmtId="3" fontId="36" fillId="2" borderId="45" xfId="0" applyNumberFormat="1" applyFont="1" applyFill="1" applyBorder="1"/>
    <xf numFmtId="9" fontId="36" fillId="2" borderId="47" xfId="0" applyNumberFormat="1" applyFont="1" applyFill="1" applyBorder="1"/>
    <xf numFmtId="0" fontId="46" fillId="2" borderId="17" xfId="1" applyFont="1" applyFill="1" applyBorder="1" applyAlignment="1"/>
    <xf numFmtId="0" fontId="29" fillId="2" borderId="27" xfId="0" applyFont="1" applyFill="1" applyBorder="1" applyAlignment="1"/>
    <xf numFmtId="3" fontId="29" fillId="2" borderId="26" xfId="0" applyNumberFormat="1" applyFont="1" applyFill="1" applyBorder="1" applyAlignment="1"/>
    <xf numFmtId="9" fontId="29" fillId="2" borderId="19" xfId="0" applyNumberFormat="1" applyFont="1" applyFill="1" applyBorder="1" applyAlignment="1"/>
    <xf numFmtId="0" fontId="36" fillId="2" borderId="46" xfId="0" applyFont="1" applyFill="1" applyBorder="1" applyAlignment="1"/>
    <xf numFmtId="0" fontId="29" fillId="0" borderId="6" xfId="0" applyFont="1" applyBorder="1" applyAlignment="1"/>
    <xf numFmtId="3" fontId="29" fillId="0" borderId="4" xfId="0" applyNumberFormat="1" applyFont="1" applyBorder="1" applyAlignment="1"/>
    <xf numFmtId="9" fontId="29" fillId="0" borderId="9" xfId="0" applyNumberFormat="1" applyFont="1" applyBorder="1" applyAlignment="1"/>
    <xf numFmtId="0" fontId="26" fillId="2" borderId="33" xfId="1" applyFont="1" applyFill="1" applyBorder="1" applyAlignment="1">
      <alignment horizontal="left" indent="2"/>
    </xf>
    <xf numFmtId="0" fontId="29" fillId="0" borderId="10" xfId="0" applyFont="1" applyBorder="1" applyAlignment="1"/>
    <xf numFmtId="3" fontId="29" fillId="0" borderId="8" xfId="0" applyNumberFormat="1" applyFont="1" applyBorder="1" applyAlignment="1"/>
    <xf numFmtId="9" fontId="29" fillId="0" borderId="8" xfId="0" applyNumberFormat="1" applyFont="1" applyBorder="1" applyAlignment="1"/>
    <xf numFmtId="0" fontId="29" fillId="2" borderId="33" xfId="0" applyFont="1" applyFill="1" applyBorder="1" applyAlignment="1">
      <alignment horizontal="left" indent="2"/>
    </xf>
    <xf numFmtId="0" fontId="28" fillId="2" borderId="33" xfId="1" applyFont="1" applyFill="1" applyBorder="1" applyAlignment="1"/>
    <xf numFmtId="0" fontId="42" fillId="2" borderId="33" xfId="1" applyFont="1" applyFill="1" applyBorder="1" applyAlignment="1">
      <alignment horizontal="left" indent="2"/>
    </xf>
    <xf numFmtId="0" fontId="46" fillId="2" borderId="33" xfId="1" applyFont="1" applyFill="1" applyBorder="1" applyAlignment="1"/>
    <xf numFmtId="0" fontId="29" fillId="0" borderId="31" xfId="0" applyFont="1" applyBorder="1" applyAlignment="1"/>
    <xf numFmtId="3" fontId="29" fillId="0" borderId="22" xfId="0" applyNumberFormat="1" applyFont="1" applyBorder="1" applyAlignment="1"/>
    <xf numFmtId="9" fontId="29" fillId="0" borderId="21" xfId="0" applyNumberFormat="1" applyFont="1" applyBorder="1" applyAlignment="1"/>
    <xf numFmtId="0" fontId="36" fillId="0" borderId="35" xfId="0" applyFont="1" applyFill="1" applyBorder="1" applyAlignment="1">
      <alignment horizontal="left" indent="2"/>
    </xf>
    <xf numFmtId="0" fontId="29" fillId="0" borderId="35" xfId="0" applyFont="1" applyBorder="1" applyAlignment="1"/>
    <xf numFmtId="3" fontId="29" fillId="0" borderId="35" xfId="0" applyNumberFormat="1" applyFont="1" applyBorder="1" applyAlignment="1"/>
    <xf numFmtId="9" fontId="29" fillId="0" borderId="35" xfId="0" applyNumberFormat="1" applyFont="1" applyBorder="1" applyAlignment="1"/>
    <xf numFmtId="0" fontId="46" fillId="4" borderId="17" xfId="1" applyFont="1" applyFill="1" applyBorder="1" applyAlignment="1">
      <alignment horizontal="left"/>
    </xf>
    <xf numFmtId="0" fontId="29" fillId="4" borderId="27" xfId="0" applyFont="1" applyFill="1" applyBorder="1" applyAlignment="1"/>
    <xf numFmtId="3" fontId="29" fillId="4" borderId="26" xfId="0" applyNumberFormat="1" applyFont="1" applyFill="1" applyBorder="1" applyAlignment="1"/>
    <xf numFmtId="9" fontId="29" fillId="4" borderId="19" xfId="0" applyNumberFormat="1" applyFont="1" applyFill="1" applyBorder="1" applyAlignment="1"/>
    <xf numFmtId="0" fontId="46" fillId="4" borderId="46" xfId="1" applyFont="1" applyFill="1" applyBorder="1" applyAlignment="1">
      <alignment horizontal="left"/>
    </xf>
    <xf numFmtId="0" fontId="42" fillId="4" borderId="33" xfId="1" applyFont="1" applyFill="1" applyBorder="1" applyAlignment="1">
      <alignment horizontal="left" indent="2"/>
    </xf>
    <xf numFmtId="0" fontId="46" fillId="4" borderId="33" xfId="1" applyFont="1" applyFill="1" applyBorder="1" applyAlignment="1">
      <alignment horizontal="left"/>
    </xf>
    <xf numFmtId="0" fontId="29" fillId="4" borderId="34" xfId="0" applyFont="1" applyFill="1" applyBorder="1" applyAlignment="1">
      <alignment horizontal="left" indent="2"/>
    </xf>
    <xf numFmtId="0" fontId="36" fillId="0" borderId="0" xfId="0" applyFont="1" applyFill="1" applyBorder="1" applyAlignment="1"/>
    <xf numFmtId="0" fontId="29" fillId="0" borderId="0" xfId="0" applyFont="1" applyAlignment="1"/>
    <xf numFmtId="3" fontId="29" fillId="0" borderId="0" xfId="0" applyNumberFormat="1" applyFont="1" applyAlignment="1"/>
    <xf numFmtId="9" fontId="29" fillId="0" borderId="41" xfId="0" applyNumberFormat="1" applyFont="1" applyBorder="1" applyAlignment="1"/>
    <xf numFmtId="0" fontId="36" fillId="3" borderId="17" xfId="0" applyFont="1" applyFill="1" applyBorder="1" applyAlignment="1"/>
    <xf numFmtId="0" fontId="29" fillId="3" borderId="27" xfId="0" applyFont="1" applyFill="1" applyBorder="1" applyAlignment="1"/>
    <xf numFmtId="3" fontId="29" fillId="3" borderId="26" xfId="0" applyNumberFormat="1" applyFont="1" applyFill="1" applyBorder="1" applyAlignment="1"/>
    <xf numFmtId="9" fontId="29" fillId="3" borderId="19" xfId="0" applyNumberFormat="1" applyFont="1" applyFill="1" applyBorder="1" applyAlignment="1"/>
    <xf numFmtId="0" fontId="38" fillId="0" borderId="0" xfId="0" applyFont="1" applyFill="1"/>
    <xf numFmtId="16" fontId="38" fillId="0" borderId="0" xfId="0" quotePrefix="1" applyNumberFormat="1" applyFont="1" applyFill="1"/>
    <xf numFmtId="0" fontId="38" fillId="0" borderId="0" xfId="0" quotePrefix="1" applyFont="1" applyFill="1"/>
    <xf numFmtId="171" fontId="38" fillId="0" borderId="0" xfId="0" applyNumberFormat="1" applyFont="1" applyFill="1"/>
    <xf numFmtId="172" fontId="38" fillId="0" borderId="0" xfId="0" applyNumberFormat="1" applyFont="1" applyFill="1"/>
    <xf numFmtId="3" fontId="38" fillId="0" borderId="0" xfId="0" applyNumberFormat="1" applyFont="1" applyFill="1"/>
    <xf numFmtId="0" fontId="5" fillId="0" borderId="0" xfId="78" applyFont="1" applyFill="1"/>
    <xf numFmtId="0" fontId="47" fillId="0" borderId="35" xfId="78" applyFont="1" applyFill="1" applyBorder="1" applyAlignment="1"/>
    <xf numFmtId="3" fontId="29" fillId="0" borderId="0" xfId="0" applyNumberFormat="1" applyFont="1" applyFill="1"/>
    <xf numFmtId="9" fontId="29" fillId="0" borderId="0" xfId="0" applyNumberFormat="1" applyFont="1" applyFill="1"/>
    <xf numFmtId="0" fontId="36" fillId="2" borderId="25" xfId="0" applyFont="1" applyFill="1" applyBorder="1" applyAlignment="1">
      <alignment horizontal="right"/>
    </xf>
    <xf numFmtId="169" fontId="36" fillId="0" borderId="18" xfId="0" applyNumberFormat="1" applyFont="1" applyFill="1" applyBorder="1" applyAlignment="1"/>
    <xf numFmtId="169" fontId="36" fillId="0" borderId="26" xfId="0" applyNumberFormat="1" applyFont="1" applyFill="1" applyBorder="1" applyAlignment="1"/>
    <xf numFmtId="9" fontId="36" fillId="0" borderId="19" xfId="0" applyNumberFormat="1" applyFont="1" applyFill="1" applyBorder="1" applyAlignment="1"/>
    <xf numFmtId="169" fontId="36" fillId="0" borderId="27" xfId="0" applyNumberFormat="1" applyFont="1" applyFill="1" applyBorder="1" applyAlignment="1"/>
    <xf numFmtId="9" fontId="36" fillId="0" borderId="43" xfId="0" applyNumberFormat="1" applyFont="1" applyFill="1" applyBorder="1" applyAlignment="1"/>
    <xf numFmtId="169" fontId="29" fillId="0" borderId="0" xfId="0" applyNumberFormat="1" applyFont="1" applyFill="1" applyBorder="1" applyAlignment="1"/>
    <xf numFmtId="9" fontId="29" fillId="0" borderId="0" xfId="0" applyNumberFormat="1" applyFont="1" applyFill="1" applyBorder="1" applyAlignment="1"/>
    <xf numFmtId="3" fontId="29" fillId="0" borderId="41" xfId="0" applyNumberFormat="1" applyFont="1" applyFill="1" applyBorder="1" applyAlignment="1"/>
    <xf numFmtId="9" fontId="29" fillId="0" borderId="41" xfId="0" applyNumberFormat="1" applyFont="1" applyFill="1" applyBorder="1" applyAlignment="1"/>
    <xf numFmtId="3" fontId="0" fillId="0" borderId="0" xfId="0" applyNumberFormat="1"/>
    <xf numFmtId="3" fontId="0" fillId="7" borderId="56" xfId="0" applyNumberFormat="1" applyFont="1" applyFill="1" applyBorder="1"/>
    <xf numFmtId="3" fontId="49" fillId="8" borderId="57" xfId="0" applyNumberFormat="1" applyFont="1" applyFill="1" applyBorder="1"/>
    <xf numFmtId="3" fontId="49" fillId="8" borderId="56" xfId="0" applyNumberFormat="1" applyFont="1" applyFill="1" applyBorder="1"/>
    <xf numFmtId="0" fontId="50" fillId="0" borderId="0" xfId="1" applyFont="1" applyFill="1"/>
    <xf numFmtId="3" fontId="48" fillId="0" borderId="0" xfId="26" applyNumberFormat="1" applyFont="1" applyFill="1" applyBorder="1" applyAlignment="1"/>
    <xf numFmtId="0" fontId="36" fillId="2" borderId="60" xfId="0" applyFont="1" applyFill="1" applyBorder="1" applyAlignment="1">
      <alignment horizontal="center" vertical="center"/>
    </xf>
    <xf numFmtId="0" fontId="51" fillId="2" borderId="63" xfId="0" applyFont="1" applyFill="1" applyBorder="1" applyAlignment="1">
      <alignment horizontal="center" vertical="center" wrapText="1"/>
    </xf>
    <xf numFmtId="0" fontId="36" fillId="2" borderId="65" xfId="0" applyFont="1" applyFill="1" applyBorder="1" applyAlignment="1"/>
    <xf numFmtId="0" fontId="36" fillId="2" borderId="67" xfId="0" applyFont="1" applyFill="1" applyBorder="1" applyAlignment="1">
      <alignment horizontal="left" indent="1"/>
    </xf>
    <xf numFmtId="0" fontId="36" fillId="2" borderId="72" xfId="0" applyFont="1" applyFill="1" applyBorder="1" applyAlignment="1">
      <alignment horizontal="left" indent="1"/>
    </xf>
    <xf numFmtId="0" fontId="36" fillId="4" borderId="65" xfId="0" applyFont="1" applyFill="1" applyBorder="1" applyAlignment="1"/>
    <xf numFmtId="0" fontId="36" fillId="4" borderId="67" xfId="0" applyFont="1" applyFill="1" applyBorder="1" applyAlignment="1">
      <alignment horizontal="left" indent="1"/>
    </xf>
    <xf numFmtId="0" fontId="36" fillId="4" borderId="75" xfId="0" applyFont="1" applyFill="1" applyBorder="1" applyAlignment="1">
      <alignment horizontal="left" indent="1"/>
    </xf>
    <xf numFmtId="0" fontId="29" fillId="2" borderId="67" xfId="0" quotePrefix="1" applyFont="1" applyFill="1" applyBorder="1" applyAlignment="1">
      <alignment horizontal="left" indent="2"/>
    </xf>
    <xf numFmtId="0" fontId="29" fillId="2" borderId="72" xfId="0" quotePrefix="1" applyFont="1" applyFill="1" applyBorder="1" applyAlignment="1">
      <alignment horizontal="left" indent="2"/>
    </xf>
    <xf numFmtId="0" fontId="36" fillId="2" borderId="65" xfId="0" applyFont="1" applyFill="1" applyBorder="1" applyAlignment="1">
      <alignment horizontal="left" indent="1"/>
    </xf>
    <xf numFmtId="0" fontId="36" fillId="2" borderId="75" xfId="0" applyFont="1" applyFill="1" applyBorder="1" applyAlignment="1">
      <alignment horizontal="left" indent="1"/>
    </xf>
    <xf numFmtId="0" fontId="36" fillId="4" borderId="72" xfId="0" applyFont="1" applyFill="1" applyBorder="1" applyAlignment="1">
      <alignment horizontal="left" indent="1"/>
    </xf>
    <xf numFmtId="0" fontId="29" fillId="0" borderId="80" xfId="0" applyFont="1" applyBorder="1"/>
    <xf numFmtId="3" fontId="29" fillId="0" borderId="80" xfId="0" applyNumberFormat="1" applyFont="1" applyBorder="1"/>
    <xf numFmtId="0" fontId="36" fillId="4" borderId="58" xfId="0" applyFont="1" applyFill="1" applyBorder="1" applyAlignment="1">
      <alignment horizontal="center" vertical="center"/>
    </xf>
    <xf numFmtId="0" fontId="36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6" fillId="2" borderId="79" xfId="0" applyNumberFormat="1" applyFont="1" applyFill="1" applyBorder="1" applyAlignment="1">
      <alignment horizontal="center" vertical="center"/>
    </xf>
    <xf numFmtId="3" fontId="51" fillId="2" borderId="77" xfId="0" applyNumberFormat="1" applyFont="1" applyFill="1" applyBorder="1" applyAlignment="1">
      <alignment horizontal="center" vertical="center" wrapText="1"/>
    </xf>
    <xf numFmtId="173" fontId="36" fillId="4" borderId="66" xfId="0" applyNumberFormat="1" applyFont="1" applyFill="1" applyBorder="1" applyAlignment="1"/>
    <xf numFmtId="173" fontId="36" fillId="4" borderId="60" xfId="0" applyNumberFormat="1" applyFont="1" applyFill="1" applyBorder="1" applyAlignment="1"/>
    <xf numFmtId="173" fontId="36" fillId="0" borderId="68" xfId="0" applyNumberFormat="1" applyFont="1" applyBorder="1"/>
    <xf numFmtId="173" fontId="29" fillId="0" borderId="70" xfId="0" applyNumberFormat="1" applyFont="1" applyBorder="1"/>
    <xf numFmtId="173" fontId="36" fillId="0" borderId="76" xfId="0" applyNumberFormat="1" applyFont="1" applyBorder="1"/>
    <xf numFmtId="173" fontId="29" fillId="0" borderId="63" xfId="0" applyNumberFormat="1" applyFont="1" applyBorder="1"/>
    <xf numFmtId="173" fontId="36" fillId="2" borderId="78" xfId="0" applyNumberFormat="1" applyFont="1" applyFill="1" applyBorder="1" applyAlignment="1"/>
    <xf numFmtId="173" fontId="36" fillId="2" borderId="60" xfId="0" applyNumberFormat="1" applyFont="1" applyFill="1" applyBorder="1" applyAlignment="1"/>
    <xf numFmtId="173" fontId="36" fillId="0" borderId="73" xfId="0" applyNumberFormat="1" applyFont="1" applyBorder="1"/>
    <xf numFmtId="173" fontId="29" fillId="0" borderId="74" xfId="0" applyNumberFormat="1" applyFont="1" applyBorder="1"/>
    <xf numFmtId="173" fontId="36" fillId="0" borderId="66" xfId="0" applyNumberFormat="1" applyFont="1" applyBorder="1"/>
    <xf numFmtId="173" fontId="29" fillId="0" borderId="60" xfId="0" applyNumberFormat="1" applyFont="1" applyBorder="1"/>
    <xf numFmtId="174" fontId="36" fillId="2" borderId="66" xfId="0" applyNumberFormat="1" applyFont="1" applyFill="1" applyBorder="1" applyAlignment="1"/>
    <xf numFmtId="174" fontId="29" fillId="2" borderId="60" xfId="0" applyNumberFormat="1" applyFont="1" applyFill="1" applyBorder="1" applyAlignment="1"/>
    <xf numFmtId="174" fontId="36" fillId="0" borderId="68" xfId="0" applyNumberFormat="1" applyFont="1" applyBorder="1"/>
    <xf numFmtId="174" fontId="29" fillId="0" borderId="70" xfId="0" applyNumberFormat="1" applyFont="1" applyBorder="1"/>
    <xf numFmtId="174" fontId="36" fillId="0" borderId="73" xfId="0" applyNumberFormat="1" applyFont="1" applyBorder="1"/>
    <xf numFmtId="174" fontId="29" fillId="0" borderId="74" xfId="0" applyNumberFormat="1" applyFont="1" applyBorder="1"/>
    <xf numFmtId="0" fontId="53" fillId="0" borderId="0" xfId="0" applyFont="1" applyAlignment="1">
      <alignment horizontal="left" vertical="center" indent="1"/>
    </xf>
    <xf numFmtId="0" fontId="53" fillId="0" borderId="0" xfId="0" applyFont="1" applyAlignment="1">
      <alignment vertical="center"/>
    </xf>
    <xf numFmtId="0" fontId="0" fillId="0" borderId="0" xfId="0" applyAlignment="1"/>
    <xf numFmtId="0" fontId="54" fillId="0" borderId="0" xfId="0" applyFont="1"/>
    <xf numFmtId="173" fontId="36" fillId="4" borderId="66" xfId="0" applyNumberFormat="1" applyFont="1" applyFill="1" applyBorder="1" applyAlignment="1">
      <alignment horizontal="center"/>
    </xf>
    <xf numFmtId="175" fontId="36" fillId="0" borderId="73" xfId="0" applyNumberFormat="1" applyFont="1" applyBorder="1"/>
    <xf numFmtId="9" fontId="29" fillId="0" borderId="26" xfId="0" applyNumberFormat="1" applyFont="1" applyFill="1" applyBorder="1"/>
    <xf numFmtId="9" fontId="29" fillId="0" borderId="19" xfId="0" applyNumberFormat="1" applyFont="1" applyFill="1" applyBorder="1"/>
    <xf numFmtId="0" fontId="22" fillId="2" borderId="33" xfId="1" applyFill="1" applyBorder="1" applyAlignment="1">
      <alignment horizontal="left" indent="4"/>
    </xf>
    <xf numFmtId="0" fontId="29" fillId="0" borderId="80" xfId="0" applyFont="1" applyFill="1" applyBorder="1" applyAlignment="1"/>
    <xf numFmtId="3" fontId="36" fillId="0" borderId="18" xfId="0" applyNumberFormat="1" applyFont="1" applyFill="1" applyBorder="1" applyAlignment="1"/>
    <xf numFmtId="3" fontId="36" fillId="0" borderId="26" xfId="0" applyNumberFormat="1" applyFont="1" applyFill="1" applyBorder="1" applyAlignment="1"/>
    <xf numFmtId="169" fontId="36" fillId="0" borderId="19" xfId="0" applyNumberFormat="1" applyFont="1" applyFill="1" applyBorder="1" applyAlignment="1"/>
    <xf numFmtId="9" fontId="36" fillId="0" borderId="68" xfId="0" applyNumberFormat="1" applyFont="1" applyBorder="1"/>
    <xf numFmtId="9" fontId="29" fillId="0" borderId="70" xfId="0" applyNumberFormat="1" applyFont="1" applyBorder="1"/>
    <xf numFmtId="0" fontId="37" fillId="0" borderId="80" xfId="0" applyFont="1" applyFill="1" applyBorder="1" applyAlignment="1"/>
    <xf numFmtId="0" fontId="36" fillId="3" borderId="25" xfId="0" applyFont="1" applyFill="1" applyBorder="1" applyAlignment="1"/>
    <xf numFmtId="0" fontId="29" fillId="0" borderId="36" xfId="0" applyFont="1" applyBorder="1" applyAlignment="1"/>
    <xf numFmtId="0" fontId="36" fillId="2" borderId="25" xfId="0" applyFont="1" applyFill="1" applyBorder="1" applyAlignment="1"/>
    <xf numFmtId="0" fontId="36" fillId="4" borderId="25" xfId="0" applyFont="1" applyFill="1" applyBorder="1" applyAlignment="1"/>
    <xf numFmtId="0" fontId="39" fillId="0" borderId="1" xfId="0" applyFont="1" applyFill="1" applyBorder="1" applyAlignment="1"/>
    <xf numFmtId="0" fontId="39" fillId="0" borderId="1" xfId="0" applyFont="1" applyBorder="1" applyAlignment="1"/>
    <xf numFmtId="0" fontId="27" fillId="5" borderId="15" xfId="78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28" fillId="2" borderId="39" xfId="78" applyFont="1" applyFill="1" applyBorder="1" applyAlignment="1">
      <alignment horizontal="center"/>
    </xf>
    <xf numFmtId="0" fontId="28" fillId="2" borderId="40" xfId="78" applyFont="1" applyFill="1" applyBorder="1" applyAlignment="1">
      <alignment horizontal="center"/>
    </xf>
    <xf numFmtId="0" fontId="28" fillId="2" borderId="37" xfId="78" applyFont="1" applyFill="1" applyBorder="1" applyAlignment="1">
      <alignment horizontal="center"/>
    </xf>
    <xf numFmtId="0" fontId="28" fillId="2" borderId="55" xfId="78" applyFont="1" applyFill="1" applyBorder="1" applyAlignment="1">
      <alignment horizontal="center"/>
    </xf>
    <xf numFmtId="0" fontId="28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5" fillId="2" borderId="23" xfId="0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0" fillId="0" borderId="1" xfId="0" applyBorder="1" applyAlignment="1"/>
    <xf numFmtId="166" fontId="36" fillId="2" borderId="59" xfId="0" applyNumberFormat="1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6" fillId="2" borderId="47" xfId="0" applyFont="1" applyFill="1" applyBorder="1" applyAlignment="1">
      <alignment vertical="center"/>
    </xf>
    <xf numFmtId="3" fontId="28" fillId="2" borderId="49" xfId="26" applyNumberFormat="1" applyFont="1" applyFill="1" applyBorder="1" applyAlignment="1">
      <alignment horizontal="center"/>
    </xf>
    <xf numFmtId="3" fontId="28" fillId="2" borderId="41" xfId="26" applyNumberFormat="1" applyFont="1" applyFill="1" applyBorder="1" applyAlignment="1">
      <alignment horizontal="center"/>
    </xf>
    <xf numFmtId="3" fontId="28" fillId="2" borderId="42" xfId="26" applyNumberFormat="1" applyFont="1" applyFill="1" applyBorder="1" applyAlignment="1">
      <alignment horizontal="center"/>
    </xf>
    <xf numFmtId="3" fontId="28" fillId="2" borderId="84" xfId="26" applyNumberFormat="1" applyFont="1" applyFill="1" applyBorder="1" applyAlignment="1">
      <alignment horizontal="center"/>
    </xf>
    <xf numFmtId="3" fontId="28" fillId="2" borderId="80" xfId="26" applyNumberFormat="1" applyFont="1" applyFill="1" applyBorder="1" applyAlignment="1">
      <alignment horizontal="center"/>
    </xf>
    <xf numFmtId="3" fontId="28" fillId="2" borderId="59" xfId="26" applyNumberFormat="1" applyFont="1" applyFill="1" applyBorder="1" applyAlignment="1">
      <alignment horizontal="center"/>
    </xf>
    <xf numFmtId="3" fontId="28" fillId="2" borderId="42" xfId="0" applyNumberFormat="1" applyFont="1" applyFill="1" applyBorder="1" applyAlignment="1">
      <alignment horizontal="center" vertical="top"/>
    </xf>
    <xf numFmtId="0" fontId="28" fillId="2" borderId="29" xfId="0" applyFont="1" applyFill="1" applyBorder="1" applyAlignment="1">
      <alignment horizontal="center" vertical="top" wrapText="1"/>
    </xf>
    <xf numFmtId="0" fontId="28" fillId="2" borderId="29" xfId="0" applyFont="1" applyFill="1" applyBorder="1" applyAlignment="1">
      <alignment horizontal="center" vertical="top"/>
    </xf>
    <xf numFmtId="0" fontId="28" fillId="2" borderId="29" xfId="0" applyFont="1" applyFill="1" applyBorder="1" applyAlignment="1">
      <alignment horizontal="center" vertical="center"/>
    </xf>
    <xf numFmtId="0" fontId="28" fillId="2" borderId="49" xfId="0" quotePrefix="1" applyFont="1" applyFill="1" applyBorder="1" applyAlignment="1">
      <alignment horizontal="center"/>
    </xf>
    <xf numFmtId="0" fontId="28" fillId="2" borderId="42" xfId="0" applyFont="1" applyFill="1" applyBorder="1" applyAlignment="1">
      <alignment horizontal="center"/>
    </xf>
    <xf numFmtId="9" fontId="40" fillId="2" borderId="42" xfId="0" applyNumberFormat="1" applyFont="1" applyFill="1" applyBorder="1" applyAlignment="1">
      <alignment horizontal="center" vertical="top"/>
    </xf>
    <xf numFmtId="0" fontId="28" fillId="2" borderId="58" xfId="0" applyNumberFormat="1" applyFont="1" applyFill="1" applyBorder="1" applyAlignment="1">
      <alignment horizontal="center" vertical="top"/>
    </xf>
    <xf numFmtId="0" fontId="28" fillId="2" borderId="58" xfId="0" applyFont="1" applyFill="1" applyBorder="1" applyAlignment="1">
      <alignment horizontal="center" vertical="top" wrapText="1"/>
    </xf>
    <xf numFmtId="0" fontId="28" fillId="2" borderId="49" xfId="0" quotePrefix="1" applyNumberFormat="1" applyFont="1" applyFill="1" applyBorder="1" applyAlignment="1">
      <alignment horizontal="center"/>
    </xf>
    <xf numFmtId="0" fontId="28" fillId="2" borderId="42" xfId="0" applyNumberFormat="1" applyFont="1" applyFill="1" applyBorder="1" applyAlignment="1">
      <alignment horizontal="center"/>
    </xf>
    <xf numFmtId="49" fontId="28" fillId="2" borderId="29" xfId="0" applyNumberFormat="1" applyFont="1" applyFill="1" applyBorder="1" applyAlignment="1">
      <alignment horizontal="center" vertical="top"/>
    </xf>
    <xf numFmtId="0" fontId="40" fillId="2" borderId="42" xfId="0" applyNumberFormat="1" applyFont="1" applyFill="1" applyBorder="1" applyAlignment="1">
      <alignment horizontal="center" vertical="top"/>
    </xf>
    <xf numFmtId="0" fontId="0" fillId="0" borderId="85" xfId="0" applyBorder="1" applyAlignment="1"/>
    <xf numFmtId="173" fontId="36" fillId="4" borderId="86" xfId="0" applyNumberFormat="1" applyFont="1" applyFill="1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right"/>
    </xf>
    <xf numFmtId="173" fontId="29" fillId="0" borderId="88" xfId="0" applyNumberFormat="1" applyFont="1" applyBorder="1" applyAlignment="1">
      <alignment horizontal="right"/>
    </xf>
    <xf numFmtId="0" fontId="0" fillId="0" borderId="88" xfId="0" applyBorder="1" applyAlignment="1">
      <alignment horizontal="right"/>
    </xf>
    <xf numFmtId="173" fontId="29" fillId="0" borderId="88" xfId="0" applyNumberFormat="1" applyFont="1" applyBorder="1" applyAlignment="1">
      <alignment horizontal="right" wrapText="1"/>
    </xf>
    <xf numFmtId="0" fontId="0" fillId="0" borderId="88" xfId="0" applyBorder="1" applyAlignment="1">
      <alignment horizontal="right" wrapText="1"/>
    </xf>
    <xf numFmtId="175" fontId="29" fillId="0" borderId="88" xfId="0" applyNumberFormat="1" applyFont="1" applyBorder="1" applyAlignment="1">
      <alignment horizontal="right"/>
    </xf>
    <xf numFmtId="0" fontId="0" fillId="0" borderId="89" xfId="0" applyBorder="1" applyAlignment="1">
      <alignment horizontal="right"/>
    </xf>
    <xf numFmtId="173" fontId="29" fillId="0" borderId="90" xfId="0" applyNumberFormat="1" applyFont="1" applyBorder="1" applyAlignment="1">
      <alignment horizontal="right"/>
    </xf>
    <xf numFmtId="0" fontId="0" fillId="0" borderId="90" xfId="0" applyBorder="1" applyAlignment="1">
      <alignment horizontal="right"/>
    </xf>
    <xf numFmtId="0" fontId="36" fillId="2" borderId="83" xfId="0" applyFont="1" applyFill="1" applyBorder="1" applyAlignment="1">
      <alignment horizontal="center" vertical="center"/>
    </xf>
    <xf numFmtId="0" fontId="51" fillId="2" borderId="82" xfId="0" applyFont="1" applyFill="1" applyBorder="1" applyAlignment="1">
      <alignment horizontal="center" vertical="center" wrapText="1"/>
    </xf>
    <xf numFmtId="174" fontId="29" fillId="2" borderId="83" xfId="0" applyNumberFormat="1" applyFont="1" applyFill="1" applyBorder="1" applyAlignment="1"/>
    <xf numFmtId="174" fontId="29" fillId="0" borderId="81" xfId="0" applyNumberFormat="1" applyFont="1" applyBorder="1"/>
    <xf numFmtId="174" fontId="29" fillId="0" borderId="92" xfId="0" applyNumberFormat="1" applyFont="1" applyBorder="1"/>
    <xf numFmtId="173" fontId="36" fillId="4" borderId="83" xfId="0" applyNumberFormat="1" applyFont="1" applyFill="1" applyBorder="1" applyAlignment="1"/>
    <xf numFmtId="173" fontId="29" fillId="0" borderId="81" xfId="0" applyNumberFormat="1" applyFont="1" applyBorder="1"/>
    <xf numFmtId="173" fontId="29" fillId="0" borderId="82" xfId="0" applyNumberFormat="1" applyFont="1" applyBorder="1"/>
    <xf numFmtId="173" fontId="36" fillId="2" borderId="83" xfId="0" applyNumberFormat="1" applyFont="1" applyFill="1" applyBorder="1" applyAlignment="1"/>
    <xf numFmtId="173" fontId="29" fillId="0" borderId="92" xfId="0" applyNumberFormat="1" applyFont="1" applyBorder="1"/>
    <xf numFmtId="173" fontId="29" fillId="0" borderId="83" xfId="0" applyNumberFormat="1" applyFont="1" applyBorder="1"/>
    <xf numFmtId="173" fontId="36" fillId="4" borderId="93" xfId="0" applyNumberFormat="1" applyFont="1" applyFill="1" applyBorder="1" applyAlignment="1">
      <alignment horizontal="center"/>
    </xf>
    <xf numFmtId="173" fontId="29" fillId="0" borderId="94" xfId="0" applyNumberFormat="1" applyFont="1" applyBorder="1" applyAlignment="1">
      <alignment horizontal="right"/>
    </xf>
    <xf numFmtId="175" fontId="29" fillId="0" borderId="94" xfId="0" applyNumberFormat="1" applyFont="1" applyBorder="1" applyAlignment="1">
      <alignment horizontal="right"/>
    </xf>
    <xf numFmtId="173" fontId="29" fillId="0" borderId="95" xfId="0" applyNumberFormat="1" applyFont="1" applyBorder="1" applyAlignment="1">
      <alignment horizontal="right"/>
    </xf>
    <xf numFmtId="0" fontId="0" fillId="0" borderId="91" xfId="0" applyBorder="1"/>
    <xf numFmtId="173" fontId="36" fillId="4" borderId="32" xfId="0" applyNumberFormat="1" applyFont="1" applyFill="1" applyBorder="1" applyAlignment="1">
      <alignment horizontal="center"/>
    </xf>
    <xf numFmtId="173" fontId="29" fillId="0" borderId="67" xfId="0" applyNumberFormat="1" applyFont="1" applyBorder="1" applyAlignment="1">
      <alignment horizontal="right"/>
    </xf>
    <xf numFmtId="175" fontId="29" fillId="0" borderId="67" xfId="0" applyNumberFormat="1" applyFont="1" applyBorder="1" applyAlignment="1">
      <alignment horizontal="right"/>
    </xf>
    <xf numFmtId="173" fontId="29" fillId="0" borderId="75" xfId="0" applyNumberFormat="1" applyFont="1" applyBorder="1" applyAlignment="1">
      <alignment horizontal="right"/>
    </xf>
    <xf numFmtId="0" fontId="29" fillId="2" borderId="50" xfId="0" applyFont="1" applyFill="1" applyBorder="1" applyAlignment="1">
      <alignment vertical="center"/>
    </xf>
    <xf numFmtId="0" fontId="28" fillId="2" borderId="14" xfId="26" applyNumberFormat="1" applyFont="1" applyFill="1" applyBorder="1"/>
    <xf numFmtId="0" fontId="28" fillId="2" borderId="0" xfId="26" applyNumberFormat="1" applyFont="1" applyFill="1" applyBorder="1"/>
    <xf numFmtId="0" fontId="28" fillId="2" borderId="15" xfId="26" applyNumberFormat="1" applyFont="1" applyFill="1" applyBorder="1" applyAlignment="1">
      <alignment horizontal="right"/>
    </xf>
    <xf numFmtId="0" fontId="29" fillId="0" borderId="18" xfId="0" applyFont="1" applyFill="1" applyBorder="1"/>
    <xf numFmtId="169" fontId="29" fillId="0" borderId="26" xfId="0" applyNumberFormat="1" applyFont="1" applyFill="1" applyBorder="1"/>
    <xf numFmtId="0" fontId="29" fillId="0" borderId="26" xfId="0" applyFont="1" applyFill="1" applyBorder="1"/>
    <xf numFmtId="0" fontId="36" fillId="0" borderId="18" xfId="0" applyFont="1" applyFill="1" applyBorder="1"/>
    <xf numFmtId="0" fontId="55" fillId="0" borderId="0" xfId="0" applyFont="1" applyFill="1"/>
    <xf numFmtId="0" fontId="56" fillId="0" borderId="0" xfId="0" applyFont="1" applyFill="1"/>
    <xf numFmtId="3" fontId="29" fillId="0" borderId="26" xfId="0" applyNumberFormat="1" applyFont="1" applyFill="1" applyBorder="1"/>
    <xf numFmtId="169" fontId="29" fillId="0" borderId="19" xfId="0" applyNumberFormat="1" applyFont="1" applyFill="1" applyBorder="1"/>
    <xf numFmtId="0" fontId="29" fillId="2" borderId="30" xfId="0" applyFont="1" applyFill="1" applyBorder="1" applyAlignment="1">
      <alignment horizontal="center" vertical="top" wrapText="1"/>
    </xf>
    <xf numFmtId="0" fontId="28" fillId="2" borderId="30" xfId="0" applyFont="1" applyFill="1" applyBorder="1" applyAlignment="1">
      <alignment horizontal="center" vertical="top" wrapText="1"/>
    </xf>
    <xf numFmtId="0" fontId="28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28" fillId="2" borderId="30" xfId="0" applyFont="1" applyFill="1" applyBorder="1" applyAlignment="1">
      <alignment horizontal="center" vertical="center"/>
    </xf>
    <xf numFmtId="3" fontId="28" fillId="2" borderId="14" xfId="0" applyNumberFormat="1" applyFont="1" applyFill="1" applyBorder="1" applyAlignment="1">
      <alignment horizontal="left"/>
    </xf>
    <xf numFmtId="3" fontId="28" fillId="2" borderId="15" xfId="0" applyNumberFormat="1" applyFont="1" applyFill="1" applyBorder="1" applyAlignment="1">
      <alignment horizontal="center"/>
    </xf>
    <xf numFmtId="3" fontId="28" fillId="2" borderId="0" xfId="0" applyNumberFormat="1" applyFont="1" applyFill="1" applyBorder="1" applyAlignment="1">
      <alignment horizontal="center"/>
    </xf>
    <xf numFmtId="9" fontId="40" fillId="2" borderId="15" xfId="0" applyNumberFormat="1" applyFont="1" applyFill="1" applyBorder="1" applyAlignment="1">
      <alignment horizontal="center" vertical="top"/>
    </xf>
    <xf numFmtId="3" fontId="28" fillId="2" borderId="15" xfId="0" applyNumberFormat="1" applyFont="1" applyFill="1" applyBorder="1" applyAlignment="1">
      <alignment horizontal="center" vertical="top"/>
    </xf>
    <xf numFmtId="3" fontId="29" fillId="0" borderId="19" xfId="0" applyNumberFormat="1" applyFont="1" applyFill="1" applyBorder="1"/>
    <xf numFmtId="0" fontId="29" fillId="0" borderId="23" xfId="0" applyFont="1" applyFill="1" applyBorder="1"/>
    <xf numFmtId="169" fontId="29" fillId="0" borderId="60" xfId="0" applyNumberFormat="1" applyFont="1" applyFill="1" applyBorder="1"/>
    <xf numFmtId="0" fontId="29" fillId="0" borderId="60" xfId="0" applyFont="1" applyFill="1" applyBorder="1"/>
    <xf numFmtId="9" fontId="29" fillId="0" borderId="60" xfId="0" applyNumberFormat="1" applyFont="1" applyFill="1" applyBorder="1"/>
    <xf numFmtId="9" fontId="29" fillId="0" borderId="61" xfId="0" applyNumberFormat="1" applyFont="1" applyFill="1" applyBorder="1"/>
    <xf numFmtId="0" fontId="29" fillId="0" borderId="69" xfId="0" applyFont="1" applyFill="1" applyBorder="1"/>
    <xf numFmtId="169" fontId="29" fillId="0" borderId="70" xfId="0" applyNumberFormat="1" applyFont="1" applyFill="1" applyBorder="1"/>
    <xf numFmtId="0" fontId="29" fillId="0" borderId="70" xfId="0" applyFont="1" applyFill="1" applyBorder="1"/>
    <xf numFmtId="9" fontId="29" fillId="0" borderId="70" xfId="0" applyNumberFormat="1" applyFont="1" applyFill="1" applyBorder="1"/>
    <xf numFmtId="9" fontId="29" fillId="0" borderId="71" xfId="0" applyNumberFormat="1" applyFont="1" applyFill="1" applyBorder="1"/>
    <xf numFmtId="0" fontId="29" fillId="0" borderId="62" xfId="0" applyFont="1" applyFill="1" applyBorder="1"/>
    <xf numFmtId="169" fontId="29" fillId="0" borderId="63" xfId="0" applyNumberFormat="1" applyFont="1" applyFill="1" applyBorder="1"/>
    <xf numFmtId="0" fontId="29" fillId="0" borderId="63" xfId="0" applyFont="1" applyFill="1" applyBorder="1"/>
    <xf numFmtId="9" fontId="29" fillId="0" borderId="63" xfId="0" applyNumberFormat="1" applyFont="1" applyFill="1" applyBorder="1"/>
    <xf numFmtId="9" fontId="29" fillId="0" borderId="64" xfId="0" applyNumberFormat="1" applyFont="1" applyFill="1" applyBorder="1"/>
    <xf numFmtId="0" fontId="36" fillId="0" borderId="23" xfId="0" applyFont="1" applyFill="1" applyBorder="1"/>
    <xf numFmtId="0" fontId="36" fillId="0" borderId="69" xfId="0" applyFont="1" applyFill="1" applyBorder="1"/>
    <xf numFmtId="0" fontId="36" fillId="0" borderId="62" xfId="0" applyFont="1" applyFill="1" applyBorder="1"/>
    <xf numFmtId="49" fontId="28" fillId="2" borderId="30" xfId="0" applyNumberFormat="1" applyFont="1" applyFill="1" applyBorder="1" applyAlignment="1">
      <alignment horizontal="center" vertical="top"/>
    </xf>
    <xf numFmtId="0" fontId="28" fillId="2" borderId="14" xfId="0" applyNumberFormat="1" applyFont="1" applyFill="1" applyBorder="1" applyAlignment="1">
      <alignment horizontal="left"/>
    </xf>
    <xf numFmtId="0" fontId="28" fillId="2" borderId="15" xfId="0" applyNumberFormat="1" applyFont="1" applyFill="1" applyBorder="1" applyAlignment="1">
      <alignment horizontal="left"/>
    </xf>
    <xf numFmtId="0" fontId="28" fillId="2" borderId="0" xfId="0" applyNumberFormat="1" applyFont="1" applyFill="1" applyBorder="1" applyAlignment="1">
      <alignment horizontal="left"/>
    </xf>
    <xf numFmtId="0" fontId="40" fillId="2" borderId="15" xfId="0" applyNumberFormat="1" applyFont="1" applyFill="1" applyBorder="1" applyAlignment="1">
      <alignment horizontal="center" vertical="top"/>
    </xf>
    <xf numFmtId="3" fontId="29" fillId="0" borderId="60" xfId="0" applyNumberFormat="1" applyFont="1" applyFill="1" applyBorder="1"/>
    <xf numFmtId="3" fontId="29" fillId="0" borderId="61" xfId="0" applyNumberFormat="1" applyFont="1" applyFill="1" applyBorder="1"/>
    <xf numFmtId="3" fontId="29" fillId="0" borderId="70" xfId="0" applyNumberFormat="1" applyFont="1" applyFill="1" applyBorder="1"/>
    <xf numFmtId="3" fontId="29" fillId="0" borderId="71" xfId="0" applyNumberFormat="1" applyFont="1" applyFill="1" applyBorder="1"/>
    <xf numFmtId="3" fontId="29" fillId="0" borderId="63" xfId="0" applyNumberFormat="1" applyFont="1" applyFill="1" applyBorder="1"/>
    <xf numFmtId="3" fontId="29" fillId="0" borderId="64" xfId="0" applyNumberFormat="1" applyFont="1" applyFill="1" applyBorder="1"/>
  </cellXfs>
  <cellStyles count="94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3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Procenta 10" xfId="79"/>
    <cellStyle name="Procenta 11" xfId="80"/>
    <cellStyle name="Procenta 2" xfId="81"/>
    <cellStyle name="Procenta 2 2" xfId="82"/>
    <cellStyle name="Procenta 2 2 2" xfId="83"/>
    <cellStyle name="Procenta 2 3" xfId="84"/>
    <cellStyle name="Procenta 3" xfId="85"/>
    <cellStyle name="Procenta 3 2" xfId="86"/>
    <cellStyle name="Procenta 4" xfId="87"/>
    <cellStyle name="Procenta 5" xfId="88"/>
    <cellStyle name="Procenta 6" xfId="89"/>
    <cellStyle name="Procenta 7" xfId="90"/>
    <cellStyle name="Procenta 8" xfId="91"/>
    <cellStyle name="Procenta 9" xfId="92"/>
  </cellStyles>
  <dxfs count="1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745040"/>
        <c:axId val="8037423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4.4314225802952043E-4</c:v>
                </c:pt>
                <c:pt idx="1">
                  <c:v>4.4314225802952043E-4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742864"/>
        <c:axId val="803743952"/>
      </c:scatterChart>
      <c:catAx>
        <c:axId val="80374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374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742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03745040"/>
        <c:crosses val="autoZero"/>
        <c:crossBetween val="between"/>
      </c:valAx>
      <c:valAx>
        <c:axId val="8037428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03743952"/>
        <c:crosses val="max"/>
        <c:crossBetween val="midCat"/>
      </c:valAx>
      <c:valAx>
        <c:axId val="803743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0374286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39" hidden="1" customWidth="1"/>
    <col min="4" max="16384" width="8.88671875" style="96"/>
  </cols>
  <sheetData>
    <row r="1" spans="1:3" ht="18.600000000000001" customHeight="1" thickBot="1" x14ac:dyDescent="0.4">
      <c r="A1" s="243" t="s">
        <v>78</v>
      </c>
      <c r="B1" s="243"/>
    </row>
    <row r="2" spans="1:3" ht="14.4" customHeight="1" thickBot="1" x14ac:dyDescent="0.35">
      <c r="A2" s="183" t="s">
        <v>169</v>
      </c>
      <c r="B2" s="38"/>
    </row>
    <row r="3" spans="1:3" ht="14.4" customHeight="1" thickBot="1" x14ac:dyDescent="0.35">
      <c r="A3" s="239" t="s">
        <v>95</v>
      </c>
      <c r="B3" s="240"/>
    </row>
    <row r="4" spans="1:3" ht="14.4" customHeight="1" x14ac:dyDescent="0.3">
      <c r="A4" s="107" t="str">
        <f t="shared" ref="A4:A7" si="0">HYPERLINK("#'"&amp;C4&amp;"'!A1",C4)</f>
        <v>Motivace</v>
      </c>
      <c r="B4" s="58" t="s">
        <v>85</v>
      </c>
      <c r="C4" s="39" t="s">
        <v>86</v>
      </c>
    </row>
    <row r="5" spans="1:3" ht="14.4" customHeight="1" x14ac:dyDescent="0.3">
      <c r="A5" s="108" t="str">
        <f t="shared" si="0"/>
        <v>HI</v>
      </c>
      <c r="B5" s="59" t="s">
        <v>94</v>
      </c>
      <c r="C5" s="39" t="s">
        <v>81</v>
      </c>
    </row>
    <row r="6" spans="1:3" ht="14.4" customHeight="1" x14ac:dyDescent="0.3">
      <c r="A6" s="109" t="str">
        <f t="shared" si="0"/>
        <v>HI Graf</v>
      </c>
      <c r="B6" s="60" t="s">
        <v>74</v>
      </c>
      <c r="C6" s="39" t="s">
        <v>82</v>
      </c>
    </row>
    <row r="7" spans="1:3" ht="14.4" customHeight="1" thickBot="1" x14ac:dyDescent="0.35">
      <c r="A7" s="109" t="str">
        <f t="shared" si="0"/>
        <v>Man Tab</v>
      </c>
      <c r="B7" s="60" t="s">
        <v>171</v>
      </c>
      <c r="C7" s="39" t="s">
        <v>83</v>
      </c>
    </row>
    <row r="8" spans="1:3" ht="14.4" customHeight="1" thickBot="1" x14ac:dyDescent="0.35">
      <c r="A8" s="61"/>
      <c r="B8" s="61"/>
    </row>
    <row r="9" spans="1:3" ht="14.4" customHeight="1" thickBot="1" x14ac:dyDescent="0.35">
      <c r="A9" s="241" t="s">
        <v>79</v>
      </c>
      <c r="B9" s="240"/>
    </row>
    <row r="10" spans="1:3" ht="14.4" customHeight="1" thickBot="1" x14ac:dyDescent="0.35">
      <c r="A10" s="110" t="str">
        <f t="shared" ref="A10" si="1">HYPERLINK("#'"&amp;C10&amp;"'!A1",C10)</f>
        <v>Osobní náklady</v>
      </c>
      <c r="B10" s="60" t="s">
        <v>76</v>
      </c>
      <c r="C10" s="39" t="s">
        <v>84</v>
      </c>
    </row>
    <row r="11" spans="1:3" ht="14.4" customHeight="1" thickBot="1" x14ac:dyDescent="0.35">
      <c r="A11" s="62"/>
      <c r="B11" s="62"/>
    </row>
    <row r="12" spans="1:3" ht="14.4" customHeight="1" thickBot="1" x14ac:dyDescent="0.35">
      <c r="A12" s="242" t="s">
        <v>80</v>
      </c>
      <c r="B12" s="240"/>
    </row>
    <row r="13" spans="1:3" ht="14.4" customHeight="1" x14ac:dyDescent="0.3">
      <c r="A13" s="111" t="str">
        <f t="shared" ref="A13:A17" si="2">HYPERLINK("#'"&amp;C13&amp;"'!A1",C13)</f>
        <v>ZV Vykáz.-A</v>
      </c>
      <c r="B13" s="59" t="s">
        <v>174</v>
      </c>
      <c r="C13" s="39" t="s">
        <v>87</v>
      </c>
    </row>
    <row r="14" spans="1:3" ht="14.4" customHeight="1" x14ac:dyDescent="0.3">
      <c r="A14" s="109" t="str">
        <f t="shared" ref="A14" si="3">HYPERLINK("#'"&amp;C14&amp;"'!A1",C14)</f>
        <v>ZV Vykáz.-A Lékaři</v>
      </c>
      <c r="B14" s="60" t="s">
        <v>180</v>
      </c>
      <c r="C14" s="39" t="s">
        <v>148</v>
      </c>
    </row>
    <row r="15" spans="1:3" ht="14.4" customHeight="1" x14ac:dyDescent="0.3">
      <c r="A15" s="109" t="str">
        <f t="shared" si="2"/>
        <v>ZV Vykáz.-A Detail</v>
      </c>
      <c r="B15" s="60" t="s">
        <v>185</v>
      </c>
      <c r="C15" s="39" t="s">
        <v>88</v>
      </c>
    </row>
    <row r="16" spans="1:3" ht="14.4" customHeight="1" x14ac:dyDescent="0.3">
      <c r="A16" s="109" t="str">
        <f t="shared" si="2"/>
        <v>ZV Vykáz.-H</v>
      </c>
      <c r="B16" s="60" t="s">
        <v>91</v>
      </c>
      <c r="C16" s="39" t="s">
        <v>89</v>
      </c>
    </row>
    <row r="17" spans="1:3" ht="14.4" customHeight="1" x14ac:dyDescent="0.3">
      <c r="A17" s="109" t="str">
        <f t="shared" si="2"/>
        <v>ZV Vykáz.-H Detail</v>
      </c>
      <c r="B17" s="60" t="s">
        <v>216</v>
      </c>
      <c r="C17" s="39" t="s">
        <v>90</v>
      </c>
    </row>
  </sheetData>
  <mergeCells count="4">
    <mergeCell ref="A3:B3"/>
    <mergeCell ref="A9:B9"/>
    <mergeCell ref="A12:B1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96" bestFit="1" customWidth="1"/>
    <col min="2" max="2" width="6.109375" style="96" customWidth="1"/>
    <col min="3" max="3" width="2.109375" style="96" bestFit="1" customWidth="1"/>
    <col min="4" max="4" width="8" style="96" customWidth="1"/>
    <col min="5" max="5" width="50.88671875" style="96" bestFit="1" customWidth="1"/>
    <col min="6" max="7" width="11.109375" style="167" customWidth="1"/>
    <col min="8" max="9" width="9.33203125" style="96" hidden="1" customWidth="1"/>
    <col min="10" max="11" width="11.109375" style="167" customWidth="1"/>
    <col min="12" max="13" width="9.33203125" style="96" hidden="1" customWidth="1"/>
    <col min="14" max="15" width="11.109375" style="167" customWidth="1"/>
    <col min="16" max="16" width="11.109375" style="168" customWidth="1"/>
    <col min="17" max="17" width="11.109375" style="167" customWidth="1"/>
    <col min="18" max="16384" width="8.88671875" style="96"/>
  </cols>
  <sheetData>
    <row r="1" spans="1:17" ht="18.600000000000001" customHeight="1" thickBot="1" x14ac:dyDescent="0.4">
      <c r="A1" s="243" t="s">
        <v>185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7" ht="14.4" customHeight="1" thickBot="1" x14ac:dyDescent="0.35">
      <c r="A2" s="183" t="s">
        <v>169</v>
      </c>
      <c r="B2" s="238"/>
      <c r="C2" s="97"/>
      <c r="D2" s="232"/>
      <c r="E2" s="97"/>
      <c r="F2" s="177"/>
      <c r="G2" s="177"/>
      <c r="H2" s="97"/>
      <c r="I2" s="97"/>
      <c r="J2" s="177"/>
      <c r="K2" s="177"/>
      <c r="L2" s="97"/>
      <c r="M2" s="97"/>
      <c r="N2" s="177"/>
      <c r="O2" s="177"/>
      <c r="P2" s="178"/>
      <c r="Q2" s="177"/>
    </row>
    <row r="3" spans="1:17" ht="14.4" customHeight="1" thickBot="1" x14ac:dyDescent="0.35">
      <c r="E3" s="57" t="s">
        <v>92</v>
      </c>
      <c r="F3" s="68">
        <f t="shared" ref="F3:O3" si="0">SUBTOTAL(9,F6:F1048576)</f>
        <v>1</v>
      </c>
      <c r="G3" s="69">
        <f t="shared" si="0"/>
        <v>327</v>
      </c>
      <c r="H3" s="52"/>
      <c r="I3" s="52"/>
      <c r="J3" s="69">
        <f t="shared" si="0"/>
        <v>0</v>
      </c>
      <c r="K3" s="69">
        <f t="shared" si="0"/>
        <v>0</v>
      </c>
      <c r="L3" s="52"/>
      <c r="M3" s="52"/>
      <c r="N3" s="69">
        <f t="shared" si="0"/>
        <v>0</v>
      </c>
      <c r="O3" s="69">
        <f t="shared" si="0"/>
        <v>0</v>
      </c>
      <c r="P3" s="53">
        <f>IF(G3=0,0,O3/G3)</f>
        <v>0</v>
      </c>
      <c r="Q3" s="70">
        <f>IF(N3=0,0,O3/N3)</f>
        <v>0</v>
      </c>
    </row>
    <row r="4" spans="1:17" ht="14.4" customHeight="1" x14ac:dyDescent="0.3">
      <c r="A4" s="270" t="s">
        <v>65</v>
      </c>
      <c r="B4" s="277" t="s">
        <v>0</v>
      </c>
      <c r="C4" s="271" t="s">
        <v>66</v>
      </c>
      <c r="D4" s="276" t="s">
        <v>41</v>
      </c>
      <c r="E4" s="272" t="s">
        <v>40</v>
      </c>
      <c r="F4" s="273">
        <v>2014</v>
      </c>
      <c r="G4" s="274"/>
      <c r="H4" s="67"/>
      <c r="I4" s="67"/>
      <c r="J4" s="273">
        <v>2015</v>
      </c>
      <c r="K4" s="274"/>
      <c r="L4" s="67"/>
      <c r="M4" s="67"/>
      <c r="N4" s="273">
        <v>2016</v>
      </c>
      <c r="O4" s="274"/>
      <c r="P4" s="275" t="s">
        <v>1</v>
      </c>
      <c r="Q4" s="269" t="s">
        <v>68</v>
      </c>
    </row>
    <row r="5" spans="1:17" ht="14.4" customHeight="1" thickBot="1" x14ac:dyDescent="0.35">
      <c r="A5" s="326"/>
      <c r="B5" s="327"/>
      <c r="C5" s="328"/>
      <c r="D5" s="329"/>
      <c r="E5" s="330"/>
      <c r="F5" s="331" t="s">
        <v>42</v>
      </c>
      <c r="G5" s="332" t="s">
        <v>4</v>
      </c>
      <c r="H5" s="333"/>
      <c r="I5" s="333"/>
      <c r="J5" s="331" t="s">
        <v>42</v>
      </c>
      <c r="K5" s="332" t="s">
        <v>4</v>
      </c>
      <c r="L5" s="333"/>
      <c r="M5" s="333"/>
      <c r="N5" s="331" t="s">
        <v>42</v>
      </c>
      <c r="O5" s="332" t="s">
        <v>4</v>
      </c>
      <c r="P5" s="334"/>
      <c r="Q5" s="335"/>
    </row>
    <row r="6" spans="1:17" ht="14.4" customHeight="1" thickBot="1" x14ac:dyDescent="0.35">
      <c r="A6" s="318" t="s">
        <v>181</v>
      </c>
      <c r="B6" s="320" t="s">
        <v>175</v>
      </c>
      <c r="C6" s="320" t="s">
        <v>182</v>
      </c>
      <c r="D6" s="320" t="s">
        <v>183</v>
      </c>
      <c r="E6" s="320" t="s">
        <v>184</v>
      </c>
      <c r="F6" s="324">
        <v>1</v>
      </c>
      <c r="G6" s="324">
        <v>327</v>
      </c>
      <c r="H6" s="320">
        <v>1</v>
      </c>
      <c r="I6" s="320">
        <v>327</v>
      </c>
      <c r="J6" s="324"/>
      <c r="K6" s="324"/>
      <c r="L6" s="320"/>
      <c r="M6" s="320"/>
      <c r="N6" s="324"/>
      <c r="O6" s="324"/>
      <c r="P6" s="229"/>
      <c r="Q6" s="336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96" bestFit="1" customWidth="1"/>
    <col min="2" max="2" width="7.77734375" style="72" customWidth="1"/>
    <col min="3" max="3" width="0.109375" style="96" hidden="1" customWidth="1"/>
    <col min="4" max="4" width="7.77734375" style="72" customWidth="1"/>
    <col min="5" max="5" width="5.44140625" style="96" hidden="1" customWidth="1"/>
    <col min="6" max="6" width="7.77734375" style="72" customWidth="1"/>
    <col min="7" max="7" width="7.77734375" style="168" customWidth="1"/>
    <col min="8" max="8" width="7.77734375" style="72" customWidth="1"/>
    <col min="9" max="9" width="5.44140625" style="96" hidden="1" customWidth="1"/>
    <col min="10" max="10" width="7.77734375" style="72" customWidth="1"/>
    <col min="11" max="11" width="5.44140625" style="96" hidden="1" customWidth="1"/>
    <col min="12" max="12" width="7.77734375" style="72" customWidth="1"/>
    <col min="13" max="13" width="7.77734375" style="168" customWidth="1"/>
    <col min="14" max="14" width="7.77734375" style="72" customWidth="1"/>
    <col min="15" max="15" width="5" style="96" hidden="1" customWidth="1"/>
    <col min="16" max="16" width="7.77734375" style="72" customWidth="1"/>
    <col min="17" max="17" width="5" style="96" hidden="1" customWidth="1"/>
    <col min="18" max="18" width="7.77734375" style="72" customWidth="1"/>
    <col min="19" max="19" width="7.77734375" style="168" customWidth="1"/>
    <col min="20" max="16384" width="8.88671875" style="96"/>
  </cols>
  <sheetData>
    <row r="1" spans="1:19" ht="18.600000000000001" customHeight="1" thickBot="1" x14ac:dyDescent="0.4">
      <c r="A1" s="252" t="s">
        <v>91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</row>
    <row r="2" spans="1:19" ht="14.4" customHeight="1" thickBot="1" x14ac:dyDescent="0.35">
      <c r="A2" s="183" t="s">
        <v>169</v>
      </c>
      <c r="B2" s="175"/>
      <c r="C2" s="77"/>
      <c r="D2" s="175"/>
      <c r="E2" s="77"/>
      <c r="F2" s="175"/>
      <c r="G2" s="176"/>
      <c r="H2" s="175"/>
      <c r="I2" s="77"/>
      <c r="J2" s="175"/>
      <c r="K2" s="77"/>
      <c r="L2" s="175"/>
      <c r="M2" s="176"/>
      <c r="N2" s="175"/>
      <c r="O2" s="77"/>
      <c r="P2" s="175"/>
      <c r="Q2" s="77"/>
      <c r="R2" s="175"/>
      <c r="S2" s="176"/>
    </row>
    <row r="3" spans="1:19" ht="14.4" customHeight="1" thickBot="1" x14ac:dyDescent="0.35">
      <c r="A3" s="169" t="s">
        <v>92</v>
      </c>
      <c r="B3" s="170">
        <f>SUBTOTAL(9,B6:B1048576)</f>
        <v>17418</v>
      </c>
      <c r="C3" s="171">
        <f t="shared" ref="C3:R3" si="0">SUBTOTAL(9,C6:C1048576)</f>
        <v>9</v>
      </c>
      <c r="D3" s="171">
        <f t="shared" si="0"/>
        <v>22662</v>
      </c>
      <c r="E3" s="171">
        <f t="shared" si="0"/>
        <v>12.303407122701788</v>
      </c>
      <c r="F3" s="171">
        <f t="shared" si="0"/>
        <v>14160</v>
      </c>
      <c r="G3" s="174">
        <f>IF(B3&lt;&gt;0,F3/B3,"")</f>
        <v>0.81295211849810545</v>
      </c>
      <c r="H3" s="170">
        <f t="shared" si="0"/>
        <v>0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2" t="str">
        <f>IF(H3&lt;&gt;0,L3/H3,"")</f>
        <v/>
      </c>
      <c r="N3" s="173">
        <f t="shared" si="0"/>
        <v>0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2" t="str">
        <f>IF(N3&lt;&gt;0,R3/N3,"")</f>
        <v/>
      </c>
    </row>
    <row r="4" spans="1:19" ht="14.4" customHeight="1" x14ac:dyDescent="0.3">
      <c r="A4" s="262" t="s">
        <v>75</v>
      </c>
      <c r="B4" s="263" t="s">
        <v>69</v>
      </c>
      <c r="C4" s="264"/>
      <c r="D4" s="264"/>
      <c r="E4" s="264"/>
      <c r="F4" s="264"/>
      <c r="G4" s="265"/>
      <c r="H4" s="263" t="s">
        <v>70</v>
      </c>
      <c r="I4" s="264"/>
      <c r="J4" s="264"/>
      <c r="K4" s="264"/>
      <c r="L4" s="264"/>
      <c r="M4" s="265"/>
      <c r="N4" s="263" t="s">
        <v>71</v>
      </c>
      <c r="O4" s="264"/>
      <c r="P4" s="264"/>
      <c r="Q4" s="264"/>
      <c r="R4" s="264"/>
      <c r="S4" s="265"/>
    </row>
    <row r="5" spans="1:19" ht="14.4" customHeight="1" thickBot="1" x14ac:dyDescent="0.35">
      <c r="A5" s="314"/>
      <c r="B5" s="315">
        <v>2014</v>
      </c>
      <c r="C5" s="316"/>
      <c r="D5" s="316">
        <v>2015</v>
      </c>
      <c r="E5" s="316"/>
      <c r="F5" s="316">
        <v>2016</v>
      </c>
      <c r="G5" s="317" t="s">
        <v>1</v>
      </c>
      <c r="H5" s="315">
        <v>2014</v>
      </c>
      <c r="I5" s="316"/>
      <c r="J5" s="316">
        <v>2015</v>
      </c>
      <c r="K5" s="316"/>
      <c r="L5" s="316">
        <v>2016</v>
      </c>
      <c r="M5" s="317" t="s">
        <v>1</v>
      </c>
      <c r="N5" s="315">
        <v>2014</v>
      </c>
      <c r="O5" s="316"/>
      <c r="P5" s="316">
        <v>2015</v>
      </c>
      <c r="Q5" s="316"/>
      <c r="R5" s="316">
        <v>2016</v>
      </c>
      <c r="S5" s="317" t="s">
        <v>1</v>
      </c>
    </row>
    <row r="6" spans="1:19" ht="14.4" customHeight="1" x14ac:dyDescent="0.3">
      <c r="A6" s="352" t="s">
        <v>186</v>
      </c>
      <c r="B6" s="338"/>
      <c r="C6" s="339"/>
      <c r="D6" s="338">
        <v>1653</v>
      </c>
      <c r="E6" s="339"/>
      <c r="F6" s="338">
        <v>1062</v>
      </c>
      <c r="G6" s="340"/>
      <c r="H6" s="338"/>
      <c r="I6" s="339"/>
      <c r="J6" s="338"/>
      <c r="K6" s="339"/>
      <c r="L6" s="338"/>
      <c r="M6" s="340"/>
      <c r="N6" s="338"/>
      <c r="O6" s="339"/>
      <c r="P6" s="338"/>
      <c r="Q6" s="339"/>
      <c r="R6" s="338"/>
      <c r="S6" s="341"/>
    </row>
    <row r="7" spans="1:19" ht="14.4" customHeight="1" x14ac:dyDescent="0.3">
      <c r="A7" s="353" t="s">
        <v>187</v>
      </c>
      <c r="B7" s="343">
        <v>9855</v>
      </c>
      <c r="C7" s="344">
        <v>1</v>
      </c>
      <c r="D7" s="343">
        <v>3640</v>
      </c>
      <c r="E7" s="344">
        <v>0.36935565702688988</v>
      </c>
      <c r="F7" s="343">
        <v>1062</v>
      </c>
      <c r="G7" s="345">
        <v>0.10776255707762557</v>
      </c>
      <c r="H7" s="343"/>
      <c r="I7" s="344"/>
      <c r="J7" s="343"/>
      <c r="K7" s="344"/>
      <c r="L7" s="343"/>
      <c r="M7" s="345"/>
      <c r="N7" s="343"/>
      <c r="O7" s="344"/>
      <c r="P7" s="343"/>
      <c r="Q7" s="344"/>
      <c r="R7" s="343"/>
      <c r="S7" s="346"/>
    </row>
    <row r="8" spans="1:19" ht="14.4" customHeight="1" x14ac:dyDescent="0.3">
      <c r="A8" s="353" t="s">
        <v>188</v>
      </c>
      <c r="B8" s="343">
        <v>2801</v>
      </c>
      <c r="C8" s="344">
        <v>1</v>
      </c>
      <c r="D8" s="343">
        <v>11083</v>
      </c>
      <c r="E8" s="344">
        <v>3.9568011424491254</v>
      </c>
      <c r="F8" s="343">
        <v>2478</v>
      </c>
      <c r="G8" s="345">
        <v>0.88468404141378076</v>
      </c>
      <c r="H8" s="343"/>
      <c r="I8" s="344"/>
      <c r="J8" s="343"/>
      <c r="K8" s="344"/>
      <c r="L8" s="343"/>
      <c r="M8" s="345"/>
      <c r="N8" s="343"/>
      <c r="O8" s="344"/>
      <c r="P8" s="343"/>
      <c r="Q8" s="344"/>
      <c r="R8" s="343"/>
      <c r="S8" s="346"/>
    </row>
    <row r="9" spans="1:19" ht="14.4" customHeight="1" x14ac:dyDescent="0.3">
      <c r="A9" s="353" t="s">
        <v>189</v>
      </c>
      <c r="B9" s="343"/>
      <c r="C9" s="344"/>
      <c r="D9" s="343">
        <v>496</v>
      </c>
      <c r="E9" s="344"/>
      <c r="F9" s="343"/>
      <c r="G9" s="345"/>
      <c r="H9" s="343"/>
      <c r="I9" s="344"/>
      <c r="J9" s="343"/>
      <c r="K9" s="344"/>
      <c r="L9" s="343"/>
      <c r="M9" s="345"/>
      <c r="N9" s="343"/>
      <c r="O9" s="344"/>
      <c r="P9" s="343"/>
      <c r="Q9" s="344"/>
      <c r="R9" s="343"/>
      <c r="S9" s="346"/>
    </row>
    <row r="10" spans="1:19" ht="14.4" customHeight="1" x14ac:dyDescent="0.3">
      <c r="A10" s="353" t="s">
        <v>190</v>
      </c>
      <c r="B10" s="343">
        <v>660</v>
      </c>
      <c r="C10" s="344">
        <v>1</v>
      </c>
      <c r="D10" s="343">
        <v>1654</v>
      </c>
      <c r="E10" s="344">
        <v>2.5060606060606059</v>
      </c>
      <c r="F10" s="343">
        <v>1770</v>
      </c>
      <c r="G10" s="345">
        <v>2.6818181818181817</v>
      </c>
      <c r="H10" s="343"/>
      <c r="I10" s="344"/>
      <c r="J10" s="343"/>
      <c r="K10" s="344"/>
      <c r="L10" s="343"/>
      <c r="M10" s="345"/>
      <c r="N10" s="343"/>
      <c r="O10" s="344"/>
      <c r="P10" s="343"/>
      <c r="Q10" s="344"/>
      <c r="R10" s="343"/>
      <c r="S10" s="346"/>
    </row>
    <row r="11" spans="1:19" ht="14.4" customHeight="1" x14ac:dyDescent="0.3">
      <c r="A11" s="353" t="s">
        <v>191</v>
      </c>
      <c r="B11" s="343"/>
      <c r="C11" s="344"/>
      <c r="D11" s="343"/>
      <c r="E11" s="344"/>
      <c r="F11" s="343">
        <v>354</v>
      </c>
      <c r="G11" s="345"/>
      <c r="H11" s="343"/>
      <c r="I11" s="344"/>
      <c r="J11" s="343"/>
      <c r="K11" s="344"/>
      <c r="L11" s="343"/>
      <c r="M11" s="345"/>
      <c r="N11" s="343"/>
      <c r="O11" s="344"/>
      <c r="P11" s="343"/>
      <c r="Q11" s="344"/>
      <c r="R11" s="343"/>
      <c r="S11" s="346"/>
    </row>
    <row r="12" spans="1:19" ht="14.4" customHeight="1" x14ac:dyDescent="0.3">
      <c r="A12" s="353" t="s">
        <v>192</v>
      </c>
      <c r="B12" s="343">
        <v>490</v>
      </c>
      <c r="C12" s="344">
        <v>1</v>
      </c>
      <c r="D12" s="343">
        <v>1489</v>
      </c>
      <c r="E12" s="344">
        <v>3.0387755102040814</v>
      </c>
      <c r="F12" s="343">
        <v>3186</v>
      </c>
      <c r="G12" s="345">
        <v>6.5020408163265309</v>
      </c>
      <c r="H12" s="343"/>
      <c r="I12" s="344"/>
      <c r="J12" s="343"/>
      <c r="K12" s="344"/>
      <c r="L12" s="343"/>
      <c r="M12" s="345"/>
      <c r="N12" s="343"/>
      <c r="O12" s="344"/>
      <c r="P12" s="343"/>
      <c r="Q12" s="344"/>
      <c r="R12" s="343"/>
      <c r="S12" s="346"/>
    </row>
    <row r="13" spans="1:19" ht="14.4" customHeight="1" x14ac:dyDescent="0.3">
      <c r="A13" s="353" t="s">
        <v>193</v>
      </c>
      <c r="B13" s="343">
        <v>660</v>
      </c>
      <c r="C13" s="344">
        <v>1</v>
      </c>
      <c r="D13" s="343">
        <v>662</v>
      </c>
      <c r="E13" s="344">
        <v>1.0030303030303029</v>
      </c>
      <c r="F13" s="343">
        <v>1770</v>
      </c>
      <c r="G13" s="345">
        <v>2.6818181818181817</v>
      </c>
      <c r="H13" s="343"/>
      <c r="I13" s="344"/>
      <c r="J13" s="343"/>
      <c r="K13" s="344"/>
      <c r="L13" s="343"/>
      <c r="M13" s="345"/>
      <c r="N13" s="343"/>
      <c r="O13" s="344"/>
      <c r="P13" s="343"/>
      <c r="Q13" s="344"/>
      <c r="R13" s="343"/>
      <c r="S13" s="346"/>
    </row>
    <row r="14" spans="1:19" ht="14.4" customHeight="1" x14ac:dyDescent="0.3">
      <c r="A14" s="353" t="s">
        <v>194</v>
      </c>
      <c r="B14" s="343"/>
      <c r="C14" s="344"/>
      <c r="D14" s="343"/>
      <c r="E14" s="344"/>
      <c r="F14" s="343">
        <v>354</v>
      </c>
      <c r="G14" s="345"/>
      <c r="H14" s="343"/>
      <c r="I14" s="344"/>
      <c r="J14" s="343"/>
      <c r="K14" s="344"/>
      <c r="L14" s="343"/>
      <c r="M14" s="345"/>
      <c r="N14" s="343"/>
      <c r="O14" s="344"/>
      <c r="P14" s="343"/>
      <c r="Q14" s="344"/>
      <c r="R14" s="343"/>
      <c r="S14" s="346"/>
    </row>
    <row r="15" spans="1:19" ht="14.4" customHeight="1" x14ac:dyDescent="0.3">
      <c r="A15" s="353" t="s">
        <v>195</v>
      </c>
      <c r="B15" s="343">
        <v>327</v>
      </c>
      <c r="C15" s="344">
        <v>1</v>
      </c>
      <c r="D15" s="343"/>
      <c r="E15" s="344"/>
      <c r="F15" s="343">
        <v>354</v>
      </c>
      <c r="G15" s="345">
        <v>1.0825688073394495</v>
      </c>
      <c r="H15" s="343"/>
      <c r="I15" s="344"/>
      <c r="J15" s="343"/>
      <c r="K15" s="344"/>
      <c r="L15" s="343"/>
      <c r="M15" s="345"/>
      <c r="N15" s="343"/>
      <c r="O15" s="344"/>
      <c r="P15" s="343"/>
      <c r="Q15" s="344"/>
      <c r="R15" s="343"/>
      <c r="S15" s="346"/>
    </row>
    <row r="16" spans="1:19" ht="14.4" customHeight="1" x14ac:dyDescent="0.3">
      <c r="A16" s="353" t="s">
        <v>196</v>
      </c>
      <c r="B16" s="343">
        <v>1968</v>
      </c>
      <c r="C16" s="344">
        <v>1</v>
      </c>
      <c r="D16" s="343">
        <v>1820</v>
      </c>
      <c r="E16" s="344">
        <v>0.92479674796747968</v>
      </c>
      <c r="F16" s="343">
        <v>708</v>
      </c>
      <c r="G16" s="345">
        <v>0.3597560975609756</v>
      </c>
      <c r="H16" s="343"/>
      <c r="I16" s="344"/>
      <c r="J16" s="343"/>
      <c r="K16" s="344"/>
      <c r="L16" s="343"/>
      <c r="M16" s="345"/>
      <c r="N16" s="343"/>
      <c r="O16" s="344"/>
      <c r="P16" s="343"/>
      <c r="Q16" s="344"/>
      <c r="R16" s="343"/>
      <c r="S16" s="346"/>
    </row>
    <row r="17" spans="1:19" ht="14.4" customHeight="1" x14ac:dyDescent="0.3">
      <c r="A17" s="353" t="s">
        <v>197</v>
      </c>
      <c r="B17" s="343">
        <v>330</v>
      </c>
      <c r="C17" s="344">
        <v>1</v>
      </c>
      <c r="D17" s="343"/>
      <c r="E17" s="344"/>
      <c r="F17" s="343"/>
      <c r="G17" s="345"/>
      <c r="H17" s="343"/>
      <c r="I17" s="344"/>
      <c r="J17" s="343"/>
      <c r="K17" s="344"/>
      <c r="L17" s="343"/>
      <c r="M17" s="345"/>
      <c r="N17" s="343"/>
      <c r="O17" s="344"/>
      <c r="P17" s="343"/>
      <c r="Q17" s="344"/>
      <c r="R17" s="343"/>
      <c r="S17" s="346"/>
    </row>
    <row r="18" spans="1:19" ht="14.4" customHeight="1" x14ac:dyDescent="0.3">
      <c r="A18" s="353" t="s">
        <v>198</v>
      </c>
      <c r="B18" s="343"/>
      <c r="C18" s="344"/>
      <c r="D18" s="343"/>
      <c r="E18" s="344"/>
      <c r="F18" s="343">
        <v>531</v>
      </c>
      <c r="G18" s="345"/>
      <c r="H18" s="343"/>
      <c r="I18" s="344"/>
      <c r="J18" s="343"/>
      <c r="K18" s="344"/>
      <c r="L18" s="343"/>
      <c r="M18" s="345"/>
      <c r="N18" s="343"/>
      <c r="O18" s="344"/>
      <c r="P18" s="343"/>
      <c r="Q18" s="344"/>
      <c r="R18" s="343"/>
      <c r="S18" s="346"/>
    </row>
    <row r="19" spans="1:19" ht="14.4" customHeight="1" thickBot="1" x14ac:dyDescent="0.35">
      <c r="A19" s="354" t="s">
        <v>199</v>
      </c>
      <c r="B19" s="348">
        <v>327</v>
      </c>
      <c r="C19" s="349">
        <v>1</v>
      </c>
      <c r="D19" s="348">
        <v>165</v>
      </c>
      <c r="E19" s="349">
        <v>0.50458715596330272</v>
      </c>
      <c r="F19" s="348">
        <v>531</v>
      </c>
      <c r="G19" s="350">
        <v>1.6238532110091743</v>
      </c>
      <c r="H19" s="348"/>
      <c r="I19" s="349"/>
      <c r="J19" s="348"/>
      <c r="K19" s="349"/>
      <c r="L19" s="348"/>
      <c r="M19" s="350"/>
      <c r="N19" s="348"/>
      <c r="O19" s="349"/>
      <c r="P19" s="348"/>
      <c r="Q19" s="349"/>
      <c r="R19" s="348"/>
      <c r="S19" s="3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96" bestFit="1" customWidth="1"/>
    <col min="2" max="2" width="8.6640625" style="96" bestFit="1" customWidth="1"/>
    <col min="3" max="3" width="2.109375" style="96" bestFit="1" customWidth="1"/>
    <col min="4" max="4" width="8" style="96" bestFit="1" customWidth="1"/>
    <col min="5" max="5" width="52.88671875" style="96" bestFit="1" customWidth="1"/>
    <col min="6" max="7" width="11.109375" style="167" customWidth="1"/>
    <col min="8" max="9" width="9.33203125" style="167" hidden="1" customWidth="1"/>
    <col min="10" max="11" width="11.109375" style="167" customWidth="1"/>
    <col min="12" max="13" width="9.33203125" style="167" hidden="1" customWidth="1"/>
    <col min="14" max="15" width="11.109375" style="167" customWidth="1"/>
    <col min="16" max="16" width="11.109375" style="168" customWidth="1"/>
    <col min="17" max="17" width="11.109375" style="167" customWidth="1"/>
    <col min="18" max="16384" width="8.88671875" style="96"/>
  </cols>
  <sheetData>
    <row r="1" spans="1:17" ht="18.600000000000001" customHeight="1" thickBot="1" x14ac:dyDescent="0.4">
      <c r="A1" s="243" t="s">
        <v>216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7" ht="14.4" customHeight="1" thickBot="1" x14ac:dyDescent="0.35">
      <c r="A2" s="183" t="s">
        <v>169</v>
      </c>
      <c r="B2" s="97"/>
      <c r="C2" s="97"/>
      <c r="D2" s="97"/>
      <c r="E2" s="9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8"/>
      <c r="Q2" s="177"/>
    </row>
    <row r="3" spans="1:17" ht="14.4" customHeight="1" thickBot="1" x14ac:dyDescent="0.35">
      <c r="E3" s="57" t="s">
        <v>92</v>
      </c>
      <c r="F3" s="68">
        <f t="shared" ref="F3:O3" si="0">SUBTOTAL(9,F6:F1048576)</f>
        <v>57</v>
      </c>
      <c r="G3" s="69">
        <f t="shared" si="0"/>
        <v>17418</v>
      </c>
      <c r="H3" s="69"/>
      <c r="I3" s="69"/>
      <c r="J3" s="69">
        <f t="shared" si="0"/>
        <v>80</v>
      </c>
      <c r="K3" s="69">
        <f t="shared" si="0"/>
        <v>22662</v>
      </c>
      <c r="L3" s="69"/>
      <c r="M3" s="69"/>
      <c r="N3" s="69">
        <f t="shared" si="0"/>
        <v>46</v>
      </c>
      <c r="O3" s="69">
        <f t="shared" si="0"/>
        <v>14160</v>
      </c>
      <c r="P3" s="53">
        <f>IF(G3=0,0,O3/G3)</f>
        <v>0.81295211849810545</v>
      </c>
      <c r="Q3" s="70">
        <f>IF(N3=0,0,O3/N3)</f>
        <v>307.82608695652175</v>
      </c>
    </row>
    <row r="4" spans="1:17" ht="14.4" customHeight="1" x14ac:dyDescent="0.3">
      <c r="A4" s="271" t="s">
        <v>39</v>
      </c>
      <c r="B4" s="270" t="s">
        <v>65</v>
      </c>
      <c r="C4" s="271" t="s">
        <v>66</v>
      </c>
      <c r="D4" s="280" t="s">
        <v>67</v>
      </c>
      <c r="E4" s="272" t="s">
        <v>40</v>
      </c>
      <c r="F4" s="278">
        <v>2014</v>
      </c>
      <c r="G4" s="279"/>
      <c r="H4" s="71"/>
      <c r="I4" s="71"/>
      <c r="J4" s="278">
        <v>2015</v>
      </c>
      <c r="K4" s="279"/>
      <c r="L4" s="71"/>
      <c r="M4" s="71"/>
      <c r="N4" s="278">
        <v>2016</v>
      </c>
      <c r="O4" s="279"/>
      <c r="P4" s="281" t="s">
        <v>1</v>
      </c>
      <c r="Q4" s="269" t="s">
        <v>68</v>
      </c>
    </row>
    <row r="5" spans="1:17" ht="14.4" customHeight="1" thickBot="1" x14ac:dyDescent="0.35">
      <c r="A5" s="328"/>
      <c r="B5" s="326"/>
      <c r="C5" s="328"/>
      <c r="D5" s="355"/>
      <c r="E5" s="330"/>
      <c r="F5" s="356" t="s">
        <v>42</v>
      </c>
      <c r="G5" s="357" t="s">
        <v>4</v>
      </c>
      <c r="H5" s="358"/>
      <c r="I5" s="358"/>
      <c r="J5" s="356" t="s">
        <v>42</v>
      </c>
      <c r="K5" s="357" t="s">
        <v>4</v>
      </c>
      <c r="L5" s="358"/>
      <c r="M5" s="358"/>
      <c r="N5" s="356" t="s">
        <v>42</v>
      </c>
      <c r="O5" s="357" t="s">
        <v>4</v>
      </c>
      <c r="P5" s="359"/>
      <c r="Q5" s="335"/>
    </row>
    <row r="6" spans="1:17" ht="14.4" customHeight="1" x14ac:dyDescent="0.3">
      <c r="A6" s="337" t="s">
        <v>200</v>
      </c>
      <c r="B6" s="339" t="s">
        <v>181</v>
      </c>
      <c r="C6" s="339" t="s">
        <v>182</v>
      </c>
      <c r="D6" s="339" t="s">
        <v>183</v>
      </c>
      <c r="E6" s="339" t="s">
        <v>184</v>
      </c>
      <c r="F6" s="360"/>
      <c r="G6" s="360"/>
      <c r="H6" s="360"/>
      <c r="I6" s="360"/>
      <c r="J6" s="360">
        <v>3</v>
      </c>
      <c r="K6" s="360">
        <v>993</v>
      </c>
      <c r="L6" s="360"/>
      <c r="M6" s="360">
        <v>331</v>
      </c>
      <c r="N6" s="360">
        <v>3</v>
      </c>
      <c r="O6" s="360">
        <v>1062</v>
      </c>
      <c r="P6" s="340"/>
      <c r="Q6" s="361">
        <v>354</v>
      </c>
    </row>
    <row r="7" spans="1:17" ht="14.4" customHeight="1" x14ac:dyDescent="0.3">
      <c r="A7" s="342" t="s">
        <v>200</v>
      </c>
      <c r="B7" s="344" t="s">
        <v>181</v>
      </c>
      <c r="C7" s="344" t="s">
        <v>182</v>
      </c>
      <c r="D7" s="344" t="s">
        <v>201</v>
      </c>
      <c r="E7" s="344" t="s">
        <v>202</v>
      </c>
      <c r="F7" s="362"/>
      <c r="G7" s="362"/>
      <c r="H7" s="362"/>
      <c r="I7" s="362"/>
      <c r="J7" s="362">
        <v>4</v>
      </c>
      <c r="K7" s="362">
        <v>660</v>
      </c>
      <c r="L7" s="362"/>
      <c r="M7" s="362">
        <v>165</v>
      </c>
      <c r="N7" s="362"/>
      <c r="O7" s="362"/>
      <c r="P7" s="345"/>
      <c r="Q7" s="363"/>
    </row>
    <row r="8" spans="1:17" ht="14.4" customHeight="1" x14ac:dyDescent="0.3">
      <c r="A8" s="342" t="s">
        <v>203</v>
      </c>
      <c r="B8" s="344" t="s">
        <v>181</v>
      </c>
      <c r="C8" s="344" t="s">
        <v>182</v>
      </c>
      <c r="D8" s="344" t="s">
        <v>183</v>
      </c>
      <c r="E8" s="344" t="s">
        <v>184</v>
      </c>
      <c r="F8" s="362">
        <v>27</v>
      </c>
      <c r="G8" s="362">
        <v>8874</v>
      </c>
      <c r="H8" s="362">
        <v>1</v>
      </c>
      <c r="I8" s="362">
        <v>328.66666666666669</v>
      </c>
      <c r="J8" s="362">
        <v>10</v>
      </c>
      <c r="K8" s="362">
        <v>3310</v>
      </c>
      <c r="L8" s="362">
        <v>0.37299977462249267</v>
      </c>
      <c r="M8" s="362">
        <v>331</v>
      </c>
      <c r="N8" s="362">
        <v>2</v>
      </c>
      <c r="O8" s="362">
        <v>708</v>
      </c>
      <c r="P8" s="345">
        <v>7.9783637592968221E-2</v>
      </c>
      <c r="Q8" s="363">
        <v>354</v>
      </c>
    </row>
    <row r="9" spans="1:17" ht="14.4" customHeight="1" x14ac:dyDescent="0.3">
      <c r="A9" s="342" t="s">
        <v>203</v>
      </c>
      <c r="B9" s="344" t="s">
        <v>181</v>
      </c>
      <c r="C9" s="344" t="s">
        <v>182</v>
      </c>
      <c r="D9" s="344" t="s">
        <v>201</v>
      </c>
      <c r="E9" s="344" t="s">
        <v>202</v>
      </c>
      <c r="F9" s="362">
        <v>6</v>
      </c>
      <c r="G9" s="362">
        <v>981</v>
      </c>
      <c r="H9" s="362">
        <v>1</v>
      </c>
      <c r="I9" s="362">
        <v>163.5</v>
      </c>
      <c r="J9" s="362">
        <v>2</v>
      </c>
      <c r="K9" s="362">
        <v>330</v>
      </c>
      <c r="L9" s="362">
        <v>0.3363914373088685</v>
      </c>
      <c r="M9" s="362">
        <v>165</v>
      </c>
      <c r="N9" s="362">
        <v>2</v>
      </c>
      <c r="O9" s="362">
        <v>354</v>
      </c>
      <c r="P9" s="345">
        <v>0.36085626911314983</v>
      </c>
      <c r="Q9" s="363">
        <v>177</v>
      </c>
    </row>
    <row r="10" spans="1:17" ht="14.4" customHeight="1" x14ac:dyDescent="0.3">
      <c r="A10" s="342" t="s">
        <v>204</v>
      </c>
      <c r="B10" s="344" t="s">
        <v>181</v>
      </c>
      <c r="C10" s="344" t="s">
        <v>182</v>
      </c>
      <c r="D10" s="344" t="s">
        <v>183</v>
      </c>
      <c r="E10" s="344" t="s">
        <v>184</v>
      </c>
      <c r="F10" s="362">
        <v>8</v>
      </c>
      <c r="G10" s="362">
        <v>2637</v>
      </c>
      <c r="H10" s="362">
        <v>1</v>
      </c>
      <c r="I10" s="362">
        <v>329.625</v>
      </c>
      <c r="J10" s="362">
        <v>28</v>
      </c>
      <c r="K10" s="362">
        <v>9268</v>
      </c>
      <c r="L10" s="362">
        <v>3.5145999241562382</v>
      </c>
      <c r="M10" s="362">
        <v>331</v>
      </c>
      <c r="N10" s="362">
        <v>6</v>
      </c>
      <c r="O10" s="362">
        <v>2124</v>
      </c>
      <c r="P10" s="345">
        <v>0.80546075085324231</v>
      </c>
      <c r="Q10" s="363">
        <v>354</v>
      </c>
    </row>
    <row r="11" spans="1:17" ht="14.4" customHeight="1" x14ac:dyDescent="0.3">
      <c r="A11" s="342" t="s">
        <v>204</v>
      </c>
      <c r="B11" s="344" t="s">
        <v>181</v>
      </c>
      <c r="C11" s="344" t="s">
        <v>182</v>
      </c>
      <c r="D11" s="344" t="s">
        <v>201</v>
      </c>
      <c r="E11" s="344" t="s">
        <v>202</v>
      </c>
      <c r="F11" s="362">
        <v>1</v>
      </c>
      <c r="G11" s="362">
        <v>164</v>
      </c>
      <c r="H11" s="362">
        <v>1</v>
      </c>
      <c r="I11" s="362">
        <v>164</v>
      </c>
      <c r="J11" s="362">
        <v>11</v>
      </c>
      <c r="K11" s="362">
        <v>1815</v>
      </c>
      <c r="L11" s="362">
        <v>11.067073170731707</v>
      </c>
      <c r="M11" s="362">
        <v>165</v>
      </c>
      <c r="N11" s="362">
        <v>2</v>
      </c>
      <c r="O11" s="362">
        <v>354</v>
      </c>
      <c r="P11" s="345">
        <v>2.1585365853658538</v>
      </c>
      <c r="Q11" s="363">
        <v>177</v>
      </c>
    </row>
    <row r="12" spans="1:17" ht="14.4" customHeight="1" x14ac:dyDescent="0.3">
      <c r="A12" s="342" t="s">
        <v>205</v>
      </c>
      <c r="B12" s="344" t="s">
        <v>181</v>
      </c>
      <c r="C12" s="344" t="s">
        <v>182</v>
      </c>
      <c r="D12" s="344" t="s">
        <v>183</v>
      </c>
      <c r="E12" s="344" t="s">
        <v>184</v>
      </c>
      <c r="F12" s="362"/>
      <c r="G12" s="362"/>
      <c r="H12" s="362"/>
      <c r="I12" s="362"/>
      <c r="J12" s="362">
        <v>1</v>
      </c>
      <c r="K12" s="362">
        <v>331</v>
      </c>
      <c r="L12" s="362"/>
      <c r="M12" s="362">
        <v>331</v>
      </c>
      <c r="N12" s="362"/>
      <c r="O12" s="362"/>
      <c r="P12" s="345"/>
      <c r="Q12" s="363"/>
    </row>
    <row r="13" spans="1:17" ht="14.4" customHeight="1" x14ac:dyDescent="0.3">
      <c r="A13" s="342" t="s">
        <v>205</v>
      </c>
      <c r="B13" s="344" t="s">
        <v>181</v>
      </c>
      <c r="C13" s="344" t="s">
        <v>182</v>
      </c>
      <c r="D13" s="344" t="s">
        <v>201</v>
      </c>
      <c r="E13" s="344" t="s">
        <v>202</v>
      </c>
      <c r="F13" s="362"/>
      <c r="G13" s="362"/>
      <c r="H13" s="362"/>
      <c r="I13" s="362"/>
      <c r="J13" s="362">
        <v>1</v>
      </c>
      <c r="K13" s="362">
        <v>165</v>
      </c>
      <c r="L13" s="362"/>
      <c r="M13" s="362">
        <v>165</v>
      </c>
      <c r="N13" s="362"/>
      <c r="O13" s="362"/>
      <c r="P13" s="345"/>
      <c r="Q13" s="363"/>
    </row>
    <row r="14" spans="1:17" ht="14.4" customHeight="1" x14ac:dyDescent="0.3">
      <c r="A14" s="342" t="s">
        <v>206</v>
      </c>
      <c r="B14" s="344" t="s">
        <v>181</v>
      </c>
      <c r="C14" s="344" t="s">
        <v>182</v>
      </c>
      <c r="D14" s="344" t="s">
        <v>183</v>
      </c>
      <c r="E14" s="344" t="s">
        <v>184</v>
      </c>
      <c r="F14" s="362">
        <v>2</v>
      </c>
      <c r="G14" s="362">
        <v>660</v>
      </c>
      <c r="H14" s="362">
        <v>1</v>
      </c>
      <c r="I14" s="362">
        <v>330</v>
      </c>
      <c r="J14" s="362">
        <v>4</v>
      </c>
      <c r="K14" s="362">
        <v>1324</v>
      </c>
      <c r="L14" s="362">
        <v>2.0060606060606059</v>
      </c>
      <c r="M14" s="362">
        <v>331</v>
      </c>
      <c r="N14" s="362">
        <v>4</v>
      </c>
      <c r="O14" s="362">
        <v>1416</v>
      </c>
      <c r="P14" s="345">
        <v>2.1454545454545455</v>
      </c>
      <c r="Q14" s="363">
        <v>354</v>
      </c>
    </row>
    <row r="15" spans="1:17" ht="14.4" customHeight="1" x14ac:dyDescent="0.3">
      <c r="A15" s="342" t="s">
        <v>206</v>
      </c>
      <c r="B15" s="344" t="s">
        <v>181</v>
      </c>
      <c r="C15" s="344" t="s">
        <v>182</v>
      </c>
      <c r="D15" s="344" t="s">
        <v>201</v>
      </c>
      <c r="E15" s="344" t="s">
        <v>202</v>
      </c>
      <c r="F15" s="362"/>
      <c r="G15" s="362"/>
      <c r="H15" s="362"/>
      <c r="I15" s="362"/>
      <c r="J15" s="362">
        <v>2</v>
      </c>
      <c r="K15" s="362">
        <v>330</v>
      </c>
      <c r="L15" s="362"/>
      <c r="M15" s="362">
        <v>165</v>
      </c>
      <c r="N15" s="362">
        <v>2</v>
      </c>
      <c r="O15" s="362">
        <v>354</v>
      </c>
      <c r="P15" s="345"/>
      <c r="Q15" s="363">
        <v>177</v>
      </c>
    </row>
    <row r="16" spans="1:17" ht="14.4" customHeight="1" x14ac:dyDescent="0.3">
      <c r="A16" s="342" t="s">
        <v>207</v>
      </c>
      <c r="B16" s="344" t="s">
        <v>181</v>
      </c>
      <c r="C16" s="344" t="s">
        <v>182</v>
      </c>
      <c r="D16" s="344" t="s">
        <v>183</v>
      </c>
      <c r="E16" s="344" t="s">
        <v>184</v>
      </c>
      <c r="F16" s="362"/>
      <c r="G16" s="362"/>
      <c r="H16" s="362"/>
      <c r="I16" s="362"/>
      <c r="J16" s="362"/>
      <c r="K16" s="362"/>
      <c r="L16" s="362"/>
      <c r="M16" s="362"/>
      <c r="N16" s="362">
        <v>1</v>
      </c>
      <c r="O16" s="362">
        <v>354</v>
      </c>
      <c r="P16" s="345"/>
      <c r="Q16" s="363">
        <v>354</v>
      </c>
    </row>
    <row r="17" spans="1:17" ht="14.4" customHeight="1" x14ac:dyDescent="0.3">
      <c r="A17" s="342" t="s">
        <v>208</v>
      </c>
      <c r="B17" s="344" t="s">
        <v>181</v>
      </c>
      <c r="C17" s="344" t="s">
        <v>182</v>
      </c>
      <c r="D17" s="344" t="s">
        <v>183</v>
      </c>
      <c r="E17" s="344" t="s">
        <v>184</v>
      </c>
      <c r="F17" s="362">
        <v>1</v>
      </c>
      <c r="G17" s="362">
        <v>327</v>
      </c>
      <c r="H17" s="362">
        <v>1</v>
      </c>
      <c r="I17" s="362">
        <v>327</v>
      </c>
      <c r="J17" s="362">
        <v>4</v>
      </c>
      <c r="K17" s="362">
        <v>1324</v>
      </c>
      <c r="L17" s="362">
        <v>4.048929663608563</v>
      </c>
      <c r="M17" s="362">
        <v>331</v>
      </c>
      <c r="N17" s="362">
        <v>7</v>
      </c>
      <c r="O17" s="362">
        <v>2478</v>
      </c>
      <c r="P17" s="345">
        <v>7.5779816513761471</v>
      </c>
      <c r="Q17" s="363">
        <v>354</v>
      </c>
    </row>
    <row r="18" spans="1:17" ht="14.4" customHeight="1" x14ac:dyDescent="0.3">
      <c r="A18" s="342" t="s">
        <v>208</v>
      </c>
      <c r="B18" s="344" t="s">
        <v>181</v>
      </c>
      <c r="C18" s="344" t="s">
        <v>182</v>
      </c>
      <c r="D18" s="344" t="s">
        <v>201</v>
      </c>
      <c r="E18" s="344" t="s">
        <v>202</v>
      </c>
      <c r="F18" s="362">
        <v>1</v>
      </c>
      <c r="G18" s="362">
        <v>163</v>
      </c>
      <c r="H18" s="362">
        <v>1</v>
      </c>
      <c r="I18" s="362">
        <v>163</v>
      </c>
      <c r="J18" s="362">
        <v>1</v>
      </c>
      <c r="K18" s="362">
        <v>165</v>
      </c>
      <c r="L18" s="362">
        <v>1.0122699386503067</v>
      </c>
      <c r="M18" s="362">
        <v>165</v>
      </c>
      <c r="N18" s="362">
        <v>4</v>
      </c>
      <c r="O18" s="362">
        <v>708</v>
      </c>
      <c r="P18" s="345">
        <v>4.3435582822085887</v>
      </c>
      <c r="Q18" s="363">
        <v>177</v>
      </c>
    </row>
    <row r="19" spans="1:17" ht="14.4" customHeight="1" x14ac:dyDescent="0.3">
      <c r="A19" s="342" t="s">
        <v>209</v>
      </c>
      <c r="B19" s="344" t="s">
        <v>181</v>
      </c>
      <c r="C19" s="344" t="s">
        <v>182</v>
      </c>
      <c r="D19" s="344" t="s">
        <v>183</v>
      </c>
      <c r="E19" s="344" t="s">
        <v>184</v>
      </c>
      <c r="F19" s="362">
        <v>2</v>
      </c>
      <c r="G19" s="362">
        <v>660</v>
      </c>
      <c r="H19" s="362">
        <v>1</v>
      </c>
      <c r="I19" s="362">
        <v>330</v>
      </c>
      <c r="J19" s="362">
        <v>2</v>
      </c>
      <c r="K19" s="362">
        <v>662</v>
      </c>
      <c r="L19" s="362">
        <v>1.0030303030303029</v>
      </c>
      <c r="M19" s="362">
        <v>331</v>
      </c>
      <c r="N19" s="362">
        <v>5</v>
      </c>
      <c r="O19" s="362">
        <v>1770</v>
      </c>
      <c r="P19" s="345">
        <v>2.6818181818181817</v>
      </c>
      <c r="Q19" s="363">
        <v>354</v>
      </c>
    </row>
    <row r="20" spans="1:17" ht="14.4" customHeight="1" x14ac:dyDescent="0.3">
      <c r="A20" s="342" t="s">
        <v>210</v>
      </c>
      <c r="B20" s="344" t="s">
        <v>181</v>
      </c>
      <c r="C20" s="344" t="s">
        <v>182</v>
      </c>
      <c r="D20" s="344" t="s">
        <v>183</v>
      </c>
      <c r="E20" s="344" t="s">
        <v>184</v>
      </c>
      <c r="F20" s="362"/>
      <c r="G20" s="362"/>
      <c r="H20" s="362"/>
      <c r="I20" s="362"/>
      <c r="J20" s="362"/>
      <c r="K20" s="362"/>
      <c r="L20" s="362"/>
      <c r="M20" s="362"/>
      <c r="N20" s="362">
        <v>1</v>
      </c>
      <c r="O20" s="362">
        <v>354</v>
      </c>
      <c r="P20" s="345"/>
      <c r="Q20" s="363">
        <v>354</v>
      </c>
    </row>
    <row r="21" spans="1:17" ht="14.4" customHeight="1" x14ac:dyDescent="0.3">
      <c r="A21" s="342" t="s">
        <v>211</v>
      </c>
      <c r="B21" s="344" t="s">
        <v>181</v>
      </c>
      <c r="C21" s="344" t="s">
        <v>182</v>
      </c>
      <c r="D21" s="344" t="s">
        <v>183</v>
      </c>
      <c r="E21" s="344" t="s">
        <v>184</v>
      </c>
      <c r="F21" s="362">
        <v>1</v>
      </c>
      <c r="G21" s="362">
        <v>327</v>
      </c>
      <c r="H21" s="362">
        <v>1</v>
      </c>
      <c r="I21" s="362">
        <v>327</v>
      </c>
      <c r="J21" s="362"/>
      <c r="K21" s="362"/>
      <c r="L21" s="362"/>
      <c r="M21" s="362"/>
      <c r="N21" s="362">
        <v>1</v>
      </c>
      <c r="O21" s="362">
        <v>354</v>
      </c>
      <c r="P21" s="345">
        <v>1.0825688073394495</v>
      </c>
      <c r="Q21" s="363">
        <v>354</v>
      </c>
    </row>
    <row r="22" spans="1:17" ht="14.4" customHeight="1" x14ac:dyDescent="0.3">
      <c r="A22" s="342" t="s">
        <v>212</v>
      </c>
      <c r="B22" s="344" t="s">
        <v>181</v>
      </c>
      <c r="C22" s="344" t="s">
        <v>182</v>
      </c>
      <c r="D22" s="344" t="s">
        <v>183</v>
      </c>
      <c r="E22" s="344" t="s">
        <v>184</v>
      </c>
      <c r="F22" s="362">
        <v>6</v>
      </c>
      <c r="G22" s="362">
        <v>1968</v>
      </c>
      <c r="H22" s="362">
        <v>1</v>
      </c>
      <c r="I22" s="362">
        <v>328</v>
      </c>
      <c r="J22" s="362">
        <v>5</v>
      </c>
      <c r="K22" s="362">
        <v>1655</v>
      </c>
      <c r="L22" s="362">
        <v>0.84095528455284552</v>
      </c>
      <c r="M22" s="362">
        <v>331</v>
      </c>
      <c r="N22" s="362">
        <v>2</v>
      </c>
      <c r="O22" s="362">
        <v>708</v>
      </c>
      <c r="P22" s="345">
        <v>0.3597560975609756</v>
      </c>
      <c r="Q22" s="363">
        <v>354</v>
      </c>
    </row>
    <row r="23" spans="1:17" ht="14.4" customHeight="1" x14ac:dyDescent="0.3">
      <c r="A23" s="342" t="s">
        <v>212</v>
      </c>
      <c r="B23" s="344" t="s">
        <v>181</v>
      </c>
      <c r="C23" s="344" t="s">
        <v>182</v>
      </c>
      <c r="D23" s="344" t="s">
        <v>201</v>
      </c>
      <c r="E23" s="344" t="s">
        <v>202</v>
      </c>
      <c r="F23" s="362"/>
      <c r="G23" s="362"/>
      <c r="H23" s="362"/>
      <c r="I23" s="362"/>
      <c r="J23" s="362">
        <v>1</v>
      </c>
      <c r="K23" s="362">
        <v>165</v>
      </c>
      <c r="L23" s="362"/>
      <c r="M23" s="362">
        <v>165</v>
      </c>
      <c r="N23" s="362"/>
      <c r="O23" s="362"/>
      <c r="P23" s="345"/>
      <c r="Q23" s="363"/>
    </row>
    <row r="24" spans="1:17" ht="14.4" customHeight="1" x14ac:dyDescent="0.3">
      <c r="A24" s="342" t="s">
        <v>213</v>
      </c>
      <c r="B24" s="344" t="s">
        <v>181</v>
      </c>
      <c r="C24" s="344" t="s">
        <v>182</v>
      </c>
      <c r="D24" s="344" t="s">
        <v>183</v>
      </c>
      <c r="E24" s="344" t="s">
        <v>184</v>
      </c>
      <c r="F24" s="362">
        <v>1</v>
      </c>
      <c r="G24" s="362">
        <v>330</v>
      </c>
      <c r="H24" s="362">
        <v>1</v>
      </c>
      <c r="I24" s="362">
        <v>330</v>
      </c>
      <c r="J24" s="362"/>
      <c r="K24" s="362"/>
      <c r="L24" s="362"/>
      <c r="M24" s="362"/>
      <c r="N24" s="362"/>
      <c r="O24" s="362"/>
      <c r="P24" s="345"/>
      <c r="Q24" s="363"/>
    </row>
    <row r="25" spans="1:17" ht="14.4" customHeight="1" x14ac:dyDescent="0.3">
      <c r="A25" s="342" t="s">
        <v>214</v>
      </c>
      <c r="B25" s="344" t="s">
        <v>181</v>
      </c>
      <c r="C25" s="344" t="s">
        <v>182</v>
      </c>
      <c r="D25" s="344" t="s">
        <v>183</v>
      </c>
      <c r="E25" s="344" t="s">
        <v>184</v>
      </c>
      <c r="F25" s="362"/>
      <c r="G25" s="362"/>
      <c r="H25" s="362"/>
      <c r="I25" s="362"/>
      <c r="J25" s="362"/>
      <c r="K25" s="362"/>
      <c r="L25" s="362"/>
      <c r="M25" s="362"/>
      <c r="N25" s="362">
        <v>1</v>
      </c>
      <c r="O25" s="362">
        <v>354</v>
      </c>
      <c r="P25" s="345"/>
      <c r="Q25" s="363">
        <v>354</v>
      </c>
    </row>
    <row r="26" spans="1:17" ht="14.4" customHeight="1" x14ac:dyDescent="0.3">
      <c r="A26" s="342" t="s">
        <v>214</v>
      </c>
      <c r="B26" s="344" t="s">
        <v>181</v>
      </c>
      <c r="C26" s="344" t="s">
        <v>182</v>
      </c>
      <c r="D26" s="344" t="s">
        <v>201</v>
      </c>
      <c r="E26" s="344" t="s">
        <v>202</v>
      </c>
      <c r="F26" s="362"/>
      <c r="G26" s="362"/>
      <c r="H26" s="362"/>
      <c r="I26" s="362"/>
      <c r="J26" s="362"/>
      <c r="K26" s="362"/>
      <c r="L26" s="362"/>
      <c r="M26" s="362"/>
      <c r="N26" s="362">
        <v>1</v>
      </c>
      <c r="O26" s="362">
        <v>177</v>
      </c>
      <c r="P26" s="345"/>
      <c r="Q26" s="363">
        <v>177</v>
      </c>
    </row>
    <row r="27" spans="1:17" ht="14.4" customHeight="1" x14ac:dyDescent="0.3">
      <c r="A27" s="342" t="s">
        <v>215</v>
      </c>
      <c r="B27" s="344" t="s">
        <v>181</v>
      </c>
      <c r="C27" s="344" t="s">
        <v>182</v>
      </c>
      <c r="D27" s="344" t="s">
        <v>183</v>
      </c>
      <c r="E27" s="344" t="s">
        <v>184</v>
      </c>
      <c r="F27" s="362">
        <v>1</v>
      </c>
      <c r="G27" s="362">
        <v>327</v>
      </c>
      <c r="H27" s="362">
        <v>1</v>
      </c>
      <c r="I27" s="362">
        <v>327</v>
      </c>
      <c r="J27" s="362"/>
      <c r="K27" s="362"/>
      <c r="L27" s="362"/>
      <c r="M27" s="362"/>
      <c r="N27" s="362">
        <v>1</v>
      </c>
      <c r="O27" s="362">
        <v>354</v>
      </c>
      <c r="P27" s="345">
        <v>1.0825688073394495</v>
      </c>
      <c r="Q27" s="363">
        <v>354</v>
      </c>
    </row>
    <row r="28" spans="1:17" ht="14.4" customHeight="1" thickBot="1" x14ac:dyDescent="0.35">
      <c r="A28" s="347" t="s">
        <v>215</v>
      </c>
      <c r="B28" s="349" t="s">
        <v>181</v>
      </c>
      <c r="C28" s="349" t="s">
        <v>182</v>
      </c>
      <c r="D28" s="349" t="s">
        <v>201</v>
      </c>
      <c r="E28" s="349" t="s">
        <v>202</v>
      </c>
      <c r="F28" s="364"/>
      <c r="G28" s="364"/>
      <c r="H28" s="364"/>
      <c r="I28" s="364"/>
      <c r="J28" s="364">
        <v>1</v>
      </c>
      <c r="K28" s="364">
        <v>165</v>
      </c>
      <c r="L28" s="364"/>
      <c r="M28" s="364">
        <v>165</v>
      </c>
      <c r="N28" s="364">
        <v>1</v>
      </c>
      <c r="O28" s="364">
        <v>177</v>
      </c>
      <c r="P28" s="350"/>
      <c r="Q28" s="365">
        <v>177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2" bestFit="1" customWidth="1"/>
    <col min="2" max="2" width="11.6640625" style="112" hidden="1" customWidth="1"/>
    <col min="3" max="4" width="11" style="114" customWidth="1"/>
    <col min="5" max="5" width="11" style="115" customWidth="1"/>
    <col min="6" max="16384" width="8.88671875" style="112"/>
  </cols>
  <sheetData>
    <row r="1" spans="1:5" ht="18.600000000000001" thickBot="1" x14ac:dyDescent="0.4">
      <c r="A1" s="243" t="s">
        <v>85</v>
      </c>
      <c r="B1" s="243"/>
      <c r="C1" s="244"/>
      <c r="D1" s="244"/>
      <c r="E1" s="244"/>
    </row>
    <row r="2" spans="1:5" ht="14.4" customHeight="1" thickBot="1" x14ac:dyDescent="0.35">
      <c r="A2" s="183" t="s">
        <v>169</v>
      </c>
      <c r="B2" s="113"/>
    </row>
    <row r="3" spans="1:5" ht="14.4" customHeight="1" thickBot="1" x14ac:dyDescent="0.35">
      <c r="A3" s="116"/>
      <c r="C3" s="117" t="s">
        <v>77</v>
      </c>
      <c r="D3" s="118" t="s">
        <v>43</v>
      </c>
      <c r="E3" s="119" t="s">
        <v>45</v>
      </c>
    </row>
    <row r="4" spans="1:5" ht="14.4" customHeight="1" thickBot="1" x14ac:dyDescent="0.35">
      <c r="A4" s="120" t="str">
        <f>HYPERLINK("#HI!A1","NÁKLADY CELKEM (v tisících Kč)")</f>
        <v>NÁKLADY CELKEM (v tisících Kč)</v>
      </c>
      <c r="B4" s="121"/>
      <c r="C4" s="122">
        <f ca="1">IF(ISERROR(VLOOKUP("Náklady celkem",INDIRECT("HI!$A:$G"),6,0)),0,VLOOKUP("Náklady celkem",INDIRECT("HI!$A:$G"),6,0))</f>
        <v>737.91202277580248</v>
      </c>
      <c r="D4" s="122">
        <f ca="1">IF(ISERROR(VLOOKUP("Náklady celkem",INDIRECT("HI!$A:$G"),5,0)),0,VLOOKUP("Náklady celkem",INDIRECT("HI!$A:$G"),5,0))</f>
        <v>672.16512</v>
      </c>
      <c r="E4" s="123">
        <f ca="1">IF(C4=0,0,D4/C4)</f>
        <v>0.91090143438985793</v>
      </c>
    </row>
    <row r="5" spans="1:5" ht="14.4" customHeight="1" x14ac:dyDescent="0.3">
      <c r="A5" s="124" t="s">
        <v>96</v>
      </c>
      <c r="B5" s="125"/>
      <c r="C5" s="126"/>
      <c r="D5" s="126"/>
      <c r="E5" s="127"/>
    </row>
    <row r="6" spans="1:5" ht="14.4" customHeight="1" x14ac:dyDescent="0.3">
      <c r="A6" s="128" t="s">
        <v>101</v>
      </c>
      <c r="B6" s="129"/>
      <c r="C6" s="130"/>
      <c r="D6" s="130"/>
      <c r="E6" s="127"/>
    </row>
    <row r="7" spans="1:5" ht="14.4" customHeight="1" x14ac:dyDescent="0.3">
      <c r="A7" s="2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9" t="s">
        <v>81</v>
      </c>
      <c r="C7" s="130">
        <f>IF(ISERROR(HI!F5),"",HI!F5)</f>
        <v>0</v>
      </c>
      <c r="D7" s="130">
        <f>IF(ISERROR(HI!E5),"",HI!E5)</f>
        <v>0</v>
      </c>
      <c r="E7" s="127">
        <f t="shared" ref="E7:E11" si="0">IF(C7=0,0,D7/C7)</f>
        <v>0</v>
      </c>
    </row>
    <row r="8" spans="1:5" ht="14.4" customHeight="1" x14ac:dyDescent="0.3">
      <c r="A8" s="132" t="s">
        <v>97</v>
      </c>
      <c r="B8" s="129"/>
      <c r="C8" s="130"/>
      <c r="D8" s="130"/>
      <c r="E8" s="127"/>
    </row>
    <row r="9" spans="1:5" ht="14.4" customHeight="1" x14ac:dyDescent="0.3">
      <c r="A9" s="132" t="s">
        <v>98</v>
      </c>
      <c r="B9" s="129"/>
      <c r="C9" s="130"/>
      <c r="D9" s="130"/>
      <c r="E9" s="127"/>
    </row>
    <row r="10" spans="1:5" ht="14.4" customHeight="1" x14ac:dyDescent="0.3">
      <c r="A10" s="133" t="s">
        <v>102</v>
      </c>
      <c r="B10" s="129"/>
      <c r="C10" s="126"/>
      <c r="D10" s="126"/>
      <c r="E10" s="127"/>
    </row>
    <row r="11" spans="1:5" ht="14.4" customHeight="1" x14ac:dyDescent="0.3">
      <c r="A11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9" t="s">
        <v>81</v>
      </c>
      <c r="C11" s="130">
        <f>IF(ISERROR(HI!F6),"",HI!F6)</f>
        <v>0</v>
      </c>
      <c r="D11" s="130">
        <f>IF(ISERROR(HI!E6),"",HI!E6)</f>
        <v>0</v>
      </c>
      <c r="E11" s="127">
        <f t="shared" si="0"/>
        <v>0</v>
      </c>
    </row>
    <row r="12" spans="1:5" ht="14.4" customHeight="1" thickBot="1" x14ac:dyDescent="0.35">
      <c r="A12" s="135" t="str">
        <f>HYPERLINK("#HI!A1","Osobní náklady")</f>
        <v>Osobní náklady</v>
      </c>
      <c r="B12" s="129"/>
      <c r="C12" s="126">
        <f ca="1">IF(ISERROR(VLOOKUP("Osobní náklady (Kč) *",INDIRECT("HI!$A:$G"),6,0)),0,VLOOKUP("Osobní náklady (Kč) *",INDIRECT("HI!$A:$G"),6,0))</f>
        <v>735.89424636314004</v>
      </c>
      <c r="D12" s="126">
        <f ca="1">IF(ISERROR(VLOOKUP("Osobní náklady (Kč) *",INDIRECT("HI!$A:$G"),5,0)),0,VLOOKUP("Osobní náklady (Kč) *",INDIRECT("HI!$A:$G"),5,0))</f>
        <v>671.46337000000005</v>
      </c>
      <c r="E12" s="127">
        <f ca="1">IF(C12=0,0,D12/C12)</f>
        <v>0.91244546797102499</v>
      </c>
    </row>
    <row r="13" spans="1:5" ht="14.4" customHeight="1" thickBot="1" x14ac:dyDescent="0.35">
      <c r="A13" s="139"/>
      <c r="B13" s="140"/>
      <c r="C13" s="141"/>
      <c r="D13" s="141"/>
      <c r="E13" s="142"/>
    </row>
    <row r="14" spans="1:5" ht="14.4" customHeight="1" thickBot="1" x14ac:dyDescent="0.35">
      <c r="A14" s="143" t="str">
        <f>HYPERLINK("#HI!A1","VÝNOSY CELKEM (v tisících)")</f>
        <v>VÝNOSY CELKEM (v tisících)</v>
      </c>
      <c r="B14" s="144"/>
      <c r="C14" s="145">
        <f ca="1">IF(ISERROR(VLOOKUP("Výnosy celkem",INDIRECT("HI!$A:$G"),6,0)),0,VLOOKUP("Výnosy celkem",INDIRECT("HI!$A:$G"),6,0))</f>
        <v>0.32700000000000001</v>
      </c>
      <c r="D14" s="145">
        <f ca="1">IF(ISERROR(VLOOKUP("Výnosy celkem",INDIRECT("HI!$A:$G"),5,0)),0,VLOOKUP("Výnosy celkem",INDIRECT("HI!$A:$G"),5,0))</f>
        <v>0</v>
      </c>
      <c r="E14" s="146">
        <f t="shared" ref="E14:E17" ca="1" si="1">IF(C14=0,0,D14/C14)</f>
        <v>0</v>
      </c>
    </row>
    <row r="15" spans="1:5" ht="14.4" customHeight="1" x14ac:dyDescent="0.3">
      <c r="A15" s="147" t="str">
        <f>HYPERLINK("#HI!A1","Ambulance (body za výkony + Kč za ZUM a ZULP)")</f>
        <v>Ambulance (body za výkony + Kč za ZUM a ZULP)</v>
      </c>
      <c r="B15" s="125"/>
      <c r="C15" s="126">
        <f ca="1">IF(ISERROR(VLOOKUP("Ambulance *",INDIRECT("HI!$A:$G"),6,0)),0,VLOOKUP("Ambulance *",INDIRECT("HI!$A:$G"),6,0))</f>
        <v>0.32700000000000001</v>
      </c>
      <c r="D15" s="126">
        <f ca="1">IF(ISERROR(VLOOKUP("Ambulance *",INDIRECT("HI!$A:$G"),5,0)),0,VLOOKUP("Ambulance *",INDIRECT("HI!$A:$G"),5,0))</f>
        <v>0</v>
      </c>
      <c r="E15" s="127">
        <f t="shared" ca="1" si="1"/>
        <v>0</v>
      </c>
    </row>
    <row r="16" spans="1:5" ht="14.4" customHeight="1" x14ac:dyDescent="0.3">
      <c r="A16" s="148" t="str">
        <f>HYPERLINK("#'ZV Vykáz.-A'!A1","Zdravotní výkony vykázané u ambulantních pacientů (min. 100 %)")</f>
        <v>Zdravotní výkony vykázané u ambulantních pacientů (min. 100 %)</v>
      </c>
      <c r="B16" s="112" t="s">
        <v>87</v>
      </c>
      <c r="C16" s="131">
        <v>1</v>
      </c>
      <c r="D16" s="131">
        <f>IF(ISERROR(VLOOKUP("Celkem:",'ZV Vykáz.-A'!$A:$S,7,0)),"",VLOOKUP("Celkem:",'ZV Vykáz.-A'!$A:$S,7,0))</f>
        <v>0</v>
      </c>
      <c r="E16" s="127">
        <f t="shared" si="1"/>
        <v>0</v>
      </c>
    </row>
    <row r="17" spans="1:5" ht="14.4" customHeight="1" x14ac:dyDescent="0.3">
      <c r="A17" s="148" t="str">
        <f>HYPERLINK("#'ZV Vykáz.-H'!A1","Zdravotní výkony vykázané u hospitalizovaných pacientů (max. 85 %)")</f>
        <v>Zdravotní výkony vykázané u hospitalizovaných pacientů (max. 85 %)</v>
      </c>
      <c r="B17" s="112" t="s">
        <v>89</v>
      </c>
      <c r="C17" s="131">
        <v>0.85</v>
      </c>
      <c r="D17" s="131">
        <f>IF(ISERROR(VLOOKUP("Celkem:",'ZV Vykáz.-H'!$A:$S,7,0)),"",VLOOKUP("Celkem:",'ZV Vykáz.-H'!$A:$S,7,0))</f>
        <v>0.81295211849810545</v>
      </c>
      <c r="E17" s="127">
        <f t="shared" si="1"/>
        <v>0.95641425705659466</v>
      </c>
    </row>
    <row r="18" spans="1:5" ht="14.4" customHeight="1" x14ac:dyDescent="0.3">
      <c r="A18" s="149" t="str">
        <f>HYPERLINK("#HI!A1","Hospitalizace (casemix * 30000)")</f>
        <v>Hospitalizace (casemix * 30000)</v>
      </c>
      <c r="B18" s="129"/>
      <c r="C18" s="126">
        <f ca="1">IF(ISERROR(VLOOKUP("Hospitalizace *",INDIRECT("HI!$A:$G"),6,0)),0,VLOOKUP("Hospitalizace *",INDIRECT("HI!$A:$G"),6,0))</f>
        <v>0</v>
      </c>
      <c r="D18" s="126">
        <f ca="1">IF(ISERROR(VLOOKUP("Hospitalizace *",INDIRECT("HI!$A:$G"),5,0)),0,VLOOKUP("Hospitalizace *",INDIRECT("HI!$A:$G"),5,0))</f>
        <v>0</v>
      </c>
      <c r="E18" s="127">
        <f ca="1">IF(C18=0,0,D18/C18)</f>
        <v>0</v>
      </c>
    </row>
    <row r="19" spans="1:5" ht="14.4" customHeight="1" thickBot="1" x14ac:dyDescent="0.35">
      <c r="A19" s="150" t="s">
        <v>99</v>
      </c>
      <c r="B19" s="136"/>
      <c r="C19" s="137"/>
      <c r="D19" s="137"/>
      <c r="E19" s="138"/>
    </row>
    <row r="20" spans="1:5" ht="14.4" customHeight="1" thickBot="1" x14ac:dyDescent="0.35">
      <c r="A20" s="151"/>
      <c r="B20" s="152"/>
      <c r="C20" s="153"/>
      <c r="D20" s="153"/>
      <c r="E20" s="154"/>
    </row>
    <row r="21" spans="1:5" ht="14.4" customHeight="1" thickBot="1" x14ac:dyDescent="0.35">
      <c r="A21" s="155" t="s">
        <v>100</v>
      </c>
      <c r="B21" s="156"/>
      <c r="C21" s="157"/>
      <c r="D21" s="157"/>
      <c r="E21" s="158"/>
    </row>
  </sheetData>
  <mergeCells count="1">
    <mergeCell ref="A1:E1"/>
  </mergeCells>
  <conditionalFormatting sqref="E5">
    <cfRule type="cellIs" dxfId="1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2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11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3" t="s">
        <v>94</v>
      </c>
      <c r="B1" s="243"/>
      <c r="C1" s="243"/>
      <c r="D1" s="243"/>
      <c r="E1" s="243"/>
      <c r="F1" s="243"/>
      <c r="G1" s="244"/>
      <c r="H1" s="244"/>
    </row>
    <row r="2" spans="1:8" ht="14.4" customHeight="1" thickBot="1" x14ac:dyDescent="0.35">
      <c r="A2" s="183" t="s">
        <v>169</v>
      </c>
      <c r="B2" s="77"/>
      <c r="C2" s="77"/>
      <c r="D2" s="77"/>
      <c r="E2" s="77"/>
      <c r="F2" s="77"/>
    </row>
    <row r="3" spans="1:8" ht="14.4" customHeight="1" x14ac:dyDescent="0.3">
      <c r="A3" s="245"/>
      <c r="B3" s="73">
        <v>2014</v>
      </c>
      <c r="C3" s="37">
        <v>2015</v>
      </c>
      <c r="D3" s="7"/>
      <c r="E3" s="249">
        <v>2016</v>
      </c>
      <c r="F3" s="250"/>
      <c r="G3" s="250"/>
      <c r="H3" s="251"/>
    </row>
    <row r="4" spans="1:8" ht="14.4" customHeight="1" thickBot="1" x14ac:dyDescent="0.35">
      <c r="A4" s="246"/>
      <c r="B4" s="247" t="s">
        <v>43</v>
      </c>
      <c r="C4" s="248"/>
      <c r="D4" s="7"/>
      <c r="E4" s="94" t="s">
        <v>43</v>
      </c>
      <c r="F4" s="75" t="s">
        <v>44</v>
      </c>
      <c r="G4" s="75" t="s">
        <v>38</v>
      </c>
      <c r="H4" s="76" t="s">
        <v>45</v>
      </c>
    </row>
    <row r="5" spans="1:8" ht="14.4" customHeight="1" x14ac:dyDescent="0.3">
      <c r="A5" s="78" t="str">
        <f>HYPERLINK("#'Léky Žádanky'!A1","Léky (Kč)")</f>
        <v>Léky (Kč)</v>
      </c>
      <c r="B5" s="24">
        <v>0</v>
      </c>
      <c r="C5" s="26">
        <v>0</v>
      </c>
      <c r="D5" s="8"/>
      <c r="E5" s="83">
        <v>0</v>
      </c>
      <c r="F5" s="25">
        <v>0</v>
      </c>
      <c r="G5" s="82">
        <f>E5-F5</f>
        <v>0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28">
        <v>0</v>
      </c>
      <c r="D6" s="8"/>
      <c r="E6" s="84">
        <v>0</v>
      </c>
      <c r="F6" s="27">
        <v>0</v>
      </c>
      <c r="G6" s="85">
        <f>E6-F6</f>
        <v>0</v>
      </c>
      <c r="H6" s="89" t="str">
        <f>IF(F6&lt;0.00000001,"",E6/F6)</f>
        <v/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658.75644000000091</v>
      </c>
      <c r="C7" s="28">
        <v>593.11301000000003</v>
      </c>
      <c r="D7" s="8"/>
      <c r="E7" s="84">
        <v>671.46337000000005</v>
      </c>
      <c r="F7" s="27">
        <v>735.89424636314004</v>
      </c>
      <c r="G7" s="85">
        <f>E7-F7</f>
        <v>-64.430876363139987</v>
      </c>
      <c r="H7" s="89">
        <f>IF(F7&lt;0.00000001,"",E7/F7)</f>
        <v>0.91244546797102499</v>
      </c>
    </row>
    <row r="8" spans="1:8" ht="14.4" customHeight="1" thickBot="1" x14ac:dyDescent="0.35">
      <c r="A8" s="1" t="s">
        <v>46</v>
      </c>
      <c r="B8" s="11">
        <v>4.6493500000000267</v>
      </c>
      <c r="C8" s="30">
        <v>1.9369699999999739</v>
      </c>
      <c r="D8" s="8"/>
      <c r="E8" s="86">
        <v>0.70174999999994725</v>
      </c>
      <c r="F8" s="29">
        <v>2.0177764126624425</v>
      </c>
      <c r="G8" s="87">
        <f>E8-F8</f>
        <v>-1.3160264126624952</v>
      </c>
      <c r="H8" s="90">
        <f>IF(F8&lt;0.00000001,"",E8/F8)</f>
        <v>0.34778382559938481</v>
      </c>
    </row>
    <row r="9" spans="1:8" ht="14.4" customHeight="1" thickBot="1" x14ac:dyDescent="0.35">
      <c r="A9" s="2" t="s">
        <v>47</v>
      </c>
      <c r="B9" s="3">
        <v>663.40579000000093</v>
      </c>
      <c r="C9" s="32">
        <v>595.04998000000001</v>
      </c>
      <c r="D9" s="8"/>
      <c r="E9" s="3">
        <v>672.16512</v>
      </c>
      <c r="F9" s="31">
        <v>737.91202277580248</v>
      </c>
      <c r="G9" s="31">
        <f>E9-F9</f>
        <v>-65.746902775802482</v>
      </c>
      <c r="H9" s="91">
        <f>IF(F9&lt;0.00000001,"",E9/F9)</f>
        <v>0.91090143438985793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IF(ISERROR(VLOOKUP("Celkem:",'ZV Vykáz.-A'!A:F,2,0)),0,VLOOKUP("Celkem:",'ZV Vykáz.-A'!A:F,2,0)/1000)</f>
        <v>0.32700000000000001</v>
      </c>
      <c r="C11" s="26">
        <f>IF(ISERROR(VLOOKUP("Celkem:",'ZV Vykáz.-A'!A:F,4,0)),0,VLOOKUP("Celkem:",'ZV Vykáz.-A'!A:F,4,0)/1000)</f>
        <v>0</v>
      </c>
      <c r="D11" s="8"/>
      <c r="E11" s="83">
        <f>IF(ISERROR(VLOOKUP("Celkem:",'ZV Vykáz.-A'!A:F,6,0)),0,VLOOKUP("Celkem:",'ZV Vykáz.-A'!A:F,6,0)/1000)</f>
        <v>0</v>
      </c>
      <c r="F11" s="25">
        <f>B11</f>
        <v>0.32700000000000001</v>
      </c>
      <c r="G11" s="82">
        <f>E11-F11</f>
        <v>-0.32700000000000001</v>
      </c>
      <c r="H11" s="88">
        <f>IF(F11&lt;0.00000001,"",E11/F11)</f>
        <v>0</v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0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29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50</v>
      </c>
      <c r="B13" s="5">
        <f>SUM(B11:B12)</f>
        <v>0.32700000000000001</v>
      </c>
      <c r="C13" s="34">
        <f>SUM(C11:C12)</f>
        <v>0</v>
      </c>
      <c r="D13" s="8"/>
      <c r="E13" s="5">
        <f>SUM(E11:E12)</f>
        <v>0</v>
      </c>
      <c r="F13" s="33">
        <f>SUM(F11:F12)</f>
        <v>0.32700000000000001</v>
      </c>
      <c r="G13" s="33">
        <f>E13-F13</f>
        <v>-0.32700000000000001</v>
      </c>
      <c r="H13" s="92">
        <f>IF(F13&lt;0.00000001,"",E13/F13)</f>
        <v>0</v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4.9291098288424583E-4</v>
      </c>
      <c r="C15" s="36">
        <f>IF(C9=0,"",C13/C9)</f>
        <v>0</v>
      </c>
      <c r="D15" s="8"/>
      <c r="E15" s="6">
        <f>IF(E9=0,"",E13/E9)</f>
        <v>0</v>
      </c>
      <c r="F15" s="35">
        <f>IF(F9=0,"",F13/F9)</f>
        <v>4.4314225802952043E-4</v>
      </c>
      <c r="G15" s="35">
        <f>IF(ISERROR(F15-E15),"",E15-F15)</f>
        <v>-4.4314225802952043E-4</v>
      </c>
      <c r="H15" s="93">
        <f>IF(ISERROR(F15-E15),"",IF(F15&lt;0.00000001,"",E15/F15))</f>
        <v>0</v>
      </c>
    </row>
    <row r="17" spans="1:8" ht="14.4" customHeight="1" x14ac:dyDescent="0.3">
      <c r="A17" s="79" t="s">
        <v>103</v>
      </c>
    </row>
    <row r="18" spans="1:8" ht="14.4" customHeight="1" x14ac:dyDescent="0.3">
      <c r="A18" s="224" t="s">
        <v>134</v>
      </c>
      <c r="B18" s="225"/>
      <c r="C18" s="225"/>
      <c r="D18" s="225"/>
      <c r="E18" s="225"/>
      <c r="F18" s="225"/>
      <c r="G18" s="225"/>
      <c r="H18" s="225"/>
    </row>
    <row r="19" spans="1:8" x14ac:dyDescent="0.3">
      <c r="A19" s="223" t="s">
        <v>133</v>
      </c>
      <c r="B19" s="225"/>
      <c r="C19" s="225"/>
      <c r="D19" s="225"/>
      <c r="E19" s="225"/>
      <c r="F19" s="225"/>
      <c r="G19" s="225"/>
      <c r="H19" s="225"/>
    </row>
    <row r="20" spans="1:8" ht="14.4" customHeight="1" x14ac:dyDescent="0.3">
      <c r="A20" s="80" t="s">
        <v>146</v>
      </c>
    </row>
    <row r="21" spans="1:8" ht="14.4" customHeight="1" x14ac:dyDescent="0.3">
      <c r="A21" s="80" t="s">
        <v>104</v>
      </c>
    </row>
    <row r="22" spans="1:8" ht="14.4" customHeight="1" x14ac:dyDescent="0.3">
      <c r="A22" s="81" t="s">
        <v>168</v>
      </c>
    </row>
    <row r="23" spans="1:8" ht="14.4" customHeight="1" x14ac:dyDescent="0.3">
      <c r="A23" s="81" t="s">
        <v>105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4" operator="greaterThan">
      <formula>0</formula>
    </cfRule>
  </conditionalFormatting>
  <conditionalFormatting sqref="G11:G13 G15">
    <cfRule type="cellIs" dxfId="9" priority="3" operator="lessThan">
      <formula>0</formula>
    </cfRule>
  </conditionalFormatting>
  <conditionalFormatting sqref="H5:H9">
    <cfRule type="cellIs" dxfId="8" priority="2" operator="greaterThan">
      <formula>1</formula>
    </cfRule>
  </conditionalFormatting>
  <conditionalFormatting sqref="H11:H13 H15">
    <cfRule type="cellIs" dxfId="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96"/>
    <col min="2" max="13" width="8.88671875" style="96" customWidth="1"/>
    <col min="14" max="16384" width="8.88671875" style="96"/>
  </cols>
  <sheetData>
    <row r="1" spans="1:13" ht="18.600000000000001" customHeight="1" thickBot="1" x14ac:dyDescent="0.4">
      <c r="A1" s="243" t="s">
        <v>74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</row>
    <row r="2" spans="1:13" ht="14.4" customHeight="1" x14ac:dyDescent="0.3">
      <c r="A2" s="183" t="s">
        <v>169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14.4" customHeight="1" x14ac:dyDescent="0.3">
      <c r="A3" s="159"/>
      <c r="B3" s="160" t="s">
        <v>52</v>
      </c>
      <c r="C3" s="161" t="s">
        <v>53</v>
      </c>
      <c r="D3" s="161" t="s">
        <v>54</v>
      </c>
      <c r="E3" s="160" t="s">
        <v>55</v>
      </c>
      <c r="F3" s="161" t="s">
        <v>56</v>
      </c>
      <c r="G3" s="161" t="s">
        <v>57</v>
      </c>
      <c r="H3" s="161" t="s">
        <v>58</v>
      </c>
      <c r="I3" s="161" t="s">
        <v>59</v>
      </c>
      <c r="J3" s="161" t="s">
        <v>60</v>
      </c>
      <c r="K3" s="161" t="s">
        <v>61</v>
      </c>
      <c r="L3" s="161" t="s">
        <v>62</v>
      </c>
      <c r="M3" s="161" t="s">
        <v>63</v>
      </c>
    </row>
    <row r="4" spans="1:13" ht="14.4" customHeight="1" x14ac:dyDescent="0.3">
      <c r="A4" s="159" t="s">
        <v>51</v>
      </c>
      <c r="B4" s="162">
        <f>(B10+B8)/B6</f>
        <v>0</v>
      </c>
      <c r="C4" s="162">
        <f t="shared" ref="C4:M4" si="0">(C10+C8)/C6</f>
        <v>0</v>
      </c>
      <c r="D4" s="162">
        <f t="shared" si="0"/>
        <v>0</v>
      </c>
      <c r="E4" s="162">
        <f t="shared" si="0"/>
        <v>0</v>
      </c>
      <c r="F4" s="162">
        <f t="shared" si="0"/>
        <v>0</v>
      </c>
      <c r="G4" s="162">
        <f t="shared" si="0"/>
        <v>0</v>
      </c>
      <c r="H4" s="162">
        <f t="shared" si="0"/>
        <v>0</v>
      </c>
      <c r="I4" s="162">
        <f t="shared" si="0"/>
        <v>0</v>
      </c>
      <c r="J4" s="162">
        <f t="shared" si="0"/>
        <v>0</v>
      </c>
      <c r="K4" s="162">
        <f t="shared" si="0"/>
        <v>0</v>
      </c>
      <c r="L4" s="162">
        <f t="shared" si="0"/>
        <v>0</v>
      </c>
      <c r="M4" s="162">
        <f t="shared" si="0"/>
        <v>0</v>
      </c>
    </row>
    <row r="5" spans="1:13" ht="14.4" customHeight="1" x14ac:dyDescent="0.3">
      <c r="A5" s="163" t="s">
        <v>29</v>
      </c>
      <c r="B5" s="162">
        <f>IF(ISERROR(VLOOKUP($A5,'Man Tab'!$A:$Q,COLUMN()+2,0)),0,VLOOKUP($A5,'Man Tab'!$A:$Q,COLUMN()+2,0))</f>
        <v>129.31088</v>
      </c>
      <c r="C5" s="162">
        <f>IF(ISERROR(VLOOKUP($A5,'Man Tab'!$A:$Q,COLUMN()+2,0)),0,VLOOKUP($A5,'Man Tab'!$A:$Q,COLUMN()+2,0))</f>
        <v>129.69202999999999</v>
      </c>
      <c r="D5" s="162">
        <f>IF(ISERROR(VLOOKUP($A5,'Man Tab'!$A:$Q,COLUMN()+2,0)),0,VLOOKUP($A5,'Man Tab'!$A:$Q,COLUMN()+2,0))</f>
        <v>134.30172999999999</v>
      </c>
      <c r="E5" s="162">
        <f>IF(ISERROR(VLOOKUP($A5,'Man Tab'!$A:$Q,COLUMN()+2,0)),0,VLOOKUP($A5,'Man Tab'!$A:$Q,COLUMN()+2,0))</f>
        <v>133.11891</v>
      </c>
      <c r="F5" s="162">
        <f>IF(ISERROR(VLOOKUP($A5,'Man Tab'!$A:$Q,COLUMN()+2,0)),0,VLOOKUP($A5,'Man Tab'!$A:$Q,COLUMN()+2,0))</f>
        <v>145.74157</v>
      </c>
      <c r="G5" s="162">
        <f>IF(ISERROR(VLOOKUP($A5,'Man Tab'!$A:$Q,COLUMN()+2,0)),0,VLOOKUP($A5,'Man Tab'!$A:$Q,COLUMN()+2,0))</f>
        <v>0</v>
      </c>
      <c r="H5" s="162">
        <f>IF(ISERROR(VLOOKUP($A5,'Man Tab'!$A:$Q,COLUMN()+2,0)),0,VLOOKUP($A5,'Man Tab'!$A:$Q,COLUMN()+2,0))</f>
        <v>0</v>
      </c>
      <c r="I5" s="162">
        <f>IF(ISERROR(VLOOKUP($A5,'Man Tab'!$A:$Q,COLUMN()+2,0)),0,VLOOKUP($A5,'Man Tab'!$A:$Q,COLUMN()+2,0))</f>
        <v>0</v>
      </c>
      <c r="J5" s="162">
        <f>IF(ISERROR(VLOOKUP($A5,'Man Tab'!$A:$Q,COLUMN()+2,0)),0,VLOOKUP($A5,'Man Tab'!$A:$Q,COLUMN()+2,0))</f>
        <v>0</v>
      </c>
      <c r="K5" s="162">
        <f>IF(ISERROR(VLOOKUP($A5,'Man Tab'!$A:$Q,COLUMN()+2,0)),0,VLOOKUP($A5,'Man Tab'!$A:$Q,COLUMN()+2,0))</f>
        <v>0</v>
      </c>
      <c r="L5" s="162">
        <f>IF(ISERROR(VLOOKUP($A5,'Man Tab'!$A:$Q,COLUMN()+2,0)),0,VLOOKUP($A5,'Man Tab'!$A:$Q,COLUMN()+2,0))</f>
        <v>0</v>
      </c>
      <c r="M5" s="162">
        <f>IF(ISERROR(VLOOKUP($A5,'Man Tab'!$A:$Q,COLUMN()+2,0)),0,VLOOKUP($A5,'Man Tab'!$A:$Q,COLUMN()+2,0))</f>
        <v>0</v>
      </c>
    </row>
    <row r="6" spans="1:13" ht="14.4" customHeight="1" x14ac:dyDescent="0.3">
      <c r="A6" s="163" t="s">
        <v>47</v>
      </c>
      <c r="B6" s="164">
        <f>B5</f>
        <v>129.31088</v>
      </c>
      <c r="C6" s="164">
        <f t="shared" ref="C6:M6" si="1">C5+B6</f>
        <v>259.00290999999999</v>
      </c>
      <c r="D6" s="164">
        <f t="shared" si="1"/>
        <v>393.30463999999995</v>
      </c>
      <c r="E6" s="164">
        <f t="shared" si="1"/>
        <v>526.42354999999998</v>
      </c>
      <c r="F6" s="164">
        <f t="shared" si="1"/>
        <v>672.16512</v>
      </c>
      <c r="G6" s="164">
        <f t="shared" si="1"/>
        <v>672.16512</v>
      </c>
      <c r="H6" s="164">
        <f t="shared" si="1"/>
        <v>672.16512</v>
      </c>
      <c r="I6" s="164">
        <f t="shared" si="1"/>
        <v>672.16512</v>
      </c>
      <c r="J6" s="164">
        <f t="shared" si="1"/>
        <v>672.16512</v>
      </c>
      <c r="K6" s="164">
        <f t="shared" si="1"/>
        <v>672.16512</v>
      </c>
      <c r="L6" s="164">
        <f t="shared" si="1"/>
        <v>672.16512</v>
      </c>
      <c r="M6" s="164">
        <f t="shared" si="1"/>
        <v>672.16512</v>
      </c>
    </row>
    <row r="7" spans="1:13" ht="14.4" customHeight="1" x14ac:dyDescent="0.3">
      <c r="A7" s="163" t="s">
        <v>72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</row>
    <row r="8" spans="1:13" ht="14.4" customHeight="1" x14ac:dyDescent="0.3">
      <c r="A8" s="163" t="s">
        <v>48</v>
      </c>
      <c r="B8" s="164">
        <f>B7*30</f>
        <v>0</v>
      </c>
      <c r="C8" s="164">
        <f t="shared" ref="C8:M8" si="2">C7*30</f>
        <v>0</v>
      </c>
      <c r="D8" s="164">
        <f t="shared" si="2"/>
        <v>0</v>
      </c>
      <c r="E8" s="164">
        <f t="shared" si="2"/>
        <v>0</v>
      </c>
      <c r="F8" s="164">
        <f t="shared" si="2"/>
        <v>0</v>
      </c>
      <c r="G8" s="164">
        <f t="shared" si="2"/>
        <v>0</v>
      </c>
      <c r="H8" s="164">
        <f t="shared" si="2"/>
        <v>0</v>
      </c>
      <c r="I8" s="164">
        <f t="shared" si="2"/>
        <v>0</v>
      </c>
      <c r="J8" s="164">
        <f t="shared" si="2"/>
        <v>0</v>
      </c>
      <c r="K8" s="164">
        <f t="shared" si="2"/>
        <v>0</v>
      </c>
      <c r="L8" s="164">
        <f t="shared" si="2"/>
        <v>0</v>
      </c>
      <c r="M8" s="164">
        <f t="shared" si="2"/>
        <v>0</v>
      </c>
    </row>
    <row r="9" spans="1:13" ht="14.4" customHeight="1" x14ac:dyDescent="0.3">
      <c r="A9" s="163" t="s">
        <v>73</v>
      </c>
      <c r="B9" s="163"/>
      <c r="C9" s="163">
        <v>0</v>
      </c>
      <c r="D9" s="163">
        <v>0</v>
      </c>
      <c r="E9" s="163">
        <v>0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</row>
    <row r="10" spans="1:13" ht="14.4" customHeight="1" x14ac:dyDescent="0.3">
      <c r="A10" s="163" t="s">
        <v>49</v>
      </c>
      <c r="B10" s="164">
        <f>B9/1000</f>
        <v>0</v>
      </c>
      <c r="C10" s="164">
        <f t="shared" ref="C10:M10" si="3">C9/1000+B10</f>
        <v>0</v>
      </c>
      <c r="D10" s="164">
        <f t="shared" si="3"/>
        <v>0</v>
      </c>
      <c r="E10" s="164">
        <f t="shared" si="3"/>
        <v>0</v>
      </c>
      <c r="F10" s="164">
        <f t="shared" si="3"/>
        <v>0</v>
      </c>
      <c r="G10" s="164">
        <f t="shared" si="3"/>
        <v>0</v>
      </c>
      <c r="H10" s="164">
        <f t="shared" si="3"/>
        <v>0</v>
      </c>
      <c r="I10" s="164">
        <f t="shared" si="3"/>
        <v>0</v>
      </c>
      <c r="J10" s="164">
        <f t="shared" si="3"/>
        <v>0</v>
      </c>
      <c r="K10" s="164">
        <f t="shared" si="3"/>
        <v>0</v>
      </c>
      <c r="L10" s="164">
        <f t="shared" si="3"/>
        <v>0</v>
      </c>
      <c r="M10" s="164">
        <f t="shared" si="3"/>
        <v>0</v>
      </c>
    </row>
    <row r="11" spans="1:13" ht="14.4" customHeight="1" x14ac:dyDescent="0.3">
      <c r="A11" s="159"/>
      <c r="B11" s="159" t="s">
        <v>64</v>
      </c>
      <c r="C11" s="159">
        <f ca="1">IF(MONTH(TODAY())=1,12,MONTH(TODAY())-1)</f>
        <v>5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</row>
    <row r="12" spans="1:13" ht="14.4" customHeight="1" x14ac:dyDescent="0.3">
      <c r="A12" s="159">
        <v>0</v>
      </c>
      <c r="B12" s="162">
        <f>IF(ISERROR(HI!F15),#REF!,HI!F15)</f>
        <v>4.4314225802952043E-4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</row>
    <row r="13" spans="1:13" ht="14.4" customHeight="1" x14ac:dyDescent="0.3">
      <c r="A13" s="159">
        <v>1</v>
      </c>
      <c r="B13" s="162">
        <f>IF(ISERROR(HI!F15),#REF!,HI!F15)</f>
        <v>4.4314225802952043E-4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5" customFormat="1" ht="18.600000000000001" customHeight="1" thickBot="1" x14ac:dyDescent="0.4">
      <c r="A1" s="252" t="s">
        <v>171</v>
      </c>
      <c r="B1" s="252"/>
      <c r="C1" s="252"/>
      <c r="D1" s="252"/>
      <c r="E1" s="252"/>
      <c r="F1" s="252"/>
      <c r="G1" s="252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7" s="165" customFormat="1" ht="14.4" customHeight="1" thickBot="1" x14ac:dyDescent="0.3">
      <c r="A2" s="183" t="s">
        <v>169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14.4" customHeight="1" x14ac:dyDescent="0.3">
      <c r="A3" s="54"/>
      <c r="B3" s="253" t="s">
        <v>5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104"/>
      <c r="Q3" s="106"/>
    </row>
    <row r="4" spans="1:17" ht="14.4" customHeight="1" x14ac:dyDescent="0.3">
      <c r="A4" s="55"/>
      <c r="B4" s="20">
        <v>2016</v>
      </c>
      <c r="C4" s="105" t="s">
        <v>6</v>
      </c>
      <c r="D4" s="95" t="s">
        <v>155</v>
      </c>
      <c r="E4" s="95" t="s">
        <v>156</v>
      </c>
      <c r="F4" s="95" t="s">
        <v>157</v>
      </c>
      <c r="G4" s="95" t="s">
        <v>158</v>
      </c>
      <c r="H4" s="95" t="s">
        <v>159</v>
      </c>
      <c r="I4" s="95" t="s">
        <v>160</v>
      </c>
      <c r="J4" s="95" t="s">
        <v>161</v>
      </c>
      <c r="K4" s="95" t="s">
        <v>162</v>
      </c>
      <c r="L4" s="95" t="s">
        <v>163</v>
      </c>
      <c r="M4" s="95" t="s">
        <v>164</v>
      </c>
      <c r="N4" s="95" t="s">
        <v>165</v>
      </c>
      <c r="O4" s="95" t="s">
        <v>166</v>
      </c>
      <c r="P4" s="255" t="s">
        <v>2</v>
      </c>
      <c r="Q4" s="256"/>
    </row>
    <row r="5" spans="1:17" ht="14.4" customHeight="1" thickBot="1" x14ac:dyDescent="0.35">
      <c r="A5" s="56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0">
        <v>0</v>
      </c>
      <c r="C6" s="41">
        <v>0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2">
        <v>0</v>
      </c>
      <c r="Q6" s="63" t="s">
        <v>170</v>
      </c>
    </row>
    <row r="7" spans="1:17" ht="14.4" customHeight="1" x14ac:dyDescent="0.3">
      <c r="A7" s="15" t="s">
        <v>11</v>
      </c>
      <c r="B7" s="43">
        <v>0</v>
      </c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5">
        <v>0</v>
      </c>
      <c r="Q7" s="64" t="s">
        <v>170</v>
      </c>
    </row>
    <row r="8" spans="1:17" ht="14.4" customHeight="1" x14ac:dyDescent="0.3">
      <c r="A8" s="15" t="s">
        <v>12</v>
      </c>
      <c r="B8" s="43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5">
        <v>0</v>
      </c>
      <c r="Q8" s="64" t="s">
        <v>170</v>
      </c>
    </row>
    <row r="9" spans="1:17" ht="14.4" customHeight="1" x14ac:dyDescent="0.3">
      <c r="A9" s="15" t="s">
        <v>13</v>
      </c>
      <c r="B9" s="43">
        <v>0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5">
        <v>0</v>
      </c>
      <c r="Q9" s="64" t="s">
        <v>170</v>
      </c>
    </row>
    <row r="10" spans="1:17" ht="14.4" customHeight="1" x14ac:dyDescent="0.3">
      <c r="A10" s="15" t="s">
        <v>14</v>
      </c>
      <c r="B10" s="43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5">
        <v>0</v>
      </c>
      <c r="Q10" s="64" t="s">
        <v>170</v>
      </c>
    </row>
    <row r="11" spans="1:17" ht="14.4" customHeight="1" x14ac:dyDescent="0.3">
      <c r="A11" s="15" t="s">
        <v>15</v>
      </c>
      <c r="B11" s="43">
        <v>4.807570146182</v>
      </c>
      <c r="C11" s="44">
        <v>0.400630845515</v>
      </c>
      <c r="D11" s="44">
        <v>0</v>
      </c>
      <c r="E11" s="44">
        <v>0.41699999999999998</v>
      </c>
      <c r="F11" s="44">
        <v>0.30070000000000002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5">
        <v>0.7177</v>
      </c>
      <c r="Q11" s="64">
        <v>0.35828494387400001</v>
      </c>
    </row>
    <row r="12" spans="1:17" ht="14.4" customHeight="1" x14ac:dyDescent="0.3">
      <c r="A12" s="15" t="s">
        <v>16</v>
      </c>
      <c r="B12" s="43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5">
        <v>0</v>
      </c>
      <c r="Q12" s="64" t="s">
        <v>170</v>
      </c>
    </row>
    <row r="13" spans="1:17" ht="14.4" customHeight="1" x14ac:dyDescent="0.3">
      <c r="A13" s="15" t="s">
        <v>17</v>
      </c>
      <c r="B13" s="43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5">
        <v>0</v>
      </c>
      <c r="Q13" s="64" t="s">
        <v>170</v>
      </c>
    </row>
    <row r="14" spans="1:17" ht="14.4" customHeight="1" x14ac:dyDescent="0.3">
      <c r="A14" s="15" t="s">
        <v>18</v>
      </c>
      <c r="B14" s="43">
        <v>0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5">
        <v>0</v>
      </c>
      <c r="Q14" s="64" t="s">
        <v>170</v>
      </c>
    </row>
    <row r="15" spans="1:17" ht="14.4" customHeight="1" x14ac:dyDescent="0.3">
      <c r="A15" s="15" t="s">
        <v>19</v>
      </c>
      <c r="B15" s="43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5">
        <v>0</v>
      </c>
      <c r="Q15" s="64" t="s">
        <v>170</v>
      </c>
    </row>
    <row r="16" spans="1:17" ht="14.4" customHeight="1" x14ac:dyDescent="0.3">
      <c r="A16" s="15" t="s">
        <v>20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5">
        <v>0</v>
      </c>
      <c r="Q16" s="64" t="s">
        <v>170</v>
      </c>
    </row>
    <row r="17" spans="1:17" ht="14.4" customHeight="1" x14ac:dyDescent="0.3">
      <c r="A17" s="15" t="s">
        <v>21</v>
      </c>
      <c r="B17" s="43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5">
        <v>0</v>
      </c>
      <c r="Q17" s="64" t="s">
        <v>170</v>
      </c>
    </row>
    <row r="18" spans="1:17" ht="14.4" customHeight="1" x14ac:dyDescent="0.3">
      <c r="A18" s="15" t="s">
        <v>22</v>
      </c>
      <c r="B18" s="43"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5">
        <v>0</v>
      </c>
      <c r="Q18" s="64" t="s">
        <v>170</v>
      </c>
    </row>
    <row r="19" spans="1:17" ht="14.4" customHeight="1" x14ac:dyDescent="0.3">
      <c r="A19" s="15" t="s">
        <v>23</v>
      </c>
      <c r="B19" s="43">
        <v>3.5093244204999999E-2</v>
      </c>
      <c r="C19" s="44">
        <v>2.9244370170000001E-3</v>
      </c>
      <c r="D19" s="44">
        <v>-1.5949999999999999E-2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5">
        <v>-1.5949999999999999E-2</v>
      </c>
      <c r="Q19" s="64">
        <v>-1.090808241482</v>
      </c>
    </row>
    <row r="20" spans="1:17" ht="14.4" customHeight="1" x14ac:dyDescent="0.3">
      <c r="A20" s="15" t="s">
        <v>24</v>
      </c>
      <c r="B20" s="43">
        <v>1766.1461912715399</v>
      </c>
      <c r="C20" s="44">
        <v>147.17884927262801</v>
      </c>
      <c r="D20" s="44">
        <v>129.32683</v>
      </c>
      <c r="E20" s="44">
        <v>129.27502999999999</v>
      </c>
      <c r="F20" s="44">
        <v>134.00102999999999</v>
      </c>
      <c r="G20" s="44">
        <v>133.11891</v>
      </c>
      <c r="H20" s="44">
        <v>145.74157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5">
        <v>671.46337000000005</v>
      </c>
      <c r="Q20" s="64">
        <v>0.91244546797100001</v>
      </c>
    </row>
    <row r="21" spans="1:17" ht="14.4" customHeight="1" x14ac:dyDescent="0.3">
      <c r="A21" s="16" t="s">
        <v>25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5">
        <v>0</v>
      </c>
      <c r="Q21" s="64" t="s">
        <v>170</v>
      </c>
    </row>
    <row r="22" spans="1:17" ht="14.4" customHeight="1" x14ac:dyDescent="0.3">
      <c r="A22" s="15" t="s">
        <v>26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5">
        <v>0</v>
      </c>
      <c r="Q22" s="64" t="s">
        <v>170</v>
      </c>
    </row>
    <row r="23" spans="1:17" ht="14.4" customHeight="1" x14ac:dyDescent="0.3">
      <c r="A23" s="16" t="s">
        <v>27</v>
      </c>
      <c r="B23" s="43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5">
        <v>0</v>
      </c>
      <c r="Q23" s="64"/>
    </row>
    <row r="24" spans="1:17" ht="14.4" customHeight="1" x14ac:dyDescent="0.3">
      <c r="A24" s="16" t="s">
        <v>28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5">
        <v>0</v>
      </c>
      <c r="Q24" s="64" t="s">
        <v>170</v>
      </c>
    </row>
    <row r="25" spans="1:17" ht="14.4" customHeight="1" x14ac:dyDescent="0.3">
      <c r="A25" s="17" t="s">
        <v>29</v>
      </c>
      <c r="B25" s="46">
        <v>1770.98885466193</v>
      </c>
      <c r="C25" s="47">
        <v>147.58240455516099</v>
      </c>
      <c r="D25" s="47">
        <v>129.31088</v>
      </c>
      <c r="E25" s="47">
        <v>129.69202999999999</v>
      </c>
      <c r="F25" s="47">
        <v>134.30172999999999</v>
      </c>
      <c r="G25" s="47">
        <v>133.11891</v>
      </c>
      <c r="H25" s="47">
        <v>145.74157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8">
        <v>672.16512</v>
      </c>
      <c r="Q25" s="65">
        <v>0.91090143438899995</v>
      </c>
    </row>
    <row r="26" spans="1:17" ht="14.4" customHeight="1" x14ac:dyDescent="0.3">
      <c r="A26" s="15" t="s">
        <v>30</v>
      </c>
      <c r="B26" s="43">
        <v>0</v>
      </c>
      <c r="C26" s="44">
        <v>0</v>
      </c>
      <c r="D26" s="44">
        <v>21.403030000000001</v>
      </c>
      <c r="E26" s="44">
        <v>20.362179999999999</v>
      </c>
      <c r="F26" s="44">
        <v>21.190200000000001</v>
      </c>
      <c r="G26" s="44">
        <v>21.219740000000002</v>
      </c>
      <c r="H26" s="44">
        <v>20.708220000000001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5">
        <v>104.88337</v>
      </c>
      <c r="Q26" s="64" t="s">
        <v>170</v>
      </c>
    </row>
    <row r="27" spans="1:17" ht="14.4" customHeight="1" x14ac:dyDescent="0.3">
      <c r="A27" s="18" t="s">
        <v>31</v>
      </c>
      <c r="B27" s="46">
        <v>1770.98885466193</v>
      </c>
      <c r="C27" s="47">
        <v>147.58240455516099</v>
      </c>
      <c r="D27" s="47">
        <v>150.71391</v>
      </c>
      <c r="E27" s="47">
        <v>150.05421000000001</v>
      </c>
      <c r="F27" s="47">
        <v>155.49193</v>
      </c>
      <c r="G27" s="47">
        <v>154.33865</v>
      </c>
      <c r="H27" s="47">
        <v>166.44979000000001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8">
        <v>777.04849000000002</v>
      </c>
      <c r="Q27" s="65">
        <v>1.053036765923</v>
      </c>
    </row>
    <row r="28" spans="1:17" ht="14.4" customHeight="1" x14ac:dyDescent="0.3">
      <c r="A28" s="16" t="s">
        <v>32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5">
        <v>0</v>
      </c>
      <c r="Q28" s="64">
        <v>0</v>
      </c>
    </row>
    <row r="29" spans="1:17" ht="14.4" customHeight="1" x14ac:dyDescent="0.3">
      <c r="A29" s="16" t="s">
        <v>33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5">
        <v>0</v>
      </c>
      <c r="Q29" s="64" t="s">
        <v>170</v>
      </c>
    </row>
    <row r="30" spans="1:17" ht="14.4" customHeight="1" x14ac:dyDescent="0.3">
      <c r="A30" s="16" t="s">
        <v>34</v>
      </c>
      <c r="B30" s="43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5">
        <v>0</v>
      </c>
      <c r="Q30" s="64">
        <v>0</v>
      </c>
    </row>
    <row r="31" spans="1:17" ht="14.4" customHeight="1" thickBot="1" x14ac:dyDescent="0.35">
      <c r="A31" s="19" t="s">
        <v>35</v>
      </c>
      <c r="B31" s="49">
        <v>0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1">
        <v>0</v>
      </c>
      <c r="Q31" s="66" t="s">
        <v>170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103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167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36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</cols>
  <sheetData>
    <row r="1" spans="1:8" ht="18.600000000000001" thickBot="1" x14ac:dyDescent="0.4">
      <c r="A1" s="260" t="s">
        <v>76</v>
      </c>
      <c r="B1" s="257"/>
      <c r="C1" s="257"/>
      <c r="D1" s="257"/>
      <c r="E1" s="257"/>
      <c r="F1" s="257"/>
      <c r="G1" s="257"/>
    </row>
    <row r="2" spans="1:8" ht="15" thickBot="1" x14ac:dyDescent="0.35">
      <c r="A2" s="183" t="s">
        <v>169</v>
      </c>
      <c r="B2" s="184"/>
      <c r="C2" s="184"/>
      <c r="D2" s="184"/>
      <c r="E2" s="184"/>
      <c r="F2" s="184"/>
    </row>
    <row r="3" spans="1:8" x14ac:dyDescent="0.3">
      <c r="A3" s="200" t="s">
        <v>137</v>
      </c>
      <c r="B3" s="258" t="s">
        <v>120</v>
      </c>
      <c r="C3" s="185">
        <v>99</v>
      </c>
      <c r="D3" s="203">
        <v>101</v>
      </c>
      <c r="E3" s="203">
        <v>302</v>
      </c>
      <c r="F3" s="203">
        <v>526</v>
      </c>
      <c r="G3" s="294">
        <v>930</v>
      </c>
      <c r="H3" s="309"/>
    </row>
    <row r="4" spans="1:8" ht="36.6" outlineLevel="1" thickBot="1" x14ac:dyDescent="0.35">
      <c r="A4" s="201">
        <v>2016</v>
      </c>
      <c r="B4" s="259"/>
      <c r="C4" s="186" t="s">
        <v>121</v>
      </c>
      <c r="D4" s="204" t="s">
        <v>150</v>
      </c>
      <c r="E4" s="204" t="s">
        <v>151</v>
      </c>
      <c r="F4" s="204" t="s">
        <v>145</v>
      </c>
      <c r="G4" s="295" t="s">
        <v>139</v>
      </c>
      <c r="H4" s="309"/>
    </row>
    <row r="5" spans="1:8" x14ac:dyDescent="0.3">
      <c r="A5" s="187" t="s">
        <v>122</v>
      </c>
      <c r="B5" s="217"/>
      <c r="C5" s="218"/>
      <c r="D5" s="218"/>
      <c r="E5" s="218"/>
      <c r="F5" s="218"/>
      <c r="G5" s="296"/>
      <c r="H5" s="309"/>
    </row>
    <row r="6" spans="1:8" ht="15" collapsed="1" thickBot="1" x14ac:dyDescent="0.35">
      <c r="A6" s="188" t="s">
        <v>43</v>
      </c>
      <c r="B6" s="219">
        <f xml:space="preserve">
TRUNC(IF($A$4&lt;=12,SUMIFS('ON Data'!F:F,'ON Data'!$D:$D,$A$4,'ON Data'!$E:$E,1),SUMIFS('ON Data'!F:F,'ON Data'!$E:$E,1)/'ON Data'!$D$3),1)</f>
        <v>3.4</v>
      </c>
      <c r="C6" s="220">
        <f xml:space="preserve">
TRUNC(IF($A$4&lt;=12,SUMIFS('ON Data'!I:I,'ON Data'!$D:$D,$A$4,'ON Data'!$E:$E,1),SUMIFS('ON Data'!I:I,'ON Data'!$E:$E,1)/'ON Data'!$D$3),1)</f>
        <v>0.7</v>
      </c>
      <c r="D6" s="220">
        <f xml:space="preserve">
TRUNC(IF($A$4&lt;=12,SUMIFS('ON Data'!K:K,'ON Data'!$D:$D,$A$4,'ON Data'!$E:$E,1),SUMIFS('ON Data'!K:K,'ON Data'!$E:$E,1)/'ON Data'!$D$3),1)</f>
        <v>2</v>
      </c>
      <c r="E6" s="220">
        <f xml:space="preserve">
TRUNC(IF($A$4&lt;=12,SUMIFS('ON Data'!O:O,'ON Data'!$D:$D,$A$4,'ON Data'!$E:$E,1),SUMIFS('ON Data'!O:O,'ON Data'!$E:$E,1)/'ON Data'!$D$3),1)</f>
        <v>0</v>
      </c>
      <c r="F6" s="220">
        <f xml:space="preserve">
TRUNC(IF($A$4&lt;=12,SUMIFS('ON Data'!AJ:AJ,'ON Data'!$D:$D,$A$4,'ON Data'!$E:$E,1),SUMIFS('ON Data'!AJ:AJ,'ON Data'!$E:$E,1)/'ON Data'!$D$3),1)</f>
        <v>0</v>
      </c>
      <c r="G6" s="297">
        <f xml:space="preserve">
TRUNC(IF($A$4&lt;=12,SUMIFS('ON Data'!AW:AW,'ON Data'!$D:$D,$A$4,'ON Data'!$E:$E,1),SUMIFS('ON Data'!AW:AW,'ON Data'!$E:$E,1)/'ON Data'!$D$3),1)</f>
        <v>0.6</v>
      </c>
      <c r="H6" s="309"/>
    </row>
    <row r="7" spans="1:8" ht="15" hidden="1" outlineLevel="1" thickBot="1" x14ac:dyDescent="0.35">
      <c r="A7" s="188" t="s">
        <v>77</v>
      </c>
      <c r="B7" s="219"/>
      <c r="C7" s="220"/>
      <c r="D7" s="220"/>
      <c r="E7" s="220"/>
      <c r="F7" s="220"/>
      <c r="G7" s="297"/>
      <c r="H7" s="309"/>
    </row>
    <row r="8" spans="1:8" ht="15" hidden="1" outlineLevel="1" thickBot="1" x14ac:dyDescent="0.35">
      <c r="A8" s="188" t="s">
        <v>45</v>
      </c>
      <c r="B8" s="219"/>
      <c r="C8" s="220"/>
      <c r="D8" s="220"/>
      <c r="E8" s="220"/>
      <c r="F8" s="220"/>
      <c r="G8" s="297"/>
      <c r="H8" s="309"/>
    </row>
    <row r="9" spans="1:8" ht="15" hidden="1" outlineLevel="1" thickBot="1" x14ac:dyDescent="0.35">
      <c r="A9" s="189" t="s">
        <v>38</v>
      </c>
      <c r="B9" s="221"/>
      <c r="C9" s="222"/>
      <c r="D9" s="222"/>
      <c r="E9" s="222"/>
      <c r="F9" s="222"/>
      <c r="G9" s="298"/>
      <c r="H9" s="309"/>
    </row>
    <row r="10" spans="1:8" x14ac:dyDescent="0.3">
      <c r="A10" s="190" t="s">
        <v>123</v>
      </c>
      <c r="B10" s="205"/>
      <c r="C10" s="206"/>
      <c r="D10" s="206"/>
      <c r="E10" s="206"/>
      <c r="F10" s="206"/>
      <c r="G10" s="299"/>
      <c r="H10" s="309"/>
    </row>
    <row r="11" spans="1:8" x14ac:dyDescent="0.3">
      <c r="A11" s="191" t="s">
        <v>124</v>
      </c>
      <c r="B11" s="207">
        <f xml:space="preserve">
IF($A$4&lt;=12,SUMIFS('ON Data'!F:F,'ON Data'!$D:$D,$A$4,'ON Data'!$E:$E,2),SUMIFS('ON Data'!F:F,'ON Data'!$E:$E,2))</f>
        <v>2500.8000000000002</v>
      </c>
      <c r="C11" s="208">
        <f xml:space="preserve">
IF($A$4&lt;=12,SUMIFS('ON Data'!I:I,'ON Data'!$D:$D,$A$4,'ON Data'!$E:$E,2),SUMIFS('ON Data'!I:I,'ON Data'!$E:$E,2))</f>
        <v>579.20000000000005</v>
      </c>
      <c r="D11" s="208">
        <f xml:space="preserve">
IF($A$4&lt;=12,SUMIFS('ON Data'!K:K,'ON Data'!$D:$D,$A$4,'ON Data'!$E:$E,2),SUMIFS('ON Data'!K:K,'ON Data'!$E:$E,2))</f>
        <v>1365.6</v>
      </c>
      <c r="E11" s="208">
        <f xml:space="preserve">
IF($A$4&lt;=12,SUMIFS('ON Data'!O:O,'ON Data'!$D:$D,$A$4,'ON Data'!$E:$E,2),SUMIFS('ON Data'!O:O,'ON Data'!$E:$E,2))</f>
        <v>0</v>
      </c>
      <c r="F11" s="208">
        <f xml:space="preserve">
IF($A$4&lt;=12,SUMIFS('ON Data'!AJ:AJ,'ON Data'!$D:$D,$A$4,'ON Data'!$E:$E,2),SUMIFS('ON Data'!AJ:AJ,'ON Data'!$E:$E,2))</f>
        <v>43.2</v>
      </c>
      <c r="G11" s="300">
        <f xml:space="preserve">
IF($A$4&lt;=12,SUMIFS('ON Data'!AW:AW,'ON Data'!$D:$D,$A$4,'ON Data'!$E:$E,2),SUMIFS('ON Data'!AW:AW,'ON Data'!$E:$E,2))</f>
        <v>512.79999999999995</v>
      </c>
      <c r="H11" s="309"/>
    </row>
    <row r="12" spans="1:8" x14ac:dyDescent="0.3">
      <c r="A12" s="191" t="s">
        <v>125</v>
      </c>
      <c r="B12" s="207">
        <f xml:space="preserve">
IF($A$4&lt;=12,SUMIFS('ON Data'!F:F,'ON Data'!$D:$D,$A$4,'ON Data'!$E:$E,3),SUMIFS('ON Data'!F:F,'ON Data'!$E:$E,3))</f>
        <v>0</v>
      </c>
      <c r="C12" s="208">
        <f xml:space="preserve">
IF($A$4&lt;=12,SUMIFS('ON Data'!I:I,'ON Data'!$D:$D,$A$4,'ON Data'!$E:$E,3),SUMIFS('ON Data'!I:I,'ON Data'!$E:$E,3))</f>
        <v>0</v>
      </c>
      <c r="D12" s="208">
        <f xml:space="preserve">
IF($A$4&lt;=12,SUMIFS('ON Data'!K:K,'ON Data'!$D:$D,$A$4,'ON Data'!$E:$E,3),SUMIFS('ON Data'!K:K,'ON Data'!$E:$E,3))</f>
        <v>0</v>
      </c>
      <c r="E12" s="208">
        <f xml:space="preserve">
IF($A$4&lt;=12,SUMIFS('ON Data'!O:O,'ON Data'!$D:$D,$A$4,'ON Data'!$E:$E,3),SUMIFS('ON Data'!O:O,'ON Data'!$E:$E,3))</f>
        <v>0</v>
      </c>
      <c r="F12" s="208">
        <f xml:space="preserve">
IF($A$4&lt;=12,SUMIFS('ON Data'!AJ:AJ,'ON Data'!$D:$D,$A$4,'ON Data'!$E:$E,3),SUMIFS('ON Data'!AJ:AJ,'ON Data'!$E:$E,3))</f>
        <v>0</v>
      </c>
      <c r="G12" s="300">
        <f xml:space="preserve">
IF($A$4&lt;=12,SUMIFS('ON Data'!AW:AW,'ON Data'!$D:$D,$A$4,'ON Data'!$E:$E,3),SUMIFS('ON Data'!AW:AW,'ON Data'!$E:$E,3))</f>
        <v>0</v>
      </c>
      <c r="H12" s="309"/>
    </row>
    <row r="13" spans="1:8" x14ac:dyDescent="0.3">
      <c r="A13" s="191" t="s">
        <v>132</v>
      </c>
      <c r="B13" s="207">
        <f xml:space="preserve">
IF($A$4&lt;=12,SUMIFS('ON Data'!F:F,'ON Data'!$D:$D,$A$4,'ON Data'!$E:$E,4),SUMIFS('ON Data'!F:F,'ON Data'!$E:$E,4))</f>
        <v>0</v>
      </c>
      <c r="C13" s="208">
        <f xml:space="preserve">
IF($A$4&lt;=12,SUMIFS('ON Data'!I:I,'ON Data'!$D:$D,$A$4,'ON Data'!$E:$E,4),SUMIFS('ON Data'!I:I,'ON Data'!$E:$E,4))</f>
        <v>0</v>
      </c>
      <c r="D13" s="208">
        <f xml:space="preserve">
IF($A$4&lt;=12,SUMIFS('ON Data'!K:K,'ON Data'!$D:$D,$A$4,'ON Data'!$E:$E,4),SUMIFS('ON Data'!K:K,'ON Data'!$E:$E,4))</f>
        <v>0</v>
      </c>
      <c r="E13" s="208">
        <f xml:space="preserve">
IF($A$4&lt;=12,SUMIFS('ON Data'!O:O,'ON Data'!$D:$D,$A$4,'ON Data'!$E:$E,4),SUMIFS('ON Data'!O:O,'ON Data'!$E:$E,4))</f>
        <v>0</v>
      </c>
      <c r="F13" s="208">
        <f xml:space="preserve">
IF($A$4&lt;=12,SUMIFS('ON Data'!AJ:AJ,'ON Data'!$D:$D,$A$4,'ON Data'!$E:$E,4),SUMIFS('ON Data'!AJ:AJ,'ON Data'!$E:$E,4))</f>
        <v>0</v>
      </c>
      <c r="G13" s="300">
        <f xml:space="preserve">
IF($A$4&lt;=12,SUMIFS('ON Data'!AW:AW,'ON Data'!$D:$D,$A$4,'ON Data'!$E:$E,4),SUMIFS('ON Data'!AW:AW,'ON Data'!$E:$E,4))</f>
        <v>0</v>
      </c>
      <c r="H13" s="309"/>
    </row>
    <row r="14" spans="1:8" ht="15" thickBot="1" x14ac:dyDescent="0.35">
      <c r="A14" s="192" t="s">
        <v>126</v>
      </c>
      <c r="B14" s="209">
        <f xml:space="preserve">
IF($A$4&lt;=12,SUMIFS('ON Data'!F:F,'ON Data'!$D:$D,$A$4,'ON Data'!$E:$E,5),SUMIFS('ON Data'!F:F,'ON Data'!$E:$E,5))</f>
        <v>0</v>
      </c>
      <c r="C14" s="210">
        <f xml:space="preserve">
IF($A$4&lt;=12,SUMIFS('ON Data'!I:I,'ON Data'!$D:$D,$A$4,'ON Data'!$E:$E,5),SUMIFS('ON Data'!I:I,'ON Data'!$E:$E,5))</f>
        <v>0</v>
      </c>
      <c r="D14" s="210">
        <f xml:space="preserve">
IF($A$4&lt;=12,SUMIFS('ON Data'!K:K,'ON Data'!$D:$D,$A$4,'ON Data'!$E:$E,5),SUMIFS('ON Data'!K:K,'ON Data'!$E:$E,5))</f>
        <v>0</v>
      </c>
      <c r="E14" s="210">
        <f xml:space="preserve">
IF($A$4&lt;=12,SUMIFS('ON Data'!O:O,'ON Data'!$D:$D,$A$4,'ON Data'!$E:$E,5),SUMIFS('ON Data'!O:O,'ON Data'!$E:$E,5))</f>
        <v>0</v>
      </c>
      <c r="F14" s="210">
        <f xml:space="preserve">
IF($A$4&lt;=12,SUMIFS('ON Data'!AJ:AJ,'ON Data'!$D:$D,$A$4,'ON Data'!$E:$E,5),SUMIFS('ON Data'!AJ:AJ,'ON Data'!$E:$E,5))</f>
        <v>0</v>
      </c>
      <c r="G14" s="301">
        <f xml:space="preserve">
IF($A$4&lt;=12,SUMIFS('ON Data'!AW:AW,'ON Data'!$D:$D,$A$4,'ON Data'!$E:$E,5),SUMIFS('ON Data'!AW:AW,'ON Data'!$E:$E,5))</f>
        <v>0</v>
      </c>
      <c r="H14" s="309"/>
    </row>
    <row r="15" spans="1:8" x14ac:dyDescent="0.3">
      <c r="A15" s="124" t="s">
        <v>136</v>
      </c>
      <c r="B15" s="211"/>
      <c r="C15" s="212"/>
      <c r="D15" s="212"/>
      <c r="E15" s="212"/>
      <c r="F15" s="212"/>
      <c r="G15" s="302"/>
      <c r="H15" s="309"/>
    </row>
    <row r="16" spans="1:8" x14ac:dyDescent="0.3">
      <c r="A16" s="193" t="s">
        <v>127</v>
      </c>
      <c r="B16" s="207">
        <f xml:space="preserve">
IF($A$4&lt;=12,SUMIFS('ON Data'!F:F,'ON Data'!$D:$D,$A$4,'ON Data'!$E:$E,7),SUMIFS('ON Data'!F:F,'ON Data'!$E:$E,7))</f>
        <v>0</v>
      </c>
      <c r="C16" s="208">
        <f xml:space="preserve">
IF($A$4&lt;=12,SUMIFS('ON Data'!I:I,'ON Data'!$D:$D,$A$4,'ON Data'!$E:$E,7),SUMIFS('ON Data'!I:I,'ON Data'!$E:$E,7))</f>
        <v>0</v>
      </c>
      <c r="D16" s="208">
        <f xml:space="preserve">
IF($A$4&lt;=12,SUMIFS('ON Data'!K:K,'ON Data'!$D:$D,$A$4,'ON Data'!$E:$E,7),SUMIFS('ON Data'!K:K,'ON Data'!$E:$E,7))</f>
        <v>0</v>
      </c>
      <c r="E16" s="208">
        <f xml:space="preserve">
IF($A$4&lt;=12,SUMIFS('ON Data'!O:O,'ON Data'!$D:$D,$A$4,'ON Data'!$E:$E,7),SUMIFS('ON Data'!O:O,'ON Data'!$E:$E,7))</f>
        <v>0</v>
      </c>
      <c r="F16" s="208">
        <f xml:space="preserve">
IF($A$4&lt;=12,SUMIFS('ON Data'!AJ:AJ,'ON Data'!$D:$D,$A$4,'ON Data'!$E:$E,7),SUMIFS('ON Data'!AJ:AJ,'ON Data'!$E:$E,7))</f>
        <v>0</v>
      </c>
      <c r="G16" s="300">
        <f xml:space="preserve">
IF($A$4&lt;=12,SUMIFS('ON Data'!AW:AW,'ON Data'!$D:$D,$A$4,'ON Data'!$E:$E,7),SUMIFS('ON Data'!AW:AW,'ON Data'!$E:$E,7))</f>
        <v>0</v>
      </c>
      <c r="H16" s="309"/>
    </row>
    <row r="17" spans="1:8" x14ac:dyDescent="0.3">
      <c r="A17" s="193" t="s">
        <v>128</v>
      </c>
      <c r="B17" s="207">
        <f xml:space="preserve">
IF($A$4&lt;=12,SUMIFS('ON Data'!F:F,'ON Data'!$D:$D,$A$4,'ON Data'!$E:$E,8),SUMIFS('ON Data'!F:F,'ON Data'!$E:$E,8))</f>
        <v>0</v>
      </c>
      <c r="C17" s="208">
        <f xml:space="preserve">
IF($A$4&lt;=12,SUMIFS('ON Data'!I:I,'ON Data'!$D:$D,$A$4,'ON Data'!$E:$E,8),SUMIFS('ON Data'!I:I,'ON Data'!$E:$E,8))</f>
        <v>0</v>
      </c>
      <c r="D17" s="208">
        <f xml:space="preserve">
IF($A$4&lt;=12,SUMIFS('ON Data'!K:K,'ON Data'!$D:$D,$A$4,'ON Data'!$E:$E,8),SUMIFS('ON Data'!K:K,'ON Data'!$E:$E,8))</f>
        <v>0</v>
      </c>
      <c r="E17" s="208">
        <f xml:space="preserve">
IF($A$4&lt;=12,SUMIFS('ON Data'!O:O,'ON Data'!$D:$D,$A$4,'ON Data'!$E:$E,8),SUMIFS('ON Data'!O:O,'ON Data'!$E:$E,8))</f>
        <v>0</v>
      </c>
      <c r="F17" s="208">
        <f xml:space="preserve">
IF($A$4&lt;=12,SUMIFS('ON Data'!AJ:AJ,'ON Data'!$D:$D,$A$4,'ON Data'!$E:$E,8),SUMIFS('ON Data'!AJ:AJ,'ON Data'!$E:$E,8))</f>
        <v>0</v>
      </c>
      <c r="G17" s="300">
        <f xml:space="preserve">
IF($A$4&lt;=12,SUMIFS('ON Data'!AW:AW,'ON Data'!$D:$D,$A$4,'ON Data'!$E:$E,8),SUMIFS('ON Data'!AW:AW,'ON Data'!$E:$E,8))</f>
        <v>0</v>
      </c>
      <c r="H17" s="309"/>
    </row>
    <row r="18" spans="1:8" x14ac:dyDescent="0.3">
      <c r="A18" s="193" t="s">
        <v>129</v>
      </c>
      <c r="B18" s="207">
        <f xml:space="preserve">
B19-B16-B17</f>
        <v>0</v>
      </c>
      <c r="C18" s="208">
        <f t="shared" ref="C18:D18" si="0" xml:space="preserve">
C19-C16-C17</f>
        <v>0</v>
      </c>
      <c r="D18" s="208">
        <f t="shared" si="0"/>
        <v>0</v>
      </c>
      <c r="E18" s="208">
        <f t="shared" ref="E18:F18" si="1" xml:space="preserve">
E19-E16-E17</f>
        <v>0</v>
      </c>
      <c r="F18" s="208">
        <f t="shared" si="1"/>
        <v>0</v>
      </c>
      <c r="G18" s="300">
        <f t="shared" ref="G18" si="2" xml:space="preserve">
G19-G16-G17</f>
        <v>0</v>
      </c>
      <c r="H18" s="309"/>
    </row>
    <row r="19" spans="1:8" ht="15" thickBot="1" x14ac:dyDescent="0.35">
      <c r="A19" s="194" t="s">
        <v>130</v>
      </c>
      <c r="B19" s="213">
        <f xml:space="preserve">
IF($A$4&lt;=12,SUMIFS('ON Data'!F:F,'ON Data'!$D:$D,$A$4,'ON Data'!$E:$E,9),SUMIFS('ON Data'!F:F,'ON Data'!$E:$E,9))</f>
        <v>0</v>
      </c>
      <c r="C19" s="214">
        <f xml:space="preserve">
IF($A$4&lt;=12,SUMIFS('ON Data'!I:I,'ON Data'!$D:$D,$A$4,'ON Data'!$E:$E,9),SUMIFS('ON Data'!I:I,'ON Data'!$E:$E,9))</f>
        <v>0</v>
      </c>
      <c r="D19" s="214">
        <f xml:space="preserve">
IF($A$4&lt;=12,SUMIFS('ON Data'!K:K,'ON Data'!$D:$D,$A$4,'ON Data'!$E:$E,9),SUMIFS('ON Data'!K:K,'ON Data'!$E:$E,9))</f>
        <v>0</v>
      </c>
      <c r="E19" s="214">
        <f xml:space="preserve">
IF($A$4&lt;=12,SUMIFS('ON Data'!O:O,'ON Data'!$D:$D,$A$4,'ON Data'!$E:$E,9),SUMIFS('ON Data'!O:O,'ON Data'!$E:$E,9))</f>
        <v>0</v>
      </c>
      <c r="F19" s="214">
        <f xml:space="preserve">
IF($A$4&lt;=12,SUMIFS('ON Data'!AJ:AJ,'ON Data'!$D:$D,$A$4,'ON Data'!$E:$E,9),SUMIFS('ON Data'!AJ:AJ,'ON Data'!$E:$E,9))</f>
        <v>0</v>
      </c>
      <c r="G19" s="303">
        <f xml:space="preserve">
IF($A$4&lt;=12,SUMIFS('ON Data'!AW:AW,'ON Data'!$D:$D,$A$4,'ON Data'!$E:$E,9),SUMIFS('ON Data'!AW:AW,'ON Data'!$E:$E,9))</f>
        <v>0</v>
      </c>
      <c r="H19" s="309"/>
    </row>
    <row r="20" spans="1:8" ht="15" collapsed="1" thickBot="1" x14ac:dyDescent="0.35">
      <c r="A20" s="195" t="s">
        <v>43</v>
      </c>
      <c r="B20" s="215">
        <f xml:space="preserve">
IF($A$4&lt;=12,SUMIFS('ON Data'!F:F,'ON Data'!$D:$D,$A$4,'ON Data'!$E:$E,6),SUMIFS('ON Data'!F:F,'ON Data'!$E:$E,6))</f>
        <v>499263</v>
      </c>
      <c r="C20" s="216">
        <f xml:space="preserve">
IF($A$4&lt;=12,SUMIFS('ON Data'!I:I,'ON Data'!$D:$D,$A$4,'ON Data'!$E:$E,6),SUMIFS('ON Data'!I:I,'ON Data'!$E:$E,6))</f>
        <v>104583</v>
      </c>
      <c r="D20" s="216">
        <f xml:space="preserve">
IF($A$4&lt;=12,SUMIFS('ON Data'!K:K,'ON Data'!$D:$D,$A$4,'ON Data'!$E:$E,6),SUMIFS('ON Data'!K:K,'ON Data'!$E:$E,6))</f>
        <v>323866</v>
      </c>
      <c r="E20" s="216">
        <f xml:space="preserve">
IF($A$4&lt;=12,SUMIFS('ON Data'!O:O,'ON Data'!$D:$D,$A$4,'ON Data'!$E:$E,6),SUMIFS('ON Data'!O:O,'ON Data'!$E:$E,6))</f>
        <v>0</v>
      </c>
      <c r="F20" s="216">
        <f xml:space="preserve">
IF($A$4&lt;=12,SUMIFS('ON Data'!AJ:AJ,'ON Data'!$D:$D,$A$4,'ON Data'!$E:$E,6),SUMIFS('ON Data'!AJ:AJ,'ON Data'!$E:$E,6))</f>
        <v>11250</v>
      </c>
      <c r="G20" s="304">
        <f xml:space="preserve">
IF($A$4&lt;=12,SUMIFS('ON Data'!AW:AW,'ON Data'!$D:$D,$A$4,'ON Data'!$E:$E,6),SUMIFS('ON Data'!AW:AW,'ON Data'!$E:$E,6))</f>
        <v>59564</v>
      </c>
      <c r="H20" s="309"/>
    </row>
    <row r="21" spans="1:8" ht="15" hidden="1" outlineLevel="1" thickBot="1" x14ac:dyDescent="0.35">
      <c r="A21" s="188" t="s">
        <v>77</v>
      </c>
      <c r="B21" s="207">
        <f xml:space="preserve">
IF($A$4&lt;=12,SUMIFS('ON Data'!F:F,'ON Data'!$D:$D,$A$4,'ON Data'!$E:$E,12),SUMIFS('ON Data'!F:F,'ON Data'!$E:$E,12))</f>
        <v>0</v>
      </c>
      <c r="C21" s="208">
        <f xml:space="preserve">
IF($A$4&lt;=12,SUMIFS('ON Data'!I:I,'ON Data'!$D:$D,$A$4,'ON Data'!$E:$E,12),SUMIFS('ON Data'!I:I,'ON Data'!$E:$E,12))</f>
        <v>0</v>
      </c>
      <c r="D21" s="208">
        <f xml:space="preserve">
IF($A$4&lt;=12,SUMIFS('ON Data'!K:K,'ON Data'!$D:$D,$A$4,'ON Data'!$E:$E,12),SUMIFS('ON Data'!K:K,'ON Data'!$E:$E,12))</f>
        <v>0</v>
      </c>
      <c r="E21" s="208">
        <f xml:space="preserve">
IF($A$4&lt;=12,SUMIFS('ON Data'!O:O,'ON Data'!$D:$D,$A$4,'ON Data'!$E:$E,12),SUMIFS('ON Data'!O:O,'ON Data'!$E:$E,12))</f>
        <v>0</v>
      </c>
      <c r="F21" s="208">
        <f xml:space="preserve">
IF($A$4&lt;=12,SUMIFS('ON Data'!AJ:AJ,'ON Data'!$D:$D,$A$4,'ON Data'!$E:$E,12),SUMIFS('ON Data'!AJ:AJ,'ON Data'!$E:$E,12))</f>
        <v>0</v>
      </c>
      <c r="H21" s="309"/>
    </row>
    <row r="22" spans="1:8" ht="15" hidden="1" outlineLevel="1" thickBot="1" x14ac:dyDescent="0.35">
      <c r="A22" s="188" t="s">
        <v>45</v>
      </c>
      <c r="B22" s="236" t="str">
        <f xml:space="preserve">
IF(OR(B21="",B21=0),"",B20/B21)</f>
        <v/>
      </c>
      <c r="C22" s="237" t="str">
        <f t="shared" ref="C22:D22" si="3" xml:space="preserve">
IF(OR(C21="",C21=0),"",C20/C21)</f>
        <v/>
      </c>
      <c r="D22" s="237" t="str">
        <f t="shared" si="3"/>
        <v/>
      </c>
      <c r="E22" s="237" t="str">
        <f t="shared" ref="E22:F22" si="4" xml:space="preserve">
IF(OR(E21="",E21=0),"",E20/E21)</f>
        <v/>
      </c>
      <c r="F22" s="237" t="str">
        <f t="shared" si="4"/>
        <v/>
      </c>
      <c r="H22" s="309"/>
    </row>
    <row r="23" spans="1:8" ht="15" hidden="1" outlineLevel="1" thickBot="1" x14ac:dyDescent="0.35">
      <c r="A23" s="196" t="s">
        <v>38</v>
      </c>
      <c r="B23" s="209">
        <f xml:space="preserve">
IF(B21="","",B20-B21)</f>
        <v>499263</v>
      </c>
      <c r="C23" s="210">
        <f t="shared" ref="C23:D23" si="5" xml:space="preserve">
IF(C21="","",C20-C21)</f>
        <v>104583</v>
      </c>
      <c r="D23" s="210">
        <f t="shared" si="5"/>
        <v>323866</v>
      </c>
      <c r="E23" s="210">
        <f t="shared" ref="E23:F23" si="6" xml:space="preserve">
IF(E21="","",E20-E21)</f>
        <v>0</v>
      </c>
      <c r="F23" s="210">
        <f t="shared" si="6"/>
        <v>11250</v>
      </c>
      <c r="H23" s="309"/>
    </row>
    <row r="24" spans="1:8" x14ac:dyDescent="0.3">
      <c r="A24" s="190" t="s">
        <v>131</v>
      </c>
      <c r="B24" s="227" t="s">
        <v>2</v>
      </c>
      <c r="C24" s="310"/>
      <c r="D24" s="282"/>
      <c r="E24" s="283" t="s">
        <v>142</v>
      </c>
      <c r="F24" s="284"/>
      <c r="G24" s="305" t="s">
        <v>143</v>
      </c>
      <c r="H24" s="309"/>
    </row>
    <row r="25" spans="1:8" x14ac:dyDescent="0.3">
      <c r="A25" s="191" t="s">
        <v>43</v>
      </c>
      <c r="B25" s="207">
        <f xml:space="preserve">
SUM(C25:G25)</f>
        <v>0</v>
      </c>
      <c r="C25" s="311"/>
      <c r="D25" s="285"/>
      <c r="E25" s="286">
        <f xml:space="preserve">
IF($A$4&lt;=12,SUMIFS('ON Data'!O:O,'ON Data'!$D:$D,$A$4,'ON Data'!$E:$E,10),SUMIFS('ON Data'!O:O,'ON Data'!$E:$E,10))</f>
        <v>0</v>
      </c>
      <c r="F25" s="287"/>
      <c r="G25" s="306">
        <f xml:space="preserve">
IF($A$4&lt;=12,SUMIFS('ON Data'!AW:AW,'ON Data'!$D:$D,$A$4,'ON Data'!$E:$E,10),SUMIFS('ON Data'!AW:AW,'ON Data'!$E:$E,10))</f>
        <v>0</v>
      </c>
      <c r="H25" s="309"/>
    </row>
    <row r="26" spans="1:8" x14ac:dyDescent="0.3">
      <c r="A26" s="197" t="s">
        <v>141</v>
      </c>
      <c r="B26" s="213">
        <f xml:space="preserve">
SUM(C26:G26)</f>
        <v>0</v>
      </c>
      <c r="C26" s="311"/>
      <c r="D26" s="285"/>
      <c r="E26" s="288">
        <f xml:space="preserve">
IF($A$4&lt;=12,SUMIFS('ON Data'!O:O,'ON Data'!$D:$D,$A$4,'ON Data'!$E:$E,11),SUMIFS('ON Data'!O:O,'ON Data'!$E:$E,11))</f>
        <v>0</v>
      </c>
      <c r="F26" s="289"/>
      <c r="G26" s="306">
        <f xml:space="preserve">
IF($A$4&lt;=12,SUMIFS('ON Data'!AW:AW,'ON Data'!$D:$D,$A$4,'ON Data'!$E:$E,11),SUMIFS('ON Data'!AW:AW,'ON Data'!$E:$E,11))</f>
        <v>0</v>
      </c>
      <c r="H26" s="309"/>
    </row>
    <row r="27" spans="1:8" x14ac:dyDescent="0.3">
      <c r="A27" s="197" t="s">
        <v>45</v>
      </c>
      <c r="B27" s="228">
        <f xml:space="preserve">
IF(B26=0,0,B25/B26)</f>
        <v>0</v>
      </c>
      <c r="C27" s="312"/>
      <c r="D27" s="285"/>
      <c r="E27" s="290">
        <f xml:space="preserve">
IF(E26=0,0,E25/E26)</f>
        <v>0</v>
      </c>
      <c r="F27" s="287"/>
      <c r="G27" s="307">
        <f xml:space="preserve">
IF(G26=0,0,G25/G26)</f>
        <v>0</v>
      </c>
      <c r="H27" s="309"/>
    </row>
    <row r="28" spans="1:8" ht="15" thickBot="1" x14ac:dyDescent="0.35">
      <c r="A28" s="197" t="s">
        <v>140</v>
      </c>
      <c r="B28" s="213">
        <f xml:space="preserve">
SUM(C28:G28)</f>
        <v>0</v>
      </c>
      <c r="C28" s="313"/>
      <c r="D28" s="291"/>
      <c r="E28" s="292">
        <f xml:space="preserve">
E26-E25</f>
        <v>0</v>
      </c>
      <c r="F28" s="293"/>
      <c r="G28" s="308">
        <f xml:space="preserve">
G26-G25</f>
        <v>0</v>
      </c>
      <c r="H28" s="309"/>
    </row>
    <row r="29" spans="1:8" x14ac:dyDescent="0.3">
      <c r="A29" s="198"/>
      <c r="B29" s="198"/>
      <c r="C29" s="198"/>
      <c r="D29" s="199"/>
      <c r="E29" s="199"/>
      <c r="F29" s="199"/>
    </row>
    <row r="30" spans="1:8" x14ac:dyDescent="0.3">
      <c r="A30" s="79" t="s">
        <v>103</v>
      </c>
      <c r="B30" s="96"/>
      <c r="C30" s="96"/>
      <c r="D30" s="96"/>
      <c r="E30" s="96"/>
      <c r="F30" s="96"/>
    </row>
    <row r="31" spans="1:8" x14ac:dyDescent="0.3">
      <c r="A31" s="80" t="s">
        <v>138</v>
      </c>
      <c r="B31" s="96"/>
      <c r="C31" s="96"/>
      <c r="D31" s="96"/>
      <c r="E31" s="96"/>
      <c r="F31" s="96"/>
    </row>
    <row r="32" spans="1:8" ht="14.4" customHeight="1" x14ac:dyDescent="0.3">
      <c r="A32" s="224" t="s">
        <v>135</v>
      </c>
      <c r="B32" s="225"/>
      <c r="C32" s="225"/>
      <c r="D32" s="225"/>
      <c r="E32" s="225"/>
      <c r="F32" s="225"/>
    </row>
    <row r="33" spans="1:1" x14ac:dyDescent="0.3">
      <c r="A33" s="226" t="s">
        <v>152</v>
      </c>
    </row>
    <row r="34" spans="1:1" x14ac:dyDescent="0.3">
      <c r="A34" s="226" t="s">
        <v>153</v>
      </c>
    </row>
    <row r="35" spans="1:1" x14ac:dyDescent="0.3">
      <c r="A35" s="226" t="s">
        <v>154</v>
      </c>
    </row>
    <row r="36" spans="1:1" x14ac:dyDescent="0.3">
      <c r="A36" s="226" t="s">
        <v>144</v>
      </c>
    </row>
  </sheetData>
  <mergeCells count="12">
    <mergeCell ref="B3:B4"/>
    <mergeCell ref="A1:G1"/>
    <mergeCell ref="C27:D27"/>
    <mergeCell ref="C28:D28"/>
    <mergeCell ref="E27:F27"/>
    <mergeCell ref="E28:F28"/>
    <mergeCell ref="C24:D24"/>
    <mergeCell ref="C25:D25"/>
    <mergeCell ref="C26:D26"/>
    <mergeCell ref="E24:F24"/>
    <mergeCell ref="E25:F25"/>
    <mergeCell ref="E26:F26"/>
  </mergeCells>
  <conditionalFormatting sqref="B22:F22">
    <cfRule type="cellIs" dxfId="6" priority="6" operator="greaterThan">
      <formula>1</formula>
    </cfRule>
  </conditionalFormatting>
  <conditionalFormatting sqref="B23:F23">
    <cfRule type="cellIs" dxfId="5" priority="5" operator="greaterThan">
      <formula>0</formula>
    </cfRule>
  </conditionalFormatting>
  <conditionalFormatting sqref="G27">
    <cfRule type="cellIs" dxfId="4" priority="4" operator="greaterThan">
      <formula>1</formula>
    </cfRule>
  </conditionalFormatting>
  <conditionalFormatting sqref="G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4"/>
  <sheetViews>
    <sheetView showGridLines="0" showRowColHeaders="0" workbookViewId="0"/>
  </sheetViews>
  <sheetFormatPr defaultRowHeight="14.4" x14ac:dyDescent="0.3"/>
  <cols>
    <col min="1" max="16384" width="8.88671875" style="179"/>
  </cols>
  <sheetData>
    <row r="1" spans="1:49" x14ac:dyDescent="0.3">
      <c r="A1" s="179" t="s">
        <v>172</v>
      </c>
    </row>
    <row r="2" spans="1:49" x14ac:dyDescent="0.3">
      <c r="A2" s="183" t="s">
        <v>169</v>
      </c>
    </row>
    <row r="3" spans="1:49" x14ac:dyDescent="0.3">
      <c r="A3" s="179" t="s">
        <v>107</v>
      </c>
      <c r="B3" s="202">
        <v>2016</v>
      </c>
      <c r="D3" s="180">
        <f>MAX(D5:D1048576)</f>
        <v>5</v>
      </c>
      <c r="F3" s="180">
        <f>SUMIF($E5:$E1048576,"&lt;10",F5:F1048576)</f>
        <v>501781.05000000005</v>
      </c>
      <c r="G3" s="180">
        <f t="shared" ref="G3:AW3" si="0">SUMIF($E5:$E1048576,"&lt;10",G5:G1048576)</f>
        <v>0</v>
      </c>
      <c r="H3" s="180">
        <f t="shared" si="0"/>
        <v>0</v>
      </c>
      <c r="I3" s="180">
        <f t="shared" si="0"/>
        <v>105165.8</v>
      </c>
      <c r="J3" s="180">
        <f t="shared" si="0"/>
        <v>0</v>
      </c>
      <c r="K3" s="180">
        <f t="shared" si="0"/>
        <v>325242</v>
      </c>
      <c r="L3" s="180">
        <f t="shared" si="0"/>
        <v>0</v>
      </c>
      <c r="M3" s="180">
        <f t="shared" si="0"/>
        <v>0</v>
      </c>
      <c r="N3" s="180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0">
        <f t="shared" si="0"/>
        <v>0</v>
      </c>
      <c r="T3" s="180">
        <f t="shared" si="0"/>
        <v>0</v>
      </c>
      <c r="U3" s="180">
        <f t="shared" si="0"/>
        <v>0</v>
      </c>
      <c r="V3" s="180">
        <f t="shared" si="0"/>
        <v>0</v>
      </c>
      <c r="W3" s="180">
        <f t="shared" si="0"/>
        <v>0</v>
      </c>
      <c r="X3" s="180">
        <f t="shared" si="0"/>
        <v>0</v>
      </c>
      <c r="Y3" s="180">
        <f t="shared" si="0"/>
        <v>0</v>
      </c>
      <c r="Z3" s="180">
        <f t="shared" si="0"/>
        <v>0</v>
      </c>
      <c r="AA3" s="180">
        <f t="shared" si="0"/>
        <v>0</v>
      </c>
      <c r="AB3" s="180">
        <f t="shared" si="0"/>
        <v>0</v>
      </c>
      <c r="AC3" s="180">
        <f t="shared" si="0"/>
        <v>0</v>
      </c>
      <c r="AD3" s="180">
        <f t="shared" si="0"/>
        <v>0</v>
      </c>
      <c r="AE3" s="180">
        <f t="shared" si="0"/>
        <v>0</v>
      </c>
      <c r="AF3" s="180">
        <f t="shared" si="0"/>
        <v>0</v>
      </c>
      <c r="AG3" s="180">
        <f t="shared" si="0"/>
        <v>0</v>
      </c>
      <c r="AH3" s="180">
        <f t="shared" si="0"/>
        <v>0</v>
      </c>
      <c r="AI3" s="180">
        <f t="shared" si="0"/>
        <v>0</v>
      </c>
      <c r="AJ3" s="180">
        <f t="shared" si="0"/>
        <v>11293.449999999997</v>
      </c>
      <c r="AK3" s="180">
        <f t="shared" si="0"/>
        <v>0</v>
      </c>
      <c r="AL3" s="180">
        <f t="shared" si="0"/>
        <v>0</v>
      </c>
      <c r="AM3" s="180">
        <f t="shared" si="0"/>
        <v>0</v>
      </c>
      <c r="AN3" s="180">
        <f t="shared" si="0"/>
        <v>0</v>
      </c>
      <c r="AO3" s="180">
        <f t="shared" si="0"/>
        <v>0</v>
      </c>
      <c r="AP3" s="180">
        <f t="shared" si="0"/>
        <v>0</v>
      </c>
      <c r="AQ3" s="180">
        <f t="shared" si="0"/>
        <v>0</v>
      </c>
      <c r="AR3" s="180">
        <f t="shared" si="0"/>
        <v>0</v>
      </c>
      <c r="AS3" s="180">
        <f t="shared" si="0"/>
        <v>0</v>
      </c>
      <c r="AT3" s="180">
        <f t="shared" si="0"/>
        <v>0</v>
      </c>
      <c r="AU3" s="180">
        <f t="shared" si="0"/>
        <v>0</v>
      </c>
      <c r="AV3" s="180">
        <f t="shared" si="0"/>
        <v>0</v>
      </c>
      <c r="AW3" s="180">
        <f t="shared" si="0"/>
        <v>60079.799999999996</v>
      </c>
    </row>
    <row r="4" spans="1:49" x14ac:dyDescent="0.3">
      <c r="A4" s="179" t="s">
        <v>108</v>
      </c>
      <c r="B4" s="202">
        <v>1</v>
      </c>
      <c r="C4" s="181" t="s">
        <v>3</v>
      </c>
      <c r="D4" s="182" t="s">
        <v>37</v>
      </c>
      <c r="E4" s="182" t="s">
        <v>106</v>
      </c>
      <c r="F4" s="182" t="s">
        <v>2</v>
      </c>
      <c r="G4" s="182">
        <v>0</v>
      </c>
      <c r="H4" s="182">
        <v>25</v>
      </c>
      <c r="I4" s="182">
        <v>99</v>
      </c>
      <c r="J4" s="182">
        <v>100</v>
      </c>
      <c r="K4" s="182">
        <v>101</v>
      </c>
      <c r="L4" s="182">
        <v>102</v>
      </c>
      <c r="M4" s="182">
        <v>103</v>
      </c>
      <c r="N4" s="182">
        <v>203</v>
      </c>
      <c r="O4" s="182">
        <v>302</v>
      </c>
      <c r="P4" s="182">
        <v>303</v>
      </c>
      <c r="Q4" s="182">
        <v>304</v>
      </c>
      <c r="R4" s="182">
        <v>305</v>
      </c>
      <c r="S4" s="182">
        <v>306</v>
      </c>
      <c r="T4" s="182">
        <v>407</v>
      </c>
      <c r="U4" s="182">
        <v>408</v>
      </c>
      <c r="V4" s="182">
        <v>409</v>
      </c>
      <c r="W4" s="182">
        <v>410</v>
      </c>
      <c r="X4" s="182">
        <v>415</v>
      </c>
      <c r="Y4" s="182">
        <v>416</v>
      </c>
      <c r="Z4" s="182">
        <v>418</v>
      </c>
      <c r="AA4" s="182">
        <v>419</v>
      </c>
      <c r="AB4" s="182">
        <v>420</v>
      </c>
      <c r="AC4" s="182">
        <v>421</v>
      </c>
      <c r="AD4" s="182">
        <v>520</v>
      </c>
      <c r="AE4" s="182">
        <v>521</v>
      </c>
      <c r="AF4" s="182">
        <v>522</v>
      </c>
      <c r="AG4" s="182">
        <v>523</v>
      </c>
      <c r="AH4" s="182">
        <v>524</v>
      </c>
      <c r="AI4" s="182">
        <v>525</v>
      </c>
      <c r="AJ4" s="182">
        <v>526</v>
      </c>
      <c r="AK4" s="182">
        <v>527</v>
      </c>
      <c r="AL4" s="182">
        <v>528</v>
      </c>
      <c r="AM4" s="182">
        <v>629</v>
      </c>
      <c r="AN4" s="182">
        <v>630</v>
      </c>
      <c r="AO4" s="182">
        <v>636</v>
      </c>
      <c r="AP4" s="182">
        <v>637</v>
      </c>
      <c r="AQ4" s="182">
        <v>640</v>
      </c>
      <c r="AR4" s="182">
        <v>642</v>
      </c>
      <c r="AS4" s="182">
        <v>743</v>
      </c>
      <c r="AT4" s="182">
        <v>745</v>
      </c>
      <c r="AU4" s="182">
        <v>746</v>
      </c>
      <c r="AV4" s="182">
        <v>747</v>
      </c>
      <c r="AW4" s="182">
        <v>930</v>
      </c>
    </row>
    <row r="5" spans="1:49" x14ac:dyDescent="0.3">
      <c r="A5" s="179" t="s">
        <v>109</v>
      </c>
      <c r="B5" s="202">
        <v>2</v>
      </c>
      <c r="C5" s="179">
        <v>43</v>
      </c>
      <c r="D5" s="179">
        <v>1</v>
      </c>
      <c r="E5" s="179">
        <v>1</v>
      </c>
      <c r="F5" s="179">
        <v>3.45</v>
      </c>
      <c r="G5" s="179">
        <v>0</v>
      </c>
      <c r="H5" s="179">
        <v>0</v>
      </c>
      <c r="I5" s="179">
        <v>0</v>
      </c>
      <c r="J5" s="179">
        <v>0</v>
      </c>
      <c r="K5" s="179">
        <v>2.8</v>
      </c>
      <c r="L5" s="179">
        <v>0</v>
      </c>
      <c r="M5" s="179">
        <v>0</v>
      </c>
      <c r="N5" s="179">
        <v>0</v>
      </c>
      <c r="O5" s="179">
        <v>0</v>
      </c>
      <c r="P5" s="179">
        <v>0</v>
      </c>
      <c r="Q5" s="179">
        <v>0</v>
      </c>
      <c r="R5" s="179">
        <v>0</v>
      </c>
      <c r="S5" s="179">
        <v>0</v>
      </c>
      <c r="T5" s="179">
        <v>0</v>
      </c>
      <c r="U5" s="179">
        <v>0</v>
      </c>
      <c r="V5" s="179">
        <v>0</v>
      </c>
      <c r="W5" s="179">
        <v>0</v>
      </c>
      <c r="X5" s="179">
        <v>0</v>
      </c>
      <c r="Y5" s="179">
        <v>0</v>
      </c>
      <c r="Z5" s="179">
        <v>0</v>
      </c>
      <c r="AA5" s="179">
        <v>0</v>
      </c>
      <c r="AB5" s="179">
        <v>0</v>
      </c>
      <c r="AC5" s="179">
        <v>0</v>
      </c>
      <c r="AD5" s="179">
        <v>0</v>
      </c>
      <c r="AE5" s="179">
        <v>0</v>
      </c>
      <c r="AF5" s="179">
        <v>0</v>
      </c>
      <c r="AG5" s="179">
        <v>0</v>
      </c>
      <c r="AH5" s="179">
        <v>0</v>
      </c>
      <c r="AI5" s="179">
        <v>0</v>
      </c>
      <c r="AJ5" s="179">
        <v>0.05</v>
      </c>
      <c r="AK5" s="179">
        <v>0</v>
      </c>
      <c r="AL5" s="179">
        <v>0</v>
      </c>
      <c r="AM5" s="179">
        <v>0</v>
      </c>
      <c r="AN5" s="179">
        <v>0</v>
      </c>
      <c r="AO5" s="179">
        <v>0</v>
      </c>
      <c r="AP5" s="179">
        <v>0</v>
      </c>
      <c r="AQ5" s="179">
        <v>0</v>
      </c>
      <c r="AR5" s="179">
        <v>0</v>
      </c>
      <c r="AS5" s="179">
        <v>0</v>
      </c>
      <c r="AT5" s="179">
        <v>0</v>
      </c>
      <c r="AU5" s="179">
        <v>0</v>
      </c>
      <c r="AV5" s="179">
        <v>0</v>
      </c>
      <c r="AW5" s="179">
        <v>0.6</v>
      </c>
    </row>
    <row r="6" spans="1:49" x14ac:dyDescent="0.3">
      <c r="A6" s="179" t="s">
        <v>110</v>
      </c>
      <c r="B6" s="202">
        <v>3</v>
      </c>
      <c r="C6" s="179">
        <v>43</v>
      </c>
      <c r="D6" s="179">
        <v>1</v>
      </c>
      <c r="E6" s="179">
        <v>2</v>
      </c>
      <c r="F6" s="179">
        <v>495.6</v>
      </c>
      <c r="G6" s="179">
        <v>0</v>
      </c>
      <c r="H6" s="179">
        <v>0</v>
      </c>
      <c r="I6" s="179">
        <v>0</v>
      </c>
      <c r="J6" s="179">
        <v>0</v>
      </c>
      <c r="K6" s="179">
        <v>386.4</v>
      </c>
      <c r="L6" s="179">
        <v>0</v>
      </c>
      <c r="M6" s="179">
        <v>0</v>
      </c>
      <c r="N6" s="179">
        <v>0</v>
      </c>
      <c r="O6" s="179">
        <v>0</v>
      </c>
      <c r="P6" s="179">
        <v>0</v>
      </c>
      <c r="Q6" s="179">
        <v>0</v>
      </c>
      <c r="R6" s="179">
        <v>0</v>
      </c>
      <c r="S6" s="179">
        <v>0</v>
      </c>
      <c r="T6" s="179">
        <v>0</v>
      </c>
      <c r="U6" s="179">
        <v>0</v>
      </c>
      <c r="V6" s="179">
        <v>0</v>
      </c>
      <c r="W6" s="179">
        <v>0</v>
      </c>
      <c r="X6" s="179">
        <v>0</v>
      </c>
      <c r="Y6" s="179">
        <v>0</v>
      </c>
      <c r="Z6" s="179">
        <v>0</v>
      </c>
      <c r="AA6" s="179">
        <v>0</v>
      </c>
      <c r="AB6" s="179">
        <v>0</v>
      </c>
      <c r="AC6" s="179">
        <v>0</v>
      </c>
      <c r="AD6" s="179">
        <v>0</v>
      </c>
      <c r="AE6" s="179">
        <v>0</v>
      </c>
      <c r="AF6" s="179">
        <v>0</v>
      </c>
      <c r="AG6" s="179">
        <v>0</v>
      </c>
      <c r="AH6" s="179">
        <v>0</v>
      </c>
      <c r="AI6" s="179">
        <v>0</v>
      </c>
      <c r="AJ6" s="179">
        <v>8.4</v>
      </c>
      <c r="AK6" s="179">
        <v>0</v>
      </c>
      <c r="AL6" s="179">
        <v>0</v>
      </c>
      <c r="AM6" s="179">
        <v>0</v>
      </c>
      <c r="AN6" s="179">
        <v>0</v>
      </c>
      <c r="AO6" s="179">
        <v>0</v>
      </c>
      <c r="AP6" s="179">
        <v>0</v>
      </c>
      <c r="AQ6" s="179">
        <v>0</v>
      </c>
      <c r="AR6" s="179">
        <v>0</v>
      </c>
      <c r="AS6" s="179">
        <v>0</v>
      </c>
      <c r="AT6" s="179">
        <v>0</v>
      </c>
      <c r="AU6" s="179">
        <v>0</v>
      </c>
      <c r="AV6" s="179">
        <v>0</v>
      </c>
      <c r="AW6" s="179">
        <v>100.8</v>
      </c>
    </row>
    <row r="7" spans="1:49" x14ac:dyDescent="0.3">
      <c r="A7" s="179" t="s">
        <v>111</v>
      </c>
      <c r="B7" s="202">
        <v>4</v>
      </c>
      <c r="C7" s="179">
        <v>43</v>
      </c>
      <c r="D7" s="179">
        <v>1</v>
      </c>
      <c r="E7" s="179">
        <v>6</v>
      </c>
      <c r="F7" s="179">
        <v>96187</v>
      </c>
      <c r="G7" s="179">
        <v>0</v>
      </c>
      <c r="H7" s="179">
        <v>0</v>
      </c>
      <c r="I7" s="179">
        <v>0</v>
      </c>
      <c r="J7" s="179">
        <v>0</v>
      </c>
      <c r="K7" s="179">
        <v>82034</v>
      </c>
      <c r="L7" s="179">
        <v>0</v>
      </c>
      <c r="M7" s="179">
        <v>0</v>
      </c>
      <c r="N7" s="179">
        <v>0</v>
      </c>
      <c r="O7" s="179">
        <v>0</v>
      </c>
      <c r="P7" s="179">
        <v>0</v>
      </c>
      <c r="Q7" s="179">
        <v>0</v>
      </c>
      <c r="R7" s="179">
        <v>0</v>
      </c>
      <c r="S7" s="179">
        <v>0</v>
      </c>
      <c r="T7" s="179">
        <v>0</v>
      </c>
      <c r="U7" s="179">
        <v>0</v>
      </c>
      <c r="V7" s="179">
        <v>0</v>
      </c>
      <c r="W7" s="179">
        <v>0</v>
      </c>
      <c r="X7" s="179">
        <v>0</v>
      </c>
      <c r="Y7" s="179">
        <v>0</v>
      </c>
      <c r="Z7" s="179">
        <v>0</v>
      </c>
      <c r="AA7" s="179">
        <v>0</v>
      </c>
      <c r="AB7" s="179">
        <v>0</v>
      </c>
      <c r="AC7" s="179">
        <v>0</v>
      </c>
      <c r="AD7" s="179">
        <v>0</v>
      </c>
      <c r="AE7" s="179">
        <v>0</v>
      </c>
      <c r="AF7" s="179">
        <v>0</v>
      </c>
      <c r="AG7" s="179">
        <v>0</v>
      </c>
      <c r="AH7" s="179">
        <v>0</v>
      </c>
      <c r="AI7" s="179">
        <v>0</v>
      </c>
      <c r="AJ7" s="179">
        <v>2250</v>
      </c>
      <c r="AK7" s="179">
        <v>0</v>
      </c>
      <c r="AL7" s="179">
        <v>0</v>
      </c>
      <c r="AM7" s="179">
        <v>0</v>
      </c>
      <c r="AN7" s="179">
        <v>0</v>
      </c>
      <c r="AO7" s="179">
        <v>0</v>
      </c>
      <c r="AP7" s="179">
        <v>0</v>
      </c>
      <c r="AQ7" s="179">
        <v>0</v>
      </c>
      <c r="AR7" s="179">
        <v>0</v>
      </c>
      <c r="AS7" s="179">
        <v>0</v>
      </c>
      <c r="AT7" s="179">
        <v>0</v>
      </c>
      <c r="AU7" s="179">
        <v>0</v>
      </c>
      <c r="AV7" s="179">
        <v>0</v>
      </c>
      <c r="AW7" s="179">
        <v>11903</v>
      </c>
    </row>
    <row r="8" spans="1:49" x14ac:dyDescent="0.3">
      <c r="A8" s="179" t="s">
        <v>112</v>
      </c>
      <c r="B8" s="202">
        <v>5</v>
      </c>
      <c r="C8" s="179">
        <v>43</v>
      </c>
      <c r="D8" s="179">
        <v>1</v>
      </c>
      <c r="E8" s="179">
        <v>11</v>
      </c>
      <c r="F8" s="179">
        <v>572.51908396946567</v>
      </c>
      <c r="G8" s="179">
        <v>0</v>
      </c>
      <c r="H8" s="179">
        <v>0</v>
      </c>
      <c r="I8" s="179">
        <v>0</v>
      </c>
      <c r="J8" s="179">
        <v>572.51908396946567</v>
      </c>
      <c r="K8" s="179">
        <v>0</v>
      </c>
      <c r="L8" s="179">
        <v>0</v>
      </c>
      <c r="M8" s="179">
        <v>0</v>
      </c>
      <c r="N8" s="179">
        <v>0</v>
      </c>
      <c r="O8" s="179">
        <v>0</v>
      </c>
      <c r="P8" s="179">
        <v>0</v>
      </c>
      <c r="Q8" s="179">
        <v>0</v>
      </c>
      <c r="R8" s="179">
        <v>0</v>
      </c>
      <c r="S8" s="179">
        <v>0</v>
      </c>
      <c r="T8" s="179">
        <v>0</v>
      </c>
      <c r="U8" s="179">
        <v>0</v>
      </c>
      <c r="V8" s="179">
        <v>0</v>
      </c>
      <c r="W8" s="179">
        <v>0</v>
      </c>
      <c r="X8" s="179">
        <v>0</v>
      </c>
      <c r="Y8" s="179">
        <v>0</v>
      </c>
      <c r="Z8" s="179">
        <v>0</v>
      </c>
      <c r="AA8" s="179">
        <v>0</v>
      </c>
      <c r="AB8" s="179">
        <v>0</v>
      </c>
      <c r="AC8" s="179">
        <v>0</v>
      </c>
      <c r="AD8" s="179">
        <v>0</v>
      </c>
      <c r="AE8" s="179">
        <v>0</v>
      </c>
      <c r="AF8" s="179">
        <v>0</v>
      </c>
      <c r="AG8" s="179">
        <v>0</v>
      </c>
      <c r="AH8" s="179">
        <v>0</v>
      </c>
      <c r="AI8" s="179">
        <v>0</v>
      </c>
      <c r="AJ8" s="179">
        <v>0</v>
      </c>
      <c r="AK8" s="179">
        <v>0</v>
      </c>
      <c r="AL8" s="179">
        <v>0</v>
      </c>
      <c r="AM8" s="179">
        <v>0</v>
      </c>
      <c r="AN8" s="179">
        <v>0</v>
      </c>
      <c r="AO8" s="179">
        <v>0</v>
      </c>
      <c r="AP8" s="179">
        <v>0</v>
      </c>
      <c r="AQ8" s="179">
        <v>0</v>
      </c>
      <c r="AR8" s="179">
        <v>0</v>
      </c>
      <c r="AS8" s="179">
        <v>0</v>
      </c>
      <c r="AT8" s="179">
        <v>0</v>
      </c>
      <c r="AU8" s="179">
        <v>0</v>
      </c>
      <c r="AV8" s="179">
        <v>0</v>
      </c>
      <c r="AW8" s="179">
        <v>0</v>
      </c>
    </row>
    <row r="9" spans="1:49" x14ac:dyDescent="0.3">
      <c r="A9" s="179" t="s">
        <v>113</v>
      </c>
      <c r="B9" s="202">
        <v>6</v>
      </c>
      <c r="C9" s="179">
        <v>43</v>
      </c>
      <c r="D9" s="179">
        <v>2</v>
      </c>
      <c r="E9" s="179">
        <v>1</v>
      </c>
      <c r="F9" s="179">
        <v>3.45</v>
      </c>
      <c r="G9" s="179">
        <v>0</v>
      </c>
      <c r="H9" s="179">
        <v>0</v>
      </c>
      <c r="I9" s="179">
        <v>0</v>
      </c>
      <c r="J9" s="179">
        <v>0</v>
      </c>
      <c r="K9" s="179">
        <v>2.8</v>
      </c>
      <c r="L9" s="179">
        <v>0</v>
      </c>
      <c r="M9" s="179">
        <v>0</v>
      </c>
      <c r="N9" s="179">
        <v>0</v>
      </c>
      <c r="O9" s="179">
        <v>0</v>
      </c>
      <c r="P9" s="179">
        <v>0</v>
      </c>
      <c r="Q9" s="179">
        <v>0</v>
      </c>
      <c r="R9" s="179">
        <v>0</v>
      </c>
      <c r="S9" s="179">
        <v>0</v>
      </c>
      <c r="T9" s="179">
        <v>0</v>
      </c>
      <c r="U9" s="179">
        <v>0</v>
      </c>
      <c r="V9" s="179">
        <v>0</v>
      </c>
      <c r="W9" s="179">
        <v>0</v>
      </c>
      <c r="X9" s="179">
        <v>0</v>
      </c>
      <c r="Y9" s="179">
        <v>0</v>
      </c>
      <c r="Z9" s="179">
        <v>0</v>
      </c>
      <c r="AA9" s="179">
        <v>0</v>
      </c>
      <c r="AB9" s="179">
        <v>0</v>
      </c>
      <c r="AC9" s="179">
        <v>0</v>
      </c>
      <c r="AD9" s="179">
        <v>0</v>
      </c>
      <c r="AE9" s="179">
        <v>0</v>
      </c>
      <c r="AF9" s="179">
        <v>0</v>
      </c>
      <c r="AG9" s="179">
        <v>0</v>
      </c>
      <c r="AH9" s="179">
        <v>0</v>
      </c>
      <c r="AI9" s="179">
        <v>0</v>
      </c>
      <c r="AJ9" s="179">
        <v>0.05</v>
      </c>
      <c r="AK9" s="179">
        <v>0</v>
      </c>
      <c r="AL9" s="179">
        <v>0</v>
      </c>
      <c r="AM9" s="179">
        <v>0</v>
      </c>
      <c r="AN9" s="179">
        <v>0</v>
      </c>
      <c r="AO9" s="179">
        <v>0</v>
      </c>
      <c r="AP9" s="179">
        <v>0</v>
      </c>
      <c r="AQ9" s="179">
        <v>0</v>
      </c>
      <c r="AR9" s="179">
        <v>0</v>
      </c>
      <c r="AS9" s="179">
        <v>0</v>
      </c>
      <c r="AT9" s="179">
        <v>0</v>
      </c>
      <c r="AU9" s="179">
        <v>0</v>
      </c>
      <c r="AV9" s="179">
        <v>0</v>
      </c>
      <c r="AW9" s="179">
        <v>0.6</v>
      </c>
    </row>
    <row r="10" spans="1:49" x14ac:dyDescent="0.3">
      <c r="A10" s="179" t="s">
        <v>114</v>
      </c>
      <c r="B10" s="202">
        <v>7</v>
      </c>
      <c r="C10" s="179">
        <v>43</v>
      </c>
      <c r="D10" s="179">
        <v>2</v>
      </c>
      <c r="E10" s="179">
        <v>2</v>
      </c>
      <c r="F10" s="179">
        <v>489.2</v>
      </c>
      <c r="G10" s="179">
        <v>0</v>
      </c>
      <c r="H10" s="179">
        <v>0</v>
      </c>
      <c r="I10" s="179">
        <v>0</v>
      </c>
      <c r="J10" s="179">
        <v>0</v>
      </c>
      <c r="K10" s="179">
        <v>380</v>
      </c>
      <c r="L10" s="179">
        <v>0</v>
      </c>
      <c r="M10" s="179">
        <v>0</v>
      </c>
      <c r="N10" s="179">
        <v>0</v>
      </c>
      <c r="O10" s="179">
        <v>0</v>
      </c>
      <c r="P10" s="179">
        <v>0</v>
      </c>
      <c r="Q10" s="179">
        <v>0</v>
      </c>
      <c r="R10" s="179">
        <v>0</v>
      </c>
      <c r="S10" s="179">
        <v>0</v>
      </c>
      <c r="T10" s="179">
        <v>0</v>
      </c>
      <c r="U10" s="179">
        <v>0</v>
      </c>
      <c r="V10" s="179">
        <v>0</v>
      </c>
      <c r="W10" s="179">
        <v>0</v>
      </c>
      <c r="X10" s="179">
        <v>0</v>
      </c>
      <c r="Y10" s="179">
        <v>0</v>
      </c>
      <c r="Z10" s="179">
        <v>0</v>
      </c>
      <c r="AA10" s="179">
        <v>0</v>
      </c>
      <c r="AB10" s="179">
        <v>0</v>
      </c>
      <c r="AC10" s="179">
        <v>0</v>
      </c>
      <c r="AD10" s="179">
        <v>0</v>
      </c>
      <c r="AE10" s="179">
        <v>0</v>
      </c>
      <c r="AF10" s="179">
        <v>0</v>
      </c>
      <c r="AG10" s="179">
        <v>0</v>
      </c>
      <c r="AH10" s="179">
        <v>0</v>
      </c>
      <c r="AI10" s="179">
        <v>0</v>
      </c>
      <c r="AJ10" s="179">
        <v>8.4</v>
      </c>
      <c r="AK10" s="179">
        <v>0</v>
      </c>
      <c r="AL10" s="179">
        <v>0</v>
      </c>
      <c r="AM10" s="179">
        <v>0</v>
      </c>
      <c r="AN10" s="179">
        <v>0</v>
      </c>
      <c r="AO10" s="179">
        <v>0</v>
      </c>
      <c r="AP10" s="179">
        <v>0</v>
      </c>
      <c r="AQ10" s="179">
        <v>0</v>
      </c>
      <c r="AR10" s="179">
        <v>0</v>
      </c>
      <c r="AS10" s="179">
        <v>0</v>
      </c>
      <c r="AT10" s="179">
        <v>0</v>
      </c>
      <c r="AU10" s="179">
        <v>0</v>
      </c>
      <c r="AV10" s="179">
        <v>0</v>
      </c>
      <c r="AW10" s="179">
        <v>100.8</v>
      </c>
    </row>
    <row r="11" spans="1:49" x14ac:dyDescent="0.3">
      <c r="A11" s="179" t="s">
        <v>115</v>
      </c>
      <c r="B11" s="202">
        <v>8</v>
      </c>
      <c r="C11" s="179">
        <v>43</v>
      </c>
      <c r="D11" s="179">
        <v>2</v>
      </c>
      <c r="E11" s="179">
        <v>6</v>
      </c>
      <c r="F11" s="179">
        <v>96147</v>
      </c>
      <c r="G11" s="179">
        <v>0</v>
      </c>
      <c r="H11" s="179">
        <v>0</v>
      </c>
      <c r="I11" s="179">
        <v>0</v>
      </c>
      <c r="J11" s="179">
        <v>0</v>
      </c>
      <c r="K11" s="179">
        <v>81994</v>
      </c>
      <c r="L11" s="179">
        <v>0</v>
      </c>
      <c r="M11" s="179">
        <v>0</v>
      </c>
      <c r="N11" s="179">
        <v>0</v>
      </c>
      <c r="O11" s="179">
        <v>0</v>
      </c>
      <c r="P11" s="179">
        <v>0</v>
      </c>
      <c r="Q11" s="179">
        <v>0</v>
      </c>
      <c r="R11" s="179">
        <v>0</v>
      </c>
      <c r="S11" s="179">
        <v>0</v>
      </c>
      <c r="T11" s="179">
        <v>0</v>
      </c>
      <c r="U11" s="179">
        <v>0</v>
      </c>
      <c r="V11" s="179">
        <v>0</v>
      </c>
      <c r="W11" s="179">
        <v>0</v>
      </c>
      <c r="X11" s="179">
        <v>0</v>
      </c>
      <c r="Y11" s="179">
        <v>0</v>
      </c>
      <c r="Z11" s="179">
        <v>0</v>
      </c>
      <c r="AA11" s="179">
        <v>0</v>
      </c>
      <c r="AB11" s="179">
        <v>0</v>
      </c>
      <c r="AC11" s="179">
        <v>0</v>
      </c>
      <c r="AD11" s="179">
        <v>0</v>
      </c>
      <c r="AE11" s="179">
        <v>0</v>
      </c>
      <c r="AF11" s="179">
        <v>0</v>
      </c>
      <c r="AG11" s="179">
        <v>0</v>
      </c>
      <c r="AH11" s="179">
        <v>0</v>
      </c>
      <c r="AI11" s="179">
        <v>0</v>
      </c>
      <c r="AJ11" s="179">
        <v>2250</v>
      </c>
      <c r="AK11" s="179">
        <v>0</v>
      </c>
      <c r="AL11" s="179">
        <v>0</v>
      </c>
      <c r="AM11" s="179">
        <v>0</v>
      </c>
      <c r="AN11" s="179">
        <v>0</v>
      </c>
      <c r="AO11" s="179">
        <v>0</v>
      </c>
      <c r="AP11" s="179">
        <v>0</v>
      </c>
      <c r="AQ11" s="179">
        <v>0</v>
      </c>
      <c r="AR11" s="179">
        <v>0</v>
      </c>
      <c r="AS11" s="179">
        <v>0</v>
      </c>
      <c r="AT11" s="179">
        <v>0</v>
      </c>
      <c r="AU11" s="179">
        <v>0</v>
      </c>
      <c r="AV11" s="179">
        <v>0</v>
      </c>
      <c r="AW11" s="179">
        <v>11903</v>
      </c>
    </row>
    <row r="12" spans="1:49" x14ac:dyDescent="0.3">
      <c r="A12" s="179" t="s">
        <v>116</v>
      </c>
      <c r="B12" s="202">
        <v>9</v>
      </c>
      <c r="C12" s="179">
        <v>43</v>
      </c>
      <c r="D12" s="179">
        <v>2</v>
      </c>
      <c r="E12" s="179">
        <v>11</v>
      </c>
      <c r="F12" s="179">
        <v>572.51908396946567</v>
      </c>
      <c r="G12" s="179">
        <v>0</v>
      </c>
      <c r="H12" s="179">
        <v>0</v>
      </c>
      <c r="I12" s="179">
        <v>0</v>
      </c>
      <c r="J12" s="179">
        <v>572.51908396946567</v>
      </c>
      <c r="K12" s="179">
        <v>0</v>
      </c>
      <c r="L12" s="179">
        <v>0</v>
      </c>
      <c r="M12" s="179">
        <v>0</v>
      </c>
      <c r="N12" s="179">
        <v>0</v>
      </c>
      <c r="O12" s="179">
        <v>0</v>
      </c>
      <c r="P12" s="179">
        <v>0</v>
      </c>
      <c r="Q12" s="179">
        <v>0</v>
      </c>
      <c r="R12" s="179">
        <v>0</v>
      </c>
      <c r="S12" s="179">
        <v>0</v>
      </c>
      <c r="T12" s="179">
        <v>0</v>
      </c>
      <c r="U12" s="179">
        <v>0</v>
      </c>
      <c r="V12" s="179">
        <v>0</v>
      </c>
      <c r="W12" s="179">
        <v>0</v>
      </c>
      <c r="X12" s="179">
        <v>0</v>
      </c>
      <c r="Y12" s="179">
        <v>0</v>
      </c>
      <c r="Z12" s="179">
        <v>0</v>
      </c>
      <c r="AA12" s="179">
        <v>0</v>
      </c>
      <c r="AB12" s="179">
        <v>0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0</v>
      </c>
      <c r="AI12" s="179">
        <v>0</v>
      </c>
      <c r="AJ12" s="179">
        <v>0</v>
      </c>
      <c r="AK12" s="179">
        <v>0</v>
      </c>
      <c r="AL12" s="179">
        <v>0</v>
      </c>
      <c r="AM12" s="179">
        <v>0</v>
      </c>
      <c r="AN12" s="179">
        <v>0</v>
      </c>
      <c r="AO12" s="179">
        <v>0</v>
      </c>
      <c r="AP12" s="179">
        <v>0</v>
      </c>
      <c r="AQ12" s="179">
        <v>0</v>
      </c>
      <c r="AR12" s="179">
        <v>0</v>
      </c>
      <c r="AS12" s="179">
        <v>0</v>
      </c>
      <c r="AT12" s="179">
        <v>0</v>
      </c>
      <c r="AU12" s="179">
        <v>0</v>
      </c>
      <c r="AV12" s="179">
        <v>0</v>
      </c>
      <c r="AW12" s="179">
        <v>0</v>
      </c>
    </row>
    <row r="13" spans="1:49" x14ac:dyDescent="0.3">
      <c r="A13" s="179" t="s">
        <v>117</v>
      </c>
      <c r="B13" s="202">
        <v>10</v>
      </c>
      <c r="C13" s="179">
        <v>43</v>
      </c>
      <c r="D13" s="179">
        <v>3</v>
      </c>
      <c r="E13" s="179">
        <v>1</v>
      </c>
      <c r="F13" s="179">
        <v>3.45</v>
      </c>
      <c r="G13" s="179">
        <v>0</v>
      </c>
      <c r="H13" s="179">
        <v>0</v>
      </c>
      <c r="I13" s="179">
        <v>0</v>
      </c>
      <c r="J13" s="179">
        <v>0</v>
      </c>
      <c r="K13" s="179">
        <v>2.8</v>
      </c>
      <c r="L13" s="179">
        <v>0</v>
      </c>
      <c r="M13" s="179">
        <v>0</v>
      </c>
      <c r="N13" s="179">
        <v>0</v>
      </c>
      <c r="O13" s="179">
        <v>0</v>
      </c>
      <c r="P13" s="179">
        <v>0</v>
      </c>
      <c r="Q13" s="179">
        <v>0</v>
      </c>
      <c r="R13" s="179">
        <v>0</v>
      </c>
      <c r="S13" s="179">
        <v>0</v>
      </c>
      <c r="T13" s="179">
        <v>0</v>
      </c>
      <c r="U13" s="179">
        <v>0</v>
      </c>
      <c r="V13" s="179">
        <v>0</v>
      </c>
      <c r="W13" s="179">
        <v>0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0.05</v>
      </c>
      <c r="AK13" s="179">
        <v>0</v>
      </c>
      <c r="AL13" s="179">
        <v>0</v>
      </c>
      <c r="AM13" s="179">
        <v>0</v>
      </c>
      <c r="AN13" s="179">
        <v>0</v>
      </c>
      <c r="AO13" s="179">
        <v>0</v>
      </c>
      <c r="AP13" s="179">
        <v>0</v>
      </c>
      <c r="AQ13" s="179">
        <v>0</v>
      </c>
      <c r="AR13" s="179">
        <v>0</v>
      </c>
      <c r="AS13" s="179">
        <v>0</v>
      </c>
      <c r="AT13" s="179">
        <v>0</v>
      </c>
      <c r="AU13" s="179">
        <v>0</v>
      </c>
      <c r="AV13" s="179">
        <v>0</v>
      </c>
      <c r="AW13" s="179">
        <v>0.6</v>
      </c>
    </row>
    <row r="14" spans="1:49" x14ac:dyDescent="0.3">
      <c r="A14" s="179" t="s">
        <v>118</v>
      </c>
      <c r="B14" s="202">
        <v>11</v>
      </c>
      <c r="C14" s="179">
        <v>43</v>
      </c>
      <c r="D14" s="179">
        <v>3</v>
      </c>
      <c r="E14" s="179">
        <v>2</v>
      </c>
      <c r="F14" s="179">
        <v>534.79999999999995</v>
      </c>
      <c r="G14" s="179">
        <v>0</v>
      </c>
      <c r="H14" s="179">
        <v>0</v>
      </c>
      <c r="I14" s="179">
        <v>0</v>
      </c>
      <c r="J14" s="179">
        <v>0</v>
      </c>
      <c r="K14" s="179">
        <v>419.2</v>
      </c>
      <c r="L14" s="179">
        <v>0</v>
      </c>
      <c r="M14" s="179">
        <v>0</v>
      </c>
      <c r="N14" s="179">
        <v>0</v>
      </c>
      <c r="O14" s="179">
        <v>0</v>
      </c>
      <c r="P14" s="179">
        <v>0</v>
      </c>
      <c r="Q14" s="179">
        <v>0</v>
      </c>
      <c r="R14" s="179">
        <v>0</v>
      </c>
      <c r="S14" s="179">
        <v>0</v>
      </c>
      <c r="T14" s="179">
        <v>0</v>
      </c>
      <c r="U14" s="179">
        <v>0</v>
      </c>
      <c r="V14" s="179">
        <v>0</v>
      </c>
      <c r="W14" s="179">
        <v>0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9.1999999999999993</v>
      </c>
      <c r="AK14" s="179">
        <v>0</v>
      </c>
      <c r="AL14" s="179">
        <v>0</v>
      </c>
      <c r="AM14" s="179">
        <v>0</v>
      </c>
      <c r="AN14" s="179">
        <v>0</v>
      </c>
      <c r="AO14" s="179">
        <v>0</v>
      </c>
      <c r="AP14" s="179">
        <v>0</v>
      </c>
      <c r="AQ14" s="179">
        <v>0</v>
      </c>
      <c r="AR14" s="179">
        <v>0</v>
      </c>
      <c r="AS14" s="179">
        <v>0</v>
      </c>
      <c r="AT14" s="179">
        <v>0</v>
      </c>
      <c r="AU14" s="179">
        <v>0</v>
      </c>
      <c r="AV14" s="179">
        <v>0</v>
      </c>
      <c r="AW14" s="179">
        <v>106.4</v>
      </c>
    </row>
    <row r="15" spans="1:49" x14ac:dyDescent="0.3">
      <c r="A15" s="179" t="s">
        <v>119</v>
      </c>
      <c r="B15" s="202">
        <v>12</v>
      </c>
      <c r="C15" s="179">
        <v>43</v>
      </c>
      <c r="D15" s="179">
        <v>3</v>
      </c>
      <c r="E15" s="179">
        <v>6</v>
      </c>
      <c r="F15" s="179">
        <v>99644</v>
      </c>
      <c r="G15" s="179">
        <v>0</v>
      </c>
      <c r="H15" s="179">
        <v>0</v>
      </c>
      <c r="I15" s="179">
        <v>0</v>
      </c>
      <c r="J15" s="179">
        <v>0</v>
      </c>
      <c r="K15" s="179">
        <v>85445</v>
      </c>
      <c r="L15" s="179">
        <v>0</v>
      </c>
      <c r="M15" s="179">
        <v>0</v>
      </c>
      <c r="N15" s="179">
        <v>0</v>
      </c>
      <c r="O15" s="179">
        <v>0</v>
      </c>
      <c r="P15" s="179">
        <v>0</v>
      </c>
      <c r="Q15" s="179">
        <v>0</v>
      </c>
      <c r="R15" s="179">
        <v>0</v>
      </c>
      <c r="S15" s="179">
        <v>0</v>
      </c>
      <c r="T15" s="179">
        <v>0</v>
      </c>
      <c r="U15" s="179">
        <v>0</v>
      </c>
      <c r="V15" s="179">
        <v>0</v>
      </c>
      <c r="W15" s="179">
        <v>0</v>
      </c>
      <c r="X15" s="179">
        <v>0</v>
      </c>
      <c r="Y15" s="179">
        <v>0</v>
      </c>
      <c r="Z15" s="179">
        <v>0</v>
      </c>
      <c r="AA15" s="179">
        <v>0</v>
      </c>
      <c r="AB15" s="179">
        <v>0</v>
      </c>
      <c r="AC15" s="179">
        <v>0</v>
      </c>
      <c r="AD15" s="179">
        <v>0</v>
      </c>
      <c r="AE15" s="179">
        <v>0</v>
      </c>
      <c r="AF15" s="179">
        <v>0</v>
      </c>
      <c r="AG15" s="179">
        <v>0</v>
      </c>
      <c r="AH15" s="179">
        <v>0</v>
      </c>
      <c r="AI15" s="179">
        <v>0</v>
      </c>
      <c r="AJ15" s="179">
        <v>2250</v>
      </c>
      <c r="AK15" s="179">
        <v>0</v>
      </c>
      <c r="AL15" s="179">
        <v>0</v>
      </c>
      <c r="AM15" s="179">
        <v>0</v>
      </c>
      <c r="AN15" s="179">
        <v>0</v>
      </c>
      <c r="AO15" s="179">
        <v>0</v>
      </c>
      <c r="AP15" s="179">
        <v>0</v>
      </c>
      <c r="AQ15" s="179">
        <v>0</v>
      </c>
      <c r="AR15" s="179">
        <v>0</v>
      </c>
      <c r="AS15" s="179">
        <v>0</v>
      </c>
      <c r="AT15" s="179">
        <v>0</v>
      </c>
      <c r="AU15" s="179">
        <v>0</v>
      </c>
      <c r="AV15" s="179">
        <v>0</v>
      </c>
      <c r="AW15" s="179">
        <v>11949</v>
      </c>
    </row>
    <row r="16" spans="1:49" x14ac:dyDescent="0.3">
      <c r="A16" s="179" t="s">
        <v>107</v>
      </c>
      <c r="B16" s="202">
        <v>2016</v>
      </c>
      <c r="C16" s="179">
        <v>43</v>
      </c>
      <c r="D16" s="179">
        <v>3</v>
      </c>
      <c r="E16" s="179">
        <v>11</v>
      </c>
      <c r="F16" s="179">
        <v>572.51908396946567</v>
      </c>
      <c r="G16" s="179">
        <v>0</v>
      </c>
      <c r="H16" s="179">
        <v>0</v>
      </c>
      <c r="I16" s="179">
        <v>0</v>
      </c>
      <c r="J16" s="179">
        <v>572.51908396946567</v>
      </c>
      <c r="K16" s="179">
        <v>0</v>
      </c>
      <c r="L16" s="179">
        <v>0</v>
      </c>
      <c r="M16" s="179">
        <v>0</v>
      </c>
      <c r="N16" s="179">
        <v>0</v>
      </c>
      <c r="O16" s="179">
        <v>0</v>
      </c>
      <c r="P16" s="179">
        <v>0</v>
      </c>
      <c r="Q16" s="179">
        <v>0</v>
      </c>
      <c r="R16" s="179">
        <v>0</v>
      </c>
      <c r="S16" s="179">
        <v>0</v>
      </c>
      <c r="T16" s="179">
        <v>0</v>
      </c>
      <c r="U16" s="179">
        <v>0</v>
      </c>
      <c r="V16" s="179">
        <v>0</v>
      </c>
      <c r="W16" s="179">
        <v>0</v>
      </c>
      <c r="X16" s="179">
        <v>0</v>
      </c>
      <c r="Y16" s="179">
        <v>0</v>
      </c>
      <c r="Z16" s="179">
        <v>0</v>
      </c>
      <c r="AA16" s="179">
        <v>0</v>
      </c>
      <c r="AB16" s="179">
        <v>0</v>
      </c>
      <c r="AC16" s="179">
        <v>0</v>
      </c>
      <c r="AD16" s="179">
        <v>0</v>
      </c>
      <c r="AE16" s="179">
        <v>0</v>
      </c>
      <c r="AF16" s="179">
        <v>0</v>
      </c>
      <c r="AG16" s="179">
        <v>0</v>
      </c>
      <c r="AH16" s="179">
        <v>0</v>
      </c>
      <c r="AI16" s="179">
        <v>0</v>
      </c>
      <c r="AJ16" s="179">
        <v>0</v>
      </c>
      <c r="AK16" s="179">
        <v>0</v>
      </c>
      <c r="AL16" s="179">
        <v>0</v>
      </c>
      <c r="AM16" s="179">
        <v>0</v>
      </c>
      <c r="AN16" s="179">
        <v>0</v>
      </c>
      <c r="AO16" s="179">
        <v>0</v>
      </c>
      <c r="AP16" s="179">
        <v>0</v>
      </c>
      <c r="AQ16" s="179">
        <v>0</v>
      </c>
      <c r="AR16" s="179">
        <v>0</v>
      </c>
      <c r="AS16" s="179">
        <v>0</v>
      </c>
      <c r="AT16" s="179">
        <v>0</v>
      </c>
      <c r="AU16" s="179">
        <v>0</v>
      </c>
      <c r="AV16" s="179">
        <v>0</v>
      </c>
      <c r="AW16" s="179">
        <v>0</v>
      </c>
    </row>
    <row r="17" spans="3:49" x14ac:dyDescent="0.3">
      <c r="C17" s="179">
        <v>43</v>
      </c>
      <c r="D17" s="179">
        <v>4</v>
      </c>
      <c r="E17" s="179">
        <v>1</v>
      </c>
      <c r="F17" s="179">
        <v>3.45</v>
      </c>
      <c r="G17" s="179">
        <v>0</v>
      </c>
      <c r="H17" s="179">
        <v>0</v>
      </c>
      <c r="I17" s="179">
        <v>1.8</v>
      </c>
      <c r="J17" s="179">
        <v>0</v>
      </c>
      <c r="K17" s="179">
        <v>1</v>
      </c>
      <c r="L17" s="179">
        <v>0</v>
      </c>
      <c r="M17" s="179">
        <v>0</v>
      </c>
      <c r="N17" s="179">
        <v>0</v>
      </c>
      <c r="O17" s="179">
        <v>0</v>
      </c>
      <c r="P17" s="179">
        <v>0</v>
      </c>
      <c r="Q17" s="179">
        <v>0</v>
      </c>
      <c r="R17" s="179">
        <v>0</v>
      </c>
      <c r="S17" s="179">
        <v>0</v>
      </c>
      <c r="T17" s="179">
        <v>0</v>
      </c>
      <c r="U17" s="179">
        <v>0</v>
      </c>
      <c r="V17" s="179">
        <v>0</v>
      </c>
      <c r="W17" s="179">
        <v>0</v>
      </c>
      <c r="X17" s="179">
        <v>0</v>
      </c>
      <c r="Y17" s="179">
        <v>0</v>
      </c>
      <c r="Z17" s="179">
        <v>0</v>
      </c>
      <c r="AA17" s="179">
        <v>0</v>
      </c>
      <c r="AB17" s="179">
        <v>0</v>
      </c>
      <c r="AC17" s="179">
        <v>0</v>
      </c>
      <c r="AD17" s="179">
        <v>0</v>
      </c>
      <c r="AE17" s="179">
        <v>0</v>
      </c>
      <c r="AF17" s="179">
        <v>0</v>
      </c>
      <c r="AG17" s="179">
        <v>0</v>
      </c>
      <c r="AH17" s="179">
        <v>0</v>
      </c>
      <c r="AI17" s="179">
        <v>0</v>
      </c>
      <c r="AJ17" s="179">
        <v>0.05</v>
      </c>
      <c r="AK17" s="179">
        <v>0</v>
      </c>
      <c r="AL17" s="179">
        <v>0</v>
      </c>
      <c r="AM17" s="179">
        <v>0</v>
      </c>
      <c r="AN17" s="179">
        <v>0</v>
      </c>
      <c r="AO17" s="179">
        <v>0</v>
      </c>
      <c r="AP17" s="179">
        <v>0</v>
      </c>
      <c r="AQ17" s="179">
        <v>0</v>
      </c>
      <c r="AR17" s="179">
        <v>0</v>
      </c>
      <c r="AS17" s="179">
        <v>0</v>
      </c>
      <c r="AT17" s="179">
        <v>0</v>
      </c>
      <c r="AU17" s="179">
        <v>0</v>
      </c>
      <c r="AV17" s="179">
        <v>0</v>
      </c>
      <c r="AW17" s="179">
        <v>0.6</v>
      </c>
    </row>
    <row r="18" spans="3:49" x14ac:dyDescent="0.3">
      <c r="C18" s="179">
        <v>43</v>
      </c>
      <c r="D18" s="179">
        <v>4</v>
      </c>
      <c r="E18" s="179">
        <v>2</v>
      </c>
      <c r="F18" s="179">
        <v>454</v>
      </c>
      <c r="G18" s="179">
        <v>0</v>
      </c>
      <c r="H18" s="179">
        <v>0</v>
      </c>
      <c r="I18" s="179">
        <v>262.39999999999998</v>
      </c>
      <c r="J18" s="179">
        <v>0</v>
      </c>
      <c r="K18" s="179">
        <v>84</v>
      </c>
      <c r="L18" s="179">
        <v>0</v>
      </c>
      <c r="M18" s="179">
        <v>0</v>
      </c>
      <c r="N18" s="179">
        <v>0</v>
      </c>
      <c r="O18" s="179">
        <v>0</v>
      </c>
      <c r="P18" s="179">
        <v>0</v>
      </c>
      <c r="Q18" s="179">
        <v>0</v>
      </c>
      <c r="R18" s="179">
        <v>0</v>
      </c>
      <c r="S18" s="179">
        <v>0</v>
      </c>
      <c r="T18" s="179">
        <v>0</v>
      </c>
      <c r="U18" s="179">
        <v>0</v>
      </c>
      <c r="V18" s="179">
        <v>0</v>
      </c>
      <c r="W18" s="179">
        <v>0</v>
      </c>
      <c r="X18" s="179">
        <v>0</v>
      </c>
      <c r="Y18" s="179">
        <v>0</v>
      </c>
      <c r="Z18" s="179">
        <v>0</v>
      </c>
      <c r="AA18" s="179">
        <v>0</v>
      </c>
      <c r="AB18" s="179">
        <v>0</v>
      </c>
      <c r="AC18" s="179">
        <v>0</v>
      </c>
      <c r="AD18" s="179">
        <v>0</v>
      </c>
      <c r="AE18" s="179">
        <v>0</v>
      </c>
      <c r="AF18" s="179">
        <v>0</v>
      </c>
      <c r="AG18" s="179">
        <v>0</v>
      </c>
      <c r="AH18" s="179">
        <v>0</v>
      </c>
      <c r="AI18" s="179">
        <v>0</v>
      </c>
      <c r="AJ18" s="179">
        <v>8.4</v>
      </c>
      <c r="AK18" s="179">
        <v>0</v>
      </c>
      <c r="AL18" s="179">
        <v>0</v>
      </c>
      <c r="AM18" s="179">
        <v>0</v>
      </c>
      <c r="AN18" s="179">
        <v>0</v>
      </c>
      <c r="AO18" s="179">
        <v>0</v>
      </c>
      <c r="AP18" s="179">
        <v>0</v>
      </c>
      <c r="AQ18" s="179">
        <v>0</v>
      </c>
      <c r="AR18" s="179">
        <v>0</v>
      </c>
      <c r="AS18" s="179">
        <v>0</v>
      </c>
      <c r="AT18" s="179">
        <v>0</v>
      </c>
      <c r="AU18" s="179">
        <v>0</v>
      </c>
      <c r="AV18" s="179">
        <v>0</v>
      </c>
      <c r="AW18" s="179">
        <v>99.2</v>
      </c>
    </row>
    <row r="19" spans="3:49" x14ac:dyDescent="0.3">
      <c r="C19" s="179">
        <v>43</v>
      </c>
      <c r="D19" s="179">
        <v>4</v>
      </c>
      <c r="E19" s="179">
        <v>6</v>
      </c>
      <c r="F19" s="179">
        <v>98985</v>
      </c>
      <c r="G19" s="179">
        <v>0</v>
      </c>
      <c r="H19" s="179">
        <v>0</v>
      </c>
      <c r="I19" s="179">
        <v>52439</v>
      </c>
      <c r="J19" s="179">
        <v>0</v>
      </c>
      <c r="K19" s="179">
        <v>32390</v>
      </c>
      <c r="L19" s="179">
        <v>0</v>
      </c>
      <c r="M19" s="179">
        <v>0</v>
      </c>
      <c r="N19" s="179">
        <v>0</v>
      </c>
      <c r="O19" s="179">
        <v>0</v>
      </c>
      <c r="P19" s="179">
        <v>0</v>
      </c>
      <c r="Q19" s="179">
        <v>0</v>
      </c>
      <c r="R19" s="179">
        <v>0</v>
      </c>
      <c r="S19" s="179">
        <v>0</v>
      </c>
      <c r="T19" s="179">
        <v>0</v>
      </c>
      <c r="U19" s="179">
        <v>0</v>
      </c>
      <c r="V19" s="179">
        <v>0</v>
      </c>
      <c r="W19" s="179">
        <v>0</v>
      </c>
      <c r="X19" s="179">
        <v>0</v>
      </c>
      <c r="Y19" s="179">
        <v>0</v>
      </c>
      <c r="Z19" s="179">
        <v>0</v>
      </c>
      <c r="AA19" s="179">
        <v>0</v>
      </c>
      <c r="AB19" s="179">
        <v>0</v>
      </c>
      <c r="AC19" s="179">
        <v>0</v>
      </c>
      <c r="AD19" s="179">
        <v>0</v>
      </c>
      <c r="AE19" s="179">
        <v>0</v>
      </c>
      <c r="AF19" s="179">
        <v>0</v>
      </c>
      <c r="AG19" s="179">
        <v>0</v>
      </c>
      <c r="AH19" s="179">
        <v>0</v>
      </c>
      <c r="AI19" s="179">
        <v>0</v>
      </c>
      <c r="AJ19" s="179">
        <v>2250</v>
      </c>
      <c r="AK19" s="179">
        <v>0</v>
      </c>
      <c r="AL19" s="179">
        <v>0</v>
      </c>
      <c r="AM19" s="179">
        <v>0</v>
      </c>
      <c r="AN19" s="179">
        <v>0</v>
      </c>
      <c r="AO19" s="179">
        <v>0</v>
      </c>
      <c r="AP19" s="179">
        <v>0</v>
      </c>
      <c r="AQ19" s="179">
        <v>0</v>
      </c>
      <c r="AR19" s="179">
        <v>0</v>
      </c>
      <c r="AS19" s="179">
        <v>0</v>
      </c>
      <c r="AT19" s="179">
        <v>0</v>
      </c>
      <c r="AU19" s="179">
        <v>0</v>
      </c>
      <c r="AV19" s="179">
        <v>0</v>
      </c>
      <c r="AW19" s="179">
        <v>11906</v>
      </c>
    </row>
    <row r="20" spans="3:49" x14ac:dyDescent="0.3">
      <c r="C20" s="179">
        <v>43</v>
      </c>
      <c r="D20" s="179">
        <v>4</v>
      </c>
      <c r="E20" s="179">
        <v>11</v>
      </c>
      <c r="F20" s="179">
        <v>572.51908396946567</v>
      </c>
      <c r="G20" s="179">
        <v>0</v>
      </c>
      <c r="H20" s="179">
        <v>0</v>
      </c>
      <c r="I20" s="179">
        <v>0</v>
      </c>
      <c r="J20" s="179">
        <v>572.51908396946567</v>
      </c>
      <c r="K20" s="179">
        <v>0</v>
      </c>
      <c r="L20" s="179">
        <v>0</v>
      </c>
      <c r="M20" s="179">
        <v>0</v>
      </c>
      <c r="N20" s="179">
        <v>0</v>
      </c>
      <c r="O20" s="179">
        <v>0</v>
      </c>
      <c r="P20" s="179">
        <v>0</v>
      </c>
      <c r="Q20" s="179">
        <v>0</v>
      </c>
      <c r="R20" s="179">
        <v>0</v>
      </c>
      <c r="S20" s="179">
        <v>0</v>
      </c>
      <c r="T20" s="179">
        <v>0</v>
      </c>
      <c r="U20" s="179">
        <v>0</v>
      </c>
      <c r="V20" s="179">
        <v>0</v>
      </c>
      <c r="W20" s="179">
        <v>0</v>
      </c>
      <c r="X20" s="179">
        <v>0</v>
      </c>
      <c r="Y20" s="179">
        <v>0</v>
      </c>
      <c r="Z20" s="179">
        <v>0</v>
      </c>
      <c r="AA20" s="179">
        <v>0</v>
      </c>
      <c r="AB20" s="179">
        <v>0</v>
      </c>
      <c r="AC20" s="179">
        <v>0</v>
      </c>
      <c r="AD20" s="179">
        <v>0</v>
      </c>
      <c r="AE20" s="179">
        <v>0</v>
      </c>
      <c r="AF20" s="179">
        <v>0</v>
      </c>
      <c r="AG20" s="179">
        <v>0</v>
      </c>
      <c r="AH20" s="179">
        <v>0</v>
      </c>
      <c r="AI20" s="179">
        <v>0</v>
      </c>
      <c r="AJ20" s="179">
        <v>0</v>
      </c>
      <c r="AK20" s="179">
        <v>0</v>
      </c>
      <c r="AL20" s="179">
        <v>0</v>
      </c>
      <c r="AM20" s="179">
        <v>0</v>
      </c>
      <c r="AN20" s="179">
        <v>0</v>
      </c>
      <c r="AO20" s="179">
        <v>0</v>
      </c>
      <c r="AP20" s="179">
        <v>0</v>
      </c>
      <c r="AQ20" s="179">
        <v>0</v>
      </c>
      <c r="AR20" s="179">
        <v>0</v>
      </c>
      <c r="AS20" s="179">
        <v>0</v>
      </c>
      <c r="AT20" s="179">
        <v>0</v>
      </c>
      <c r="AU20" s="179">
        <v>0</v>
      </c>
      <c r="AV20" s="179">
        <v>0</v>
      </c>
      <c r="AW20" s="179">
        <v>0</v>
      </c>
    </row>
    <row r="21" spans="3:49" x14ac:dyDescent="0.3">
      <c r="C21" s="179">
        <v>43</v>
      </c>
      <c r="D21" s="179">
        <v>5</v>
      </c>
      <c r="E21" s="179">
        <v>1</v>
      </c>
      <c r="F21" s="179">
        <v>3.45</v>
      </c>
      <c r="G21" s="179">
        <v>0</v>
      </c>
      <c r="H21" s="179">
        <v>0</v>
      </c>
      <c r="I21" s="179">
        <v>1.8</v>
      </c>
      <c r="J21" s="179">
        <v>0</v>
      </c>
      <c r="K21" s="179">
        <v>1</v>
      </c>
      <c r="L21" s="179">
        <v>0</v>
      </c>
      <c r="M21" s="179">
        <v>0</v>
      </c>
      <c r="N21" s="179">
        <v>0</v>
      </c>
      <c r="O21" s="179">
        <v>0</v>
      </c>
      <c r="P21" s="179">
        <v>0</v>
      </c>
      <c r="Q21" s="179">
        <v>0</v>
      </c>
      <c r="R21" s="179">
        <v>0</v>
      </c>
      <c r="S21" s="179">
        <v>0</v>
      </c>
      <c r="T21" s="179">
        <v>0</v>
      </c>
      <c r="U21" s="179">
        <v>0</v>
      </c>
      <c r="V21" s="179">
        <v>0</v>
      </c>
      <c r="W21" s="179">
        <v>0</v>
      </c>
      <c r="X21" s="179">
        <v>0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0</v>
      </c>
      <c r="AF21" s="179">
        <v>0</v>
      </c>
      <c r="AG21" s="179">
        <v>0</v>
      </c>
      <c r="AH21" s="179">
        <v>0</v>
      </c>
      <c r="AI21" s="179">
        <v>0</v>
      </c>
      <c r="AJ21" s="179">
        <v>0.05</v>
      </c>
      <c r="AK21" s="179">
        <v>0</v>
      </c>
      <c r="AL21" s="179">
        <v>0</v>
      </c>
      <c r="AM21" s="179">
        <v>0</v>
      </c>
      <c r="AN21" s="179">
        <v>0</v>
      </c>
      <c r="AO21" s="179">
        <v>0</v>
      </c>
      <c r="AP21" s="179">
        <v>0</v>
      </c>
      <c r="AQ21" s="179">
        <v>0</v>
      </c>
      <c r="AR21" s="179">
        <v>0</v>
      </c>
      <c r="AS21" s="179">
        <v>0</v>
      </c>
      <c r="AT21" s="179">
        <v>0</v>
      </c>
      <c r="AU21" s="179">
        <v>0</v>
      </c>
      <c r="AV21" s="179">
        <v>0</v>
      </c>
      <c r="AW21" s="179">
        <v>0.6</v>
      </c>
    </row>
    <row r="22" spans="3:49" x14ac:dyDescent="0.3">
      <c r="C22" s="179">
        <v>43</v>
      </c>
      <c r="D22" s="179">
        <v>5</v>
      </c>
      <c r="E22" s="179">
        <v>2</v>
      </c>
      <c r="F22" s="179">
        <v>527.20000000000005</v>
      </c>
      <c r="G22" s="179">
        <v>0</v>
      </c>
      <c r="H22" s="179">
        <v>0</v>
      </c>
      <c r="I22" s="179">
        <v>316.8</v>
      </c>
      <c r="J22" s="179">
        <v>0</v>
      </c>
      <c r="K22" s="179">
        <v>96</v>
      </c>
      <c r="L22" s="179">
        <v>0</v>
      </c>
      <c r="M22" s="179">
        <v>0</v>
      </c>
      <c r="N22" s="179">
        <v>0</v>
      </c>
      <c r="O22" s="179">
        <v>0</v>
      </c>
      <c r="P22" s="179">
        <v>0</v>
      </c>
      <c r="Q22" s="179">
        <v>0</v>
      </c>
      <c r="R22" s="179">
        <v>0</v>
      </c>
      <c r="S22" s="179">
        <v>0</v>
      </c>
      <c r="T22" s="179">
        <v>0</v>
      </c>
      <c r="U22" s="179">
        <v>0</v>
      </c>
      <c r="V22" s="179">
        <v>0</v>
      </c>
      <c r="W22" s="179">
        <v>0</v>
      </c>
      <c r="X22" s="179">
        <v>0</v>
      </c>
      <c r="Y22" s="179">
        <v>0</v>
      </c>
      <c r="Z22" s="179">
        <v>0</v>
      </c>
      <c r="AA22" s="179">
        <v>0</v>
      </c>
      <c r="AB22" s="179">
        <v>0</v>
      </c>
      <c r="AC22" s="179">
        <v>0</v>
      </c>
      <c r="AD22" s="179">
        <v>0</v>
      </c>
      <c r="AE22" s="179">
        <v>0</v>
      </c>
      <c r="AF22" s="179">
        <v>0</v>
      </c>
      <c r="AG22" s="179">
        <v>0</v>
      </c>
      <c r="AH22" s="179">
        <v>0</v>
      </c>
      <c r="AI22" s="179">
        <v>0</v>
      </c>
      <c r="AJ22" s="179">
        <v>8.8000000000000007</v>
      </c>
      <c r="AK22" s="179">
        <v>0</v>
      </c>
      <c r="AL22" s="179">
        <v>0</v>
      </c>
      <c r="AM22" s="179">
        <v>0</v>
      </c>
      <c r="AN22" s="179">
        <v>0</v>
      </c>
      <c r="AO22" s="179">
        <v>0</v>
      </c>
      <c r="AP22" s="179">
        <v>0</v>
      </c>
      <c r="AQ22" s="179">
        <v>0</v>
      </c>
      <c r="AR22" s="179">
        <v>0</v>
      </c>
      <c r="AS22" s="179">
        <v>0</v>
      </c>
      <c r="AT22" s="179">
        <v>0</v>
      </c>
      <c r="AU22" s="179">
        <v>0</v>
      </c>
      <c r="AV22" s="179">
        <v>0</v>
      </c>
      <c r="AW22" s="179">
        <v>105.6</v>
      </c>
    </row>
    <row r="23" spans="3:49" x14ac:dyDescent="0.3">
      <c r="C23" s="179">
        <v>43</v>
      </c>
      <c r="D23" s="179">
        <v>5</v>
      </c>
      <c r="E23" s="179">
        <v>6</v>
      </c>
      <c r="F23" s="179">
        <v>108300</v>
      </c>
      <c r="G23" s="179">
        <v>0</v>
      </c>
      <c r="H23" s="179">
        <v>0</v>
      </c>
      <c r="I23" s="179">
        <v>52144</v>
      </c>
      <c r="J23" s="179">
        <v>0</v>
      </c>
      <c r="K23" s="179">
        <v>42003</v>
      </c>
      <c r="L23" s="179">
        <v>0</v>
      </c>
      <c r="M23" s="179">
        <v>0</v>
      </c>
      <c r="N23" s="179">
        <v>0</v>
      </c>
      <c r="O23" s="179">
        <v>0</v>
      </c>
      <c r="P23" s="179">
        <v>0</v>
      </c>
      <c r="Q23" s="179">
        <v>0</v>
      </c>
      <c r="R23" s="179">
        <v>0</v>
      </c>
      <c r="S23" s="179">
        <v>0</v>
      </c>
      <c r="T23" s="179">
        <v>0</v>
      </c>
      <c r="U23" s="179">
        <v>0</v>
      </c>
      <c r="V23" s="179">
        <v>0</v>
      </c>
      <c r="W23" s="179">
        <v>0</v>
      </c>
      <c r="X23" s="179">
        <v>0</v>
      </c>
      <c r="Y23" s="179">
        <v>0</v>
      </c>
      <c r="Z23" s="179">
        <v>0</v>
      </c>
      <c r="AA23" s="179">
        <v>0</v>
      </c>
      <c r="AB23" s="179">
        <v>0</v>
      </c>
      <c r="AC23" s="179">
        <v>0</v>
      </c>
      <c r="AD23" s="179">
        <v>0</v>
      </c>
      <c r="AE23" s="179">
        <v>0</v>
      </c>
      <c r="AF23" s="179">
        <v>0</v>
      </c>
      <c r="AG23" s="179">
        <v>0</v>
      </c>
      <c r="AH23" s="179">
        <v>0</v>
      </c>
      <c r="AI23" s="179">
        <v>0</v>
      </c>
      <c r="AJ23" s="179">
        <v>2250</v>
      </c>
      <c r="AK23" s="179">
        <v>0</v>
      </c>
      <c r="AL23" s="179">
        <v>0</v>
      </c>
      <c r="AM23" s="179">
        <v>0</v>
      </c>
      <c r="AN23" s="179">
        <v>0</v>
      </c>
      <c r="AO23" s="179">
        <v>0</v>
      </c>
      <c r="AP23" s="179">
        <v>0</v>
      </c>
      <c r="AQ23" s="179">
        <v>0</v>
      </c>
      <c r="AR23" s="179">
        <v>0</v>
      </c>
      <c r="AS23" s="179">
        <v>0</v>
      </c>
      <c r="AT23" s="179">
        <v>0</v>
      </c>
      <c r="AU23" s="179">
        <v>0</v>
      </c>
      <c r="AV23" s="179">
        <v>0</v>
      </c>
      <c r="AW23" s="179">
        <v>11903</v>
      </c>
    </row>
    <row r="24" spans="3:49" x14ac:dyDescent="0.3">
      <c r="C24" s="179">
        <v>43</v>
      </c>
      <c r="D24" s="179">
        <v>5</v>
      </c>
      <c r="E24" s="179">
        <v>11</v>
      </c>
      <c r="F24" s="179">
        <v>572.51908396946567</v>
      </c>
      <c r="G24" s="179">
        <v>0</v>
      </c>
      <c r="H24" s="179">
        <v>0</v>
      </c>
      <c r="I24" s="179">
        <v>0</v>
      </c>
      <c r="J24" s="179">
        <v>572.51908396946567</v>
      </c>
      <c r="K24" s="179">
        <v>0</v>
      </c>
      <c r="L24" s="179">
        <v>0</v>
      </c>
      <c r="M24" s="179">
        <v>0</v>
      </c>
      <c r="N24" s="179">
        <v>0</v>
      </c>
      <c r="O24" s="179">
        <v>0</v>
      </c>
      <c r="P24" s="179">
        <v>0</v>
      </c>
      <c r="Q24" s="179">
        <v>0</v>
      </c>
      <c r="R24" s="179">
        <v>0</v>
      </c>
      <c r="S24" s="179">
        <v>0</v>
      </c>
      <c r="T24" s="179">
        <v>0</v>
      </c>
      <c r="U24" s="179">
        <v>0</v>
      </c>
      <c r="V24" s="179">
        <v>0</v>
      </c>
      <c r="W24" s="179">
        <v>0</v>
      </c>
      <c r="X24" s="179">
        <v>0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0</v>
      </c>
      <c r="AE24" s="179">
        <v>0</v>
      </c>
      <c r="AF24" s="179">
        <v>0</v>
      </c>
      <c r="AG24" s="179">
        <v>0</v>
      </c>
      <c r="AH24" s="179">
        <v>0</v>
      </c>
      <c r="AI24" s="179">
        <v>0</v>
      </c>
      <c r="AJ24" s="179">
        <v>0</v>
      </c>
      <c r="AK24" s="179">
        <v>0</v>
      </c>
      <c r="AL24" s="179">
        <v>0</v>
      </c>
      <c r="AM24" s="179">
        <v>0</v>
      </c>
      <c r="AN24" s="179">
        <v>0</v>
      </c>
      <c r="AO24" s="179">
        <v>0</v>
      </c>
      <c r="AP24" s="179">
        <v>0</v>
      </c>
      <c r="AQ24" s="179">
        <v>0</v>
      </c>
      <c r="AR24" s="179">
        <v>0</v>
      </c>
      <c r="AS24" s="179">
        <v>0</v>
      </c>
      <c r="AT24" s="179">
        <v>0</v>
      </c>
      <c r="AU24" s="179">
        <v>0</v>
      </c>
      <c r="AV24" s="179">
        <v>0</v>
      </c>
      <c r="AW24" s="1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96" bestFit="1" customWidth="1"/>
    <col min="2" max="2" width="7.77734375" style="72" customWidth="1"/>
    <col min="3" max="3" width="5.44140625" style="96" hidden="1" customWidth="1"/>
    <col min="4" max="4" width="7.77734375" style="72" customWidth="1"/>
    <col min="5" max="5" width="5.44140625" style="96" hidden="1" customWidth="1"/>
    <col min="6" max="6" width="7.77734375" style="72" customWidth="1"/>
    <col min="7" max="7" width="7.77734375" style="168" customWidth="1"/>
    <col min="8" max="8" width="7.77734375" style="72" customWidth="1"/>
    <col min="9" max="9" width="5.44140625" style="96" hidden="1" customWidth="1"/>
    <col min="10" max="10" width="7.77734375" style="72" customWidth="1"/>
    <col min="11" max="11" width="5.44140625" style="96" hidden="1" customWidth="1"/>
    <col min="12" max="12" width="7.77734375" style="72" customWidth="1"/>
    <col min="13" max="13" width="7.77734375" style="168" customWidth="1"/>
    <col min="14" max="14" width="7.77734375" style="72" customWidth="1"/>
    <col min="15" max="15" width="5" style="96" hidden="1" customWidth="1"/>
    <col min="16" max="16" width="7.77734375" style="72" customWidth="1"/>
    <col min="17" max="17" width="5" style="96" hidden="1" customWidth="1"/>
    <col min="18" max="18" width="7.77734375" style="72" customWidth="1"/>
    <col min="19" max="19" width="7.77734375" style="168" customWidth="1"/>
    <col min="20" max="16384" width="8.88671875" style="96"/>
  </cols>
  <sheetData>
    <row r="1" spans="1:19" ht="18.600000000000001" customHeight="1" thickBot="1" x14ac:dyDescent="0.4">
      <c r="A1" s="261" t="s">
        <v>174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</row>
    <row r="2" spans="1:19" ht="14.4" customHeight="1" thickBot="1" x14ac:dyDescent="0.35">
      <c r="A2" s="183" t="s">
        <v>169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14.4" customHeight="1" thickBot="1" x14ac:dyDescent="0.35">
      <c r="A3" s="169" t="s">
        <v>92</v>
      </c>
      <c r="B3" s="170">
        <f>SUBTOTAL(9,B6:B1048576)/2</f>
        <v>327</v>
      </c>
      <c r="C3" s="171">
        <f t="shared" ref="C3:R3" si="0">SUBTOTAL(9,C6:C1048576)</f>
        <v>2</v>
      </c>
      <c r="D3" s="171">
        <f>SUBTOTAL(9,D6:D1048576)/2</f>
        <v>0</v>
      </c>
      <c r="E3" s="171">
        <f t="shared" si="0"/>
        <v>0</v>
      </c>
      <c r="F3" s="171">
        <f>SUBTOTAL(9,F6:F1048576)/2</f>
        <v>0</v>
      </c>
      <c r="G3" s="172">
        <f>IF(B3&lt;&gt;0,F3/B3,"")</f>
        <v>0</v>
      </c>
      <c r="H3" s="173">
        <f t="shared" si="0"/>
        <v>0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4" t="str">
        <f>IF(H3&lt;&gt;0,L3/H3,"")</f>
        <v/>
      </c>
      <c r="N3" s="170">
        <f t="shared" si="0"/>
        <v>0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2" t="str">
        <f>IF(N3&lt;&gt;0,R3/N3,"")</f>
        <v/>
      </c>
    </row>
    <row r="4" spans="1:19" ht="14.4" customHeight="1" x14ac:dyDescent="0.3">
      <c r="A4" s="262" t="s">
        <v>149</v>
      </c>
      <c r="B4" s="263" t="s">
        <v>69</v>
      </c>
      <c r="C4" s="264"/>
      <c r="D4" s="264"/>
      <c r="E4" s="264"/>
      <c r="F4" s="264"/>
      <c r="G4" s="265"/>
      <c r="H4" s="263" t="s">
        <v>70</v>
      </c>
      <c r="I4" s="264"/>
      <c r="J4" s="264"/>
      <c r="K4" s="264"/>
      <c r="L4" s="264"/>
      <c r="M4" s="265"/>
      <c r="N4" s="263" t="s">
        <v>71</v>
      </c>
      <c r="O4" s="264"/>
      <c r="P4" s="264"/>
      <c r="Q4" s="264"/>
      <c r="R4" s="264"/>
      <c r="S4" s="265"/>
    </row>
    <row r="5" spans="1:19" ht="14.4" customHeight="1" thickBot="1" x14ac:dyDescent="0.35">
      <c r="A5" s="314"/>
      <c r="B5" s="315">
        <v>2014</v>
      </c>
      <c r="C5" s="316"/>
      <c r="D5" s="316">
        <v>2015</v>
      </c>
      <c r="E5" s="316"/>
      <c r="F5" s="316">
        <v>2016</v>
      </c>
      <c r="G5" s="317" t="s">
        <v>1</v>
      </c>
      <c r="H5" s="315">
        <v>2014</v>
      </c>
      <c r="I5" s="316"/>
      <c r="J5" s="316">
        <v>2015</v>
      </c>
      <c r="K5" s="316"/>
      <c r="L5" s="316">
        <v>2016</v>
      </c>
      <c r="M5" s="317" t="s">
        <v>1</v>
      </c>
      <c r="N5" s="315">
        <v>2014</v>
      </c>
      <c r="O5" s="316"/>
      <c r="P5" s="316">
        <v>2015</v>
      </c>
      <c r="Q5" s="316"/>
      <c r="R5" s="316">
        <v>2016</v>
      </c>
      <c r="S5" s="317" t="s">
        <v>1</v>
      </c>
    </row>
    <row r="6" spans="1:19" ht="14.4" customHeight="1" thickBot="1" x14ac:dyDescent="0.35">
      <c r="A6" s="321" t="s">
        <v>173</v>
      </c>
      <c r="B6" s="319">
        <v>327</v>
      </c>
      <c r="C6" s="320">
        <v>1</v>
      </c>
      <c r="D6" s="319"/>
      <c r="E6" s="320"/>
      <c r="F6" s="319"/>
      <c r="G6" s="229"/>
      <c r="H6" s="319"/>
      <c r="I6" s="320"/>
      <c r="J6" s="319"/>
      <c r="K6" s="320"/>
      <c r="L6" s="319"/>
      <c r="M6" s="229"/>
      <c r="N6" s="319"/>
      <c r="O6" s="320"/>
      <c r="P6" s="319"/>
      <c r="Q6" s="320"/>
      <c r="R6" s="319"/>
      <c r="S6" s="230"/>
    </row>
    <row r="7" spans="1:19" ht="14.4" customHeight="1" thickBot="1" x14ac:dyDescent="0.35"/>
    <row r="8" spans="1:19" ht="14.4" customHeight="1" thickBot="1" x14ac:dyDescent="0.35">
      <c r="A8" s="321" t="s">
        <v>175</v>
      </c>
      <c r="B8" s="319">
        <v>327</v>
      </c>
      <c r="C8" s="320">
        <v>1</v>
      </c>
      <c r="D8" s="319"/>
      <c r="E8" s="320"/>
      <c r="F8" s="319"/>
      <c r="G8" s="229"/>
      <c r="H8" s="319"/>
      <c r="I8" s="320"/>
      <c r="J8" s="319"/>
      <c r="K8" s="320"/>
      <c r="L8" s="319"/>
      <c r="M8" s="229"/>
      <c r="N8" s="319"/>
      <c r="O8" s="320"/>
      <c r="P8" s="319"/>
      <c r="Q8" s="320"/>
      <c r="R8" s="319"/>
      <c r="S8" s="230"/>
    </row>
    <row r="9" spans="1:19" ht="14.4" customHeight="1" x14ac:dyDescent="0.3">
      <c r="A9" s="322" t="s">
        <v>176</v>
      </c>
    </row>
    <row r="10" spans="1:19" ht="14.4" customHeight="1" x14ac:dyDescent="0.3">
      <c r="A10" s="323" t="s">
        <v>177</v>
      </c>
    </row>
    <row r="11" spans="1:19" ht="14.4" customHeight="1" x14ac:dyDescent="0.3">
      <c r="A11" s="322" t="s">
        <v>178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96" bestFit="1" customWidth="1"/>
    <col min="2" max="4" width="7.77734375" style="167" customWidth="1"/>
    <col min="5" max="7" width="7.77734375" style="72" customWidth="1"/>
    <col min="8" max="16384" width="8.88671875" style="96"/>
  </cols>
  <sheetData>
    <row r="1" spans="1:7" ht="18.600000000000001" customHeight="1" thickBot="1" x14ac:dyDescent="0.4">
      <c r="A1" s="261" t="s">
        <v>180</v>
      </c>
      <c r="B1" s="243"/>
      <c r="C1" s="243"/>
      <c r="D1" s="243"/>
      <c r="E1" s="243"/>
      <c r="F1" s="243"/>
      <c r="G1" s="243"/>
    </row>
    <row r="2" spans="1:7" ht="14.4" customHeight="1" thickBot="1" x14ac:dyDescent="0.35">
      <c r="A2" s="183" t="s">
        <v>169</v>
      </c>
      <c r="B2" s="77"/>
      <c r="C2" s="77"/>
      <c r="D2" s="77"/>
      <c r="E2" s="77"/>
      <c r="F2" s="77"/>
      <c r="G2" s="77"/>
    </row>
    <row r="3" spans="1:7" ht="14.4" customHeight="1" thickBot="1" x14ac:dyDescent="0.35">
      <c r="A3" s="169" t="s">
        <v>92</v>
      </c>
      <c r="B3" s="233">
        <f t="shared" ref="B3:G3" si="0">SUBTOTAL(9,B6:B1048576)</f>
        <v>1</v>
      </c>
      <c r="C3" s="234">
        <f t="shared" si="0"/>
        <v>0</v>
      </c>
      <c r="D3" s="234">
        <f t="shared" si="0"/>
        <v>0</v>
      </c>
      <c r="E3" s="173">
        <f t="shared" si="0"/>
        <v>327</v>
      </c>
      <c r="F3" s="171">
        <f t="shared" si="0"/>
        <v>0</v>
      </c>
      <c r="G3" s="235">
        <f t="shared" si="0"/>
        <v>0</v>
      </c>
    </row>
    <row r="4" spans="1:7" ht="14.4" customHeight="1" x14ac:dyDescent="0.3">
      <c r="A4" s="262" t="s">
        <v>93</v>
      </c>
      <c r="B4" s="263" t="s">
        <v>147</v>
      </c>
      <c r="C4" s="264"/>
      <c r="D4" s="264"/>
      <c r="E4" s="266" t="s">
        <v>69</v>
      </c>
      <c r="F4" s="267"/>
      <c r="G4" s="268"/>
    </row>
    <row r="5" spans="1:7" ht="14.4" customHeight="1" thickBot="1" x14ac:dyDescent="0.35">
      <c r="A5" s="314"/>
      <c r="B5" s="315">
        <v>2014</v>
      </c>
      <c r="C5" s="316">
        <v>2015</v>
      </c>
      <c r="D5" s="316">
        <v>2016</v>
      </c>
      <c r="E5" s="315">
        <v>2014</v>
      </c>
      <c r="F5" s="316">
        <v>2015</v>
      </c>
      <c r="G5" s="316">
        <v>2016</v>
      </c>
    </row>
    <row r="6" spans="1:7" ht="14.4" customHeight="1" thickBot="1" x14ac:dyDescent="0.35">
      <c r="A6" s="321" t="s">
        <v>179</v>
      </c>
      <c r="B6" s="324">
        <v>1</v>
      </c>
      <c r="C6" s="324"/>
      <c r="D6" s="324"/>
      <c r="E6" s="319">
        <v>327</v>
      </c>
      <c r="F6" s="319"/>
      <c r="G6" s="325"/>
    </row>
    <row r="7" spans="1:7" ht="14.4" customHeight="1" x14ac:dyDescent="0.3">
      <c r="A7" s="322" t="s">
        <v>176</v>
      </c>
    </row>
    <row r="8" spans="1:7" ht="14.4" customHeight="1" x14ac:dyDescent="0.3">
      <c r="A8" s="323" t="s">
        <v>177</v>
      </c>
    </row>
    <row r="9" spans="1:7" ht="14.4" customHeight="1" x14ac:dyDescent="0.3">
      <c r="A9" s="322" t="s">
        <v>178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Obsah</vt:lpstr>
      <vt:lpstr>Motivace</vt:lpstr>
      <vt:lpstr>HI</vt:lpstr>
      <vt:lpstr>HI Graf</vt:lpstr>
      <vt:lpstr>Man Tab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2016-06-22T15:38:13Z</dcterms:modified>
</cp:coreProperties>
</file>