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E26" i="419"/>
  <c r="G28" i="419" l="1"/>
  <c r="G27" i="419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C15" i="414"/>
  <c r="D12" i="414"/>
  <c r="D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8" i="414"/>
  <c r="C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<sst xmlns="http://schemas.openxmlformats.org/spreadsheetml/2006/main" count="549" uniqueCount="290">
  <si>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</si>
  <si>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</si>
  <si>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</si>
  <si>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</si>
  <si>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</si>
  <si>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</si>
  <si>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</si>
  <si>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</si>
  <si>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</si>
  <si>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</si>
  <si>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</si>
  <si>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</si>
  <si>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</si>
  <si>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</si>
  <si>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</si>
  <si>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</si>
  <si>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</si>
  <si>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</si>
  <si>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</si>
  <si>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</si>
  <si>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</si>
  <si>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</si>
  <si>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</si>
  <si>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</si>
  <si>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</si>
  <si>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</si>
  <si>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</si>
  <si>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</si>
  <si>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</si>
  <si>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</si>
  <si>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</si>
  <si>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</si>
  <si>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</si>
  <si>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</si>
  <si>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</si>
  <si>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</si>
  <si>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</si>
  <si>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</si>
  <si>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</si>
  <si>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</si>
  <si>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</si>
  <si>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</si>
  <si>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</si>
  <si>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</si>
  <si>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</si>
  <si>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</si>
  <si>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</si>
  <si>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</si>
  <si>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</si>
  <si>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</si>
  <si>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</si>
  <si>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</si>
  <si>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</si>
  <si>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</si>
  <si>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</si>
  <si>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</si>
  <si>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</si>
  <si>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</si>
  <si>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</si>
  <si>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</si>
  <si>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</si>
  <si>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</si>
  <si>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</si>
  <si>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</si>
  <si>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</si>
  <si>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</si>
  <si>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</si>
  <si>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</si>
  <si>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</si>
  <si>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</si>
  <si>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</si>
  <si>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</si>
  <si>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</si>
  <si>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</si>
  <si>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</si>
  <si>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</si>
  <si>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</si>
  <si>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</si>
  <si>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</si>
  <si>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</si>
  <si>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</si>
  <si>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</si>
  <si>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</si>
  <si>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</si>
  <si>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</si>
  <si>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</si>
  <si>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</si>
  <si>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</si>
  <si>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</si>
  <si>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</si>
  <si>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</si>
  <si>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</si>
  <si>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</si>
  <si>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</si>
  <si>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</si>
  <si>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</si>
  <si>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</si>
  <si>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</si>
  <si>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</si>
  <si>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</si>
  <si>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</si>
  <si>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</si>
  <si>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</si>
  <si>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</si>
  <si>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</si>
  <si>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</si>
  <si>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</si>
  <si>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</si>
  <si>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</si>
  <si>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</si>
  <si>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</si>
  <si>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</si>
  <si>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</si>
  <si>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</si>
  <si>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</si>
  <si>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</si>
  <si>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</si>
  <si>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</si>
  <si>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</si>
  <si>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</si>
  <si>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</si>
  <si>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</si>
  <si>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</si>
  <si>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</si>
  <si>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</si>
  <si>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</si>
  <si>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</si>
  <si>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</si>
  <si>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</si>
  <si>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</si>
  <si>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</si>
  <si>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</si>
  <si>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</si>
  <si>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</si>
  <si>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</si>
  <si>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</si>
  <si>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</si>
  <si>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</si>
  <si>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</si>
  <si>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</si>
  <si>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</si>
  <si>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</si>
  <si>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</si>
  <si>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</si>
  <si>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</si>
  <si>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</si>
  <si>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</si>
  <si>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</si>
  <si>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</si>
  <si>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</si>
  <si>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</si>
  <si>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</si>
  <si>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</si>
  <si>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</si>
  <si>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</si>
  <si>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</si>
  <si>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</si>
  <si>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</si>
  <si>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</si>
  <si>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</si>
  <si>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</si>
  <si>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</si>
  <si>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</si>
  <si>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</si>
  <si>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</si>
  <si>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</si>
  <si>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</si>
  <si>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</si>
  <si>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</si>
  <si>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</si>
  <si>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</si>
  <si>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</si>
  <si>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</si>
  <si>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</si>
  <si>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</si>
  <si>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</si>
  <si>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</si>
  <si>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</si>
  <si>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</si>
  <si>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</si>
  <si>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</si>
  <si>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</si>
  <si>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</si>
  <si>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</si>
  <si>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</si>
  <si>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</si>
  <si>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</si>
  <si>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</si>
  <si>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</si>
  <si>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</si>
  <si>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</si>
  <si>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</si>
  <si>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</si>
  <si>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</si>
  <si>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</si>
  <si>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</si>
  <si>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</si>
  <si>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</si>
  <si>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</si>
  <si>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</si>
  <si>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</si>
  <si>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</si>
  <si>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</si>
  <si>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</si>
  <si>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</si>
  <si>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</si>
  <si>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</si>
  <si>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</si>
  <si>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</si>
  <si>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</si>
  <si>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</si>
  <si>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</si>
  <si>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</si>
  <si>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</si>
  <si>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</si>
  <si>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</si>
  <si>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</si>
  <si>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</si>
  <si>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</si>
  <si>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</si>
  <si>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</si>
  <si>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</si>
  <si>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</si>
  <si>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</si>
  <si>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</si>
  <si>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</si>
  <si>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</si>
  <si>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</si>
  <si>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</si>
  <si>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</si>
  <si>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</si>
  <si>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</si>
  <si>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</si>
  <si>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</si>
  <si>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</si>
  <si>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</si>
  <si>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</si>
  <si>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</si>
  <si>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</si>
  <si>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</si>
  <si>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</si>
  <si>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</si>
  <si>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</si>
  <si>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</si>
  <si>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</si>
  <si>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</si>
  <si>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</si>
  <si>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Burdová Karolína</t>
  </si>
  <si>
    <t>Matalová Petra</t>
  </si>
  <si>
    <t>Zdravotní výkony vykázané na pracovišti v rámci ambulantní péče dle lékařů *</t>
  </si>
  <si>
    <t>206</t>
  </si>
  <si>
    <t>V</t>
  </si>
  <si>
    <t>09543</t>
  </si>
  <si>
    <t>Signalni kod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</si>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</sst>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9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7" xfId="0" applyNumberFormat="1" applyFont="1" applyFill="1" applyBorder="1" applyAlignment="1">
      <alignment horizontal="right" vertical="top"/>
    </xf>
    <xf numFmtId="3" fontId="33" fillId="9" borderId="88" xfId="0" applyNumberFormat="1" applyFont="1" applyFill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3" fillId="0" borderId="87" xfId="0" applyNumberFormat="1" applyFont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7" fillId="10" borderId="86" xfId="0" applyFont="1" applyFill="1" applyBorder="1" applyAlignment="1">
      <alignment vertical="top"/>
    </xf>
    <xf numFmtId="0" fontId="37" fillId="10" borderId="86" xfId="0" applyFont="1" applyFill="1" applyBorder="1" applyAlignment="1">
      <alignment vertical="top" indent="2"/>
    </xf>
    <xf numFmtId="0" fontId="37" fillId="10" borderId="86" xfId="0" applyFont="1" applyFill="1" applyBorder="1" applyAlignment="1">
      <alignment vertical="top" indent="4"/>
    </xf>
    <xf numFmtId="0" fontId="38" fillId="10" borderId="91" xfId="0" applyFont="1" applyFill="1" applyBorder="1" applyAlignment="1">
      <alignment vertical="top" indent="6"/>
    </xf>
    <xf numFmtId="0" fontId="37" fillId="10" borderId="86" xfId="0" applyFont="1" applyFill="1" applyBorder="1" applyAlignment="1">
      <alignment vertical="top" indent="8"/>
    </xf>
    <xf numFmtId="0" fontId="38" fillId="10" borderId="91" xfId="0" applyFont="1" applyFill="1" applyBorder="1" applyAlignment="1">
      <alignment vertical="top" indent="2"/>
    </xf>
    <xf numFmtId="0" fontId="38" fillId="10" borderId="91" xfId="0" applyFont="1" applyFill="1" applyBorder="1" applyAlignment="1">
      <alignment vertical="top" indent="4"/>
    </xf>
    <xf numFmtId="0" fontId="32" fillId="10" borderId="86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07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07" xfId="0" applyNumberFormat="1" applyFont="1" applyBorder="1"/>
    <xf numFmtId="173" fontId="32" fillId="0" borderId="84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0" borderId="23" xfId="0" applyFont="1" applyFill="1" applyBorder="1"/>
    <xf numFmtId="3" fontId="32" fillId="0" borderId="61" xfId="0" applyNumberFormat="1" applyFont="1" applyFill="1" applyBorder="1"/>
    <xf numFmtId="169" fontId="32" fillId="0" borderId="61" xfId="0" applyNumberFormat="1" applyFont="1" applyFill="1" applyBorder="1"/>
    <xf numFmtId="169" fontId="32" fillId="0" borderId="62" xfId="0" applyNumberFormat="1" applyFont="1" applyFill="1" applyBorder="1"/>
    <xf numFmtId="0" fontId="32" fillId="0" borderId="63" xfId="0" applyFont="1" applyFill="1" applyBorder="1"/>
    <xf numFmtId="3" fontId="32" fillId="0" borderId="64" xfId="0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63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1" xfId="0" applyFont="1" applyFill="1" applyBorder="1"/>
    <xf numFmtId="9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3" fontId="32" fillId="0" borderId="65" xfId="0" applyNumberFormat="1" applyFont="1" applyFill="1" applyBorder="1"/>
    <xf numFmtId="9" fontId="32" fillId="0" borderId="62" xfId="0" applyNumberFormat="1" applyFont="1" applyFill="1" applyBorder="1"/>
    <xf numFmtId="0" fontId="32" fillId="0" borderId="70" xfId="0" applyFont="1" applyFill="1" applyBorder="1"/>
    <xf numFmtId="169" fontId="32" fillId="0" borderId="71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0" fontId="39" fillId="0" borderId="70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22384"/>
        <c:axId val="-9646158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1.8464264174679294E-4</c:v>
                </c:pt>
                <c:pt idx="1">
                  <c:v>1.8464264174679294E-4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16944"/>
        <c:axId val="-964616400"/>
      </c:scatterChart>
      <c:catAx>
        <c:axId val="-96462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1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15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64622384"/>
        <c:crosses val="autoZero"/>
        <c:crossBetween val="between"/>
      </c:valAx>
      <c:valAx>
        <c:axId val="-9646169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16400"/>
        <c:crosses val="max"/>
        <c:crossBetween val="midCat"/>
      </c:valAx>
      <c:valAx>
        <c:axId val="-964616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169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1" t="s">
        <v>84</v>
      </c>
      <c r="B1" s="251"/>
    </row>
    <row r="2" spans="1:3" ht="14.4" customHeight="1" thickBot="1" x14ac:dyDescent="0.35">
      <c r="A2" s="191" t="s">
        <v>184</v>
      </c>
      <c r="B2" s="41"/>
    </row>
    <row r="3" spans="1:3" ht="14.4" customHeight="1" thickBot="1" x14ac:dyDescent="0.35">
      <c r="A3" s="247" t="s">
        <v>101</v>
      </c>
      <c r="B3" s="24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9" t="s">
        <v>85</v>
      </c>
      <c r="B10" s="248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0" t="s">
        <v>86</v>
      </c>
      <c r="B13" s="248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242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249</v>
      </c>
      <c r="C15" s="42" t="s">
        <v>155</v>
      </c>
    </row>
    <row r="16" spans="1:3" ht="14.4" customHeight="1" x14ac:dyDescent="0.3">
      <c r="A16" s="116" t="str">
        <f t="shared" si="2"/>
        <v>ZV Vykáz.-A Detail</v>
      </c>
      <c r="B16" s="65" t="s">
        <v>256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289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9" t="s">
        <v>249</v>
      </c>
      <c r="B1" s="251"/>
      <c r="C1" s="251"/>
      <c r="D1" s="251"/>
      <c r="E1" s="251"/>
      <c r="F1" s="251"/>
      <c r="G1" s="251"/>
    </row>
    <row r="2" spans="1:7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41">
        <f t="shared" ref="B3:G3" si="0">SUBTOTAL(9,B6:B1048576)</f>
        <v>1</v>
      </c>
      <c r="C3" s="242">
        <f t="shared" si="0"/>
        <v>2</v>
      </c>
      <c r="D3" s="242">
        <f t="shared" si="0"/>
        <v>0</v>
      </c>
      <c r="E3" s="181">
        <f t="shared" si="0"/>
        <v>327</v>
      </c>
      <c r="F3" s="179">
        <f t="shared" si="0"/>
        <v>364.33</v>
      </c>
      <c r="G3" s="243">
        <f t="shared" si="0"/>
        <v>0</v>
      </c>
    </row>
    <row r="4" spans="1:7" ht="14.4" customHeight="1" x14ac:dyDescent="0.3">
      <c r="A4" s="280" t="s">
        <v>99</v>
      </c>
      <c r="B4" s="281" t="s">
        <v>154</v>
      </c>
      <c r="C4" s="282"/>
      <c r="D4" s="282"/>
      <c r="E4" s="284" t="s">
        <v>75</v>
      </c>
      <c r="F4" s="285"/>
      <c r="G4" s="286"/>
    </row>
    <row r="5" spans="1:7" ht="14.4" customHeight="1" thickBot="1" x14ac:dyDescent="0.35">
      <c r="A5" s="359"/>
      <c r="B5" s="360">
        <v>2014</v>
      </c>
      <c r="C5" s="361">
        <v>2015</v>
      </c>
      <c r="D5" s="361">
        <v>2016</v>
      </c>
      <c r="E5" s="360">
        <v>2014</v>
      </c>
      <c r="F5" s="361">
        <v>2015</v>
      </c>
      <c r="G5" s="361">
        <v>2016</v>
      </c>
    </row>
    <row r="6" spans="1:7" ht="14.4" customHeight="1" x14ac:dyDescent="0.3">
      <c r="A6" s="376" t="s">
        <v>247</v>
      </c>
      <c r="B6" s="369"/>
      <c r="C6" s="369">
        <v>2</v>
      </c>
      <c r="D6" s="369"/>
      <c r="E6" s="370"/>
      <c r="F6" s="370">
        <v>364.33</v>
      </c>
      <c r="G6" s="371"/>
    </row>
    <row r="7" spans="1:7" ht="14.4" customHeight="1" thickBot="1" x14ac:dyDescent="0.35">
      <c r="A7" s="377" t="s">
        <v>248</v>
      </c>
      <c r="B7" s="373">
        <v>1</v>
      </c>
      <c r="C7" s="373"/>
      <c r="D7" s="373"/>
      <c r="E7" s="374">
        <v>327</v>
      </c>
      <c r="F7" s="374"/>
      <c r="G7" s="375"/>
    </row>
    <row r="8" spans="1:7" ht="14.4" customHeight="1" x14ac:dyDescent="0.3">
      <c r="A8" s="366" t="s">
        <v>244</v>
      </c>
    </row>
    <row r="9" spans="1:7" ht="14.4" customHeight="1" x14ac:dyDescent="0.3">
      <c r="A9" s="367" t="s">
        <v>245</v>
      </c>
    </row>
    <row r="10" spans="1:7" ht="14.4" customHeight="1" x14ac:dyDescent="0.3">
      <c r="A10" s="366" t="s">
        <v>246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256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246"/>
      <c r="C2" s="103"/>
      <c r="D2" s="240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2</v>
      </c>
      <c r="K3" s="75">
        <f t="shared" si="0"/>
        <v>364.33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8" t="s">
        <v>71</v>
      </c>
      <c r="B4" s="295" t="s">
        <v>0</v>
      </c>
      <c r="C4" s="289" t="s">
        <v>72</v>
      </c>
      <c r="D4" s="294" t="s">
        <v>47</v>
      </c>
      <c r="E4" s="290" t="s">
        <v>46</v>
      </c>
      <c r="F4" s="291">
        <v>2014</v>
      </c>
      <c r="G4" s="292"/>
      <c r="H4" s="73"/>
      <c r="I4" s="73"/>
      <c r="J4" s="291">
        <v>2015</v>
      </c>
      <c r="K4" s="292"/>
      <c r="L4" s="73"/>
      <c r="M4" s="73"/>
      <c r="N4" s="291">
        <v>2016</v>
      </c>
      <c r="O4" s="292"/>
      <c r="P4" s="293" t="s">
        <v>1</v>
      </c>
      <c r="Q4" s="287" t="s">
        <v>74</v>
      </c>
    </row>
    <row r="5" spans="1:17" ht="14.4" customHeight="1" thickBot="1" x14ac:dyDescent="0.35">
      <c r="A5" s="378"/>
      <c r="B5" s="379"/>
      <c r="C5" s="380"/>
      <c r="D5" s="381"/>
      <c r="E5" s="382"/>
      <c r="F5" s="383" t="s">
        <v>48</v>
      </c>
      <c r="G5" s="384" t="s">
        <v>4</v>
      </c>
      <c r="H5" s="385"/>
      <c r="I5" s="385"/>
      <c r="J5" s="383" t="s">
        <v>48</v>
      </c>
      <c r="K5" s="384" t="s">
        <v>4</v>
      </c>
      <c r="L5" s="385"/>
      <c r="M5" s="385"/>
      <c r="N5" s="383" t="s">
        <v>48</v>
      </c>
      <c r="O5" s="384" t="s">
        <v>4</v>
      </c>
      <c r="P5" s="386"/>
      <c r="Q5" s="387"/>
    </row>
    <row r="6" spans="1:17" ht="14.4" customHeight="1" x14ac:dyDescent="0.3">
      <c r="A6" s="368" t="s">
        <v>250</v>
      </c>
      <c r="B6" s="388" t="s">
        <v>243</v>
      </c>
      <c r="C6" s="388" t="s">
        <v>251</v>
      </c>
      <c r="D6" s="388" t="s">
        <v>252</v>
      </c>
      <c r="E6" s="388" t="s">
        <v>253</v>
      </c>
      <c r="F6" s="369"/>
      <c r="G6" s="369"/>
      <c r="H6" s="388"/>
      <c r="I6" s="388"/>
      <c r="J6" s="369">
        <v>1</v>
      </c>
      <c r="K6" s="369">
        <v>33.33</v>
      </c>
      <c r="L6" s="388"/>
      <c r="M6" s="388">
        <v>33.33</v>
      </c>
      <c r="N6" s="369"/>
      <c r="O6" s="369"/>
      <c r="P6" s="389"/>
      <c r="Q6" s="390"/>
    </row>
    <row r="7" spans="1:17" ht="14.4" customHeight="1" thickBot="1" x14ac:dyDescent="0.35">
      <c r="A7" s="372" t="s">
        <v>250</v>
      </c>
      <c r="B7" s="391" t="s">
        <v>243</v>
      </c>
      <c r="C7" s="391" t="s">
        <v>251</v>
      </c>
      <c r="D7" s="391" t="s">
        <v>254</v>
      </c>
      <c r="E7" s="391" t="s">
        <v>255</v>
      </c>
      <c r="F7" s="373">
        <v>1</v>
      </c>
      <c r="G7" s="373">
        <v>327</v>
      </c>
      <c r="H7" s="391">
        <v>1</v>
      </c>
      <c r="I7" s="391">
        <v>327</v>
      </c>
      <c r="J7" s="373">
        <v>1</v>
      </c>
      <c r="K7" s="373">
        <v>331</v>
      </c>
      <c r="L7" s="391">
        <v>1.0122324159021407</v>
      </c>
      <c r="M7" s="391">
        <v>331</v>
      </c>
      <c r="N7" s="373"/>
      <c r="O7" s="373"/>
      <c r="P7" s="392"/>
      <c r="Q7" s="393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60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43804</v>
      </c>
      <c r="C3" s="179">
        <f t="shared" ref="C3:R3" si="0">SUBTOTAL(9,C6:C1048576)</f>
        <v>13</v>
      </c>
      <c r="D3" s="179">
        <f t="shared" si="0"/>
        <v>42513</v>
      </c>
      <c r="E3" s="179">
        <f t="shared" si="0"/>
        <v>17.49487799742553</v>
      </c>
      <c r="F3" s="179">
        <f t="shared" si="0"/>
        <v>26196</v>
      </c>
      <c r="G3" s="182">
        <f>IF(B3&lt;&gt;0,F3/B3,"")</f>
        <v>0.59802757739019263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81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x14ac:dyDescent="0.3">
      <c r="A6" s="376" t="s">
        <v>257</v>
      </c>
      <c r="B6" s="370">
        <v>2144</v>
      </c>
      <c r="C6" s="388">
        <v>1</v>
      </c>
      <c r="D6" s="370">
        <v>3142</v>
      </c>
      <c r="E6" s="388">
        <v>1.4654850746268657</v>
      </c>
      <c r="F6" s="370">
        <v>3363</v>
      </c>
      <c r="G6" s="389">
        <v>1.5685634328358209</v>
      </c>
      <c r="H6" s="370"/>
      <c r="I6" s="388"/>
      <c r="J6" s="370"/>
      <c r="K6" s="388"/>
      <c r="L6" s="370"/>
      <c r="M6" s="389"/>
      <c r="N6" s="370"/>
      <c r="O6" s="388"/>
      <c r="P6" s="370"/>
      <c r="Q6" s="388"/>
      <c r="R6" s="370"/>
      <c r="S6" s="394"/>
    </row>
    <row r="7" spans="1:19" ht="14.4" customHeight="1" x14ac:dyDescent="0.3">
      <c r="A7" s="401" t="s">
        <v>258</v>
      </c>
      <c r="B7" s="396">
        <v>19587</v>
      </c>
      <c r="C7" s="397">
        <v>1</v>
      </c>
      <c r="D7" s="396">
        <v>6288</v>
      </c>
      <c r="E7" s="397">
        <v>0.3210292540971052</v>
      </c>
      <c r="F7" s="396">
        <v>3717</v>
      </c>
      <c r="G7" s="398">
        <v>0.18976872415377546</v>
      </c>
      <c r="H7" s="396"/>
      <c r="I7" s="397"/>
      <c r="J7" s="396"/>
      <c r="K7" s="397"/>
      <c r="L7" s="396"/>
      <c r="M7" s="398"/>
      <c r="N7" s="396"/>
      <c r="O7" s="397"/>
      <c r="P7" s="396"/>
      <c r="Q7" s="397"/>
      <c r="R7" s="396"/>
      <c r="S7" s="399"/>
    </row>
    <row r="8" spans="1:19" ht="14.4" customHeight="1" x14ac:dyDescent="0.3">
      <c r="A8" s="401" t="s">
        <v>259</v>
      </c>
      <c r="B8" s="396">
        <v>8575</v>
      </c>
      <c r="C8" s="397">
        <v>1</v>
      </c>
      <c r="D8" s="396">
        <v>16874</v>
      </c>
      <c r="E8" s="397">
        <v>1.9678134110787171</v>
      </c>
      <c r="F8" s="396">
        <v>2478</v>
      </c>
      <c r="G8" s="398">
        <v>0.28897959183673472</v>
      </c>
      <c r="H8" s="396"/>
      <c r="I8" s="397"/>
      <c r="J8" s="396"/>
      <c r="K8" s="397"/>
      <c r="L8" s="396"/>
      <c r="M8" s="398"/>
      <c r="N8" s="396"/>
      <c r="O8" s="397"/>
      <c r="P8" s="396"/>
      <c r="Q8" s="397"/>
      <c r="R8" s="396"/>
      <c r="S8" s="399"/>
    </row>
    <row r="9" spans="1:19" ht="14.4" customHeight="1" x14ac:dyDescent="0.3">
      <c r="A9" s="401" t="s">
        <v>260</v>
      </c>
      <c r="B9" s="396"/>
      <c r="C9" s="397"/>
      <c r="D9" s="396">
        <v>496</v>
      </c>
      <c r="E9" s="397"/>
      <c r="F9" s="396"/>
      <c r="G9" s="398"/>
      <c r="H9" s="396"/>
      <c r="I9" s="397"/>
      <c r="J9" s="396"/>
      <c r="K9" s="397"/>
      <c r="L9" s="396"/>
      <c r="M9" s="398"/>
      <c r="N9" s="396"/>
      <c r="O9" s="397"/>
      <c r="P9" s="396"/>
      <c r="Q9" s="397"/>
      <c r="R9" s="396"/>
      <c r="S9" s="399"/>
    </row>
    <row r="10" spans="1:19" ht="14.4" customHeight="1" x14ac:dyDescent="0.3">
      <c r="A10" s="401" t="s">
        <v>261</v>
      </c>
      <c r="B10" s="396">
        <v>3462</v>
      </c>
      <c r="C10" s="397">
        <v>1</v>
      </c>
      <c r="D10" s="396">
        <v>5292</v>
      </c>
      <c r="E10" s="397">
        <v>1.5285961871750433</v>
      </c>
      <c r="F10" s="396">
        <v>3540</v>
      </c>
      <c r="G10" s="398">
        <v>1.0225303292894281</v>
      </c>
      <c r="H10" s="396"/>
      <c r="I10" s="397"/>
      <c r="J10" s="396"/>
      <c r="K10" s="397"/>
      <c r="L10" s="396"/>
      <c r="M10" s="398"/>
      <c r="N10" s="396"/>
      <c r="O10" s="397"/>
      <c r="P10" s="396"/>
      <c r="Q10" s="397"/>
      <c r="R10" s="396"/>
      <c r="S10" s="399"/>
    </row>
    <row r="11" spans="1:19" ht="14.4" customHeight="1" x14ac:dyDescent="0.3">
      <c r="A11" s="401" t="s">
        <v>262</v>
      </c>
      <c r="B11" s="396"/>
      <c r="C11" s="397"/>
      <c r="D11" s="396"/>
      <c r="E11" s="397"/>
      <c r="F11" s="396">
        <v>354</v>
      </c>
      <c r="G11" s="398"/>
      <c r="H11" s="396"/>
      <c r="I11" s="397"/>
      <c r="J11" s="396"/>
      <c r="K11" s="397"/>
      <c r="L11" s="396"/>
      <c r="M11" s="398"/>
      <c r="N11" s="396"/>
      <c r="O11" s="397"/>
      <c r="P11" s="396"/>
      <c r="Q11" s="397"/>
      <c r="R11" s="396"/>
      <c r="S11" s="399"/>
    </row>
    <row r="12" spans="1:19" ht="14.4" customHeight="1" x14ac:dyDescent="0.3">
      <c r="A12" s="401" t="s">
        <v>263</v>
      </c>
      <c r="B12" s="396">
        <v>2302</v>
      </c>
      <c r="C12" s="397">
        <v>1</v>
      </c>
      <c r="D12" s="396">
        <v>2812</v>
      </c>
      <c r="E12" s="397">
        <v>1.2215464813205907</v>
      </c>
      <c r="F12" s="396">
        <v>4248</v>
      </c>
      <c r="G12" s="398">
        <v>1.8453518679409209</v>
      </c>
      <c r="H12" s="396"/>
      <c r="I12" s="397"/>
      <c r="J12" s="396"/>
      <c r="K12" s="397"/>
      <c r="L12" s="396"/>
      <c r="M12" s="398"/>
      <c r="N12" s="396"/>
      <c r="O12" s="397"/>
      <c r="P12" s="396"/>
      <c r="Q12" s="397"/>
      <c r="R12" s="396"/>
      <c r="S12" s="399"/>
    </row>
    <row r="13" spans="1:19" ht="14.4" customHeight="1" x14ac:dyDescent="0.3">
      <c r="A13" s="401" t="s">
        <v>264</v>
      </c>
      <c r="B13" s="396">
        <v>1814</v>
      </c>
      <c r="C13" s="397">
        <v>1</v>
      </c>
      <c r="D13" s="396">
        <v>1158</v>
      </c>
      <c r="E13" s="397">
        <v>0.63836824696802641</v>
      </c>
      <c r="F13" s="396">
        <v>1770</v>
      </c>
      <c r="G13" s="398">
        <v>0.97574421168687986</v>
      </c>
      <c r="H13" s="396"/>
      <c r="I13" s="397"/>
      <c r="J13" s="396"/>
      <c r="K13" s="397"/>
      <c r="L13" s="396"/>
      <c r="M13" s="398"/>
      <c r="N13" s="396"/>
      <c r="O13" s="397"/>
      <c r="P13" s="396"/>
      <c r="Q13" s="397"/>
      <c r="R13" s="396"/>
      <c r="S13" s="399"/>
    </row>
    <row r="14" spans="1:19" ht="14.4" customHeight="1" x14ac:dyDescent="0.3">
      <c r="A14" s="401" t="s">
        <v>265</v>
      </c>
      <c r="B14" s="396">
        <v>330</v>
      </c>
      <c r="C14" s="397">
        <v>1</v>
      </c>
      <c r="D14" s="396">
        <v>993</v>
      </c>
      <c r="E14" s="397">
        <v>3.0090909090909093</v>
      </c>
      <c r="F14" s="396">
        <v>354</v>
      </c>
      <c r="G14" s="398">
        <v>1.0727272727272728</v>
      </c>
      <c r="H14" s="396"/>
      <c r="I14" s="397"/>
      <c r="J14" s="396"/>
      <c r="K14" s="397"/>
      <c r="L14" s="396"/>
      <c r="M14" s="398"/>
      <c r="N14" s="396"/>
      <c r="O14" s="397"/>
      <c r="P14" s="396"/>
      <c r="Q14" s="397"/>
      <c r="R14" s="396"/>
      <c r="S14" s="399"/>
    </row>
    <row r="15" spans="1:19" ht="14.4" customHeight="1" x14ac:dyDescent="0.3">
      <c r="A15" s="401" t="s">
        <v>266</v>
      </c>
      <c r="B15" s="396">
        <v>494</v>
      </c>
      <c r="C15" s="397">
        <v>1</v>
      </c>
      <c r="D15" s="396">
        <v>827</v>
      </c>
      <c r="E15" s="397">
        <v>1.6740890688259109</v>
      </c>
      <c r="F15" s="396">
        <v>354</v>
      </c>
      <c r="G15" s="398">
        <v>0.7165991902834008</v>
      </c>
      <c r="H15" s="396"/>
      <c r="I15" s="397"/>
      <c r="J15" s="396"/>
      <c r="K15" s="397"/>
      <c r="L15" s="396"/>
      <c r="M15" s="398"/>
      <c r="N15" s="396"/>
      <c r="O15" s="397"/>
      <c r="P15" s="396"/>
      <c r="Q15" s="397"/>
      <c r="R15" s="396"/>
      <c r="S15" s="399"/>
    </row>
    <row r="16" spans="1:19" ht="14.4" customHeight="1" x14ac:dyDescent="0.3">
      <c r="A16" s="401" t="s">
        <v>267</v>
      </c>
      <c r="B16" s="396">
        <v>987</v>
      </c>
      <c r="C16" s="397">
        <v>1</v>
      </c>
      <c r="D16" s="396">
        <v>1489</v>
      </c>
      <c r="E16" s="397">
        <v>1.508611955420466</v>
      </c>
      <c r="F16" s="396">
        <v>354</v>
      </c>
      <c r="G16" s="398">
        <v>0.35866261398176291</v>
      </c>
      <c r="H16" s="396"/>
      <c r="I16" s="397"/>
      <c r="J16" s="396"/>
      <c r="K16" s="397"/>
      <c r="L16" s="396"/>
      <c r="M16" s="398"/>
      <c r="N16" s="396"/>
      <c r="O16" s="397"/>
      <c r="P16" s="396"/>
      <c r="Q16" s="397"/>
      <c r="R16" s="396"/>
      <c r="S16" s="399"/>
    </row>
    <row r="17" spans="1:19" ht="14.4" customHeight="1" x14ac:dyDescent="0.3">
      <c r="A17" s="401" t="s">
        <v>268</v>
      </c>
      <c r="B17" s="396">
        <v>3122</v>
      </c>
      <c r="C17" s="397">
        <v>1</v>
      </c>
      <c r="D17" s="396">
        <v>1985</v>
      </c>
      <c r="E17" s="397">
        <v>0.63581037796284434</v>
      </c>
      <c r="F17" s="396">
        <v>3009</v>
      </c>
      <c r="G17" s="398">
        <v>0.9638052530429212</v>
      </c>
      <c r="H17" s="396"/>
      <c r="I17" s="397"/>
      <c r="J17" s="396"/>
      <c r="K17" s="397"/>
      <c r="L17" s="396"/>
      <c r="M17" s="398"/>
      <c r="N17" s="396"/>
      <c r="O17" s="397"/>
      <c r="P17" s="396"/>
      <c r="Q17" s="397"/>
      <c r="R17" s="396"/>
      <c r="S17" s="399"/>
    </row>
    <row r="18" spans="1:19" ht="14.4" customHeight="1" x14ac:dyDescent="0.3">
      <c r="A18" s="401" t="s">
        <v>269</v>
      </c>
      <c r="B18" s="396">
        <v>330</v>
      </c>
      <c r="C18" s="397">
        <v>1</v>
      </c>
      <c r="D18" s="396"/>
      <c r="E18" s="397"/>
      <c r="F18" s="396">
        <v>708</v>
      </c>
      <c r="G18" s="398">
        <v>2.1454545454545455</v>
      </c>
      <c r="H18" s="396"/>
      <c r="I18" s="397"/>
      <c r="J18" s="396"/>
      <c r="K18" s="397"/>
      <c r="L18" s="396"/>
      <c r="M18" s="398"/>
      <c r="N18" s="396"/>
      <c r="O18" s="397"/>
      <c r="P18" s="396"/>
      <c r="Q18" s="397"/>
      <c r="R18" s="396"/>
      <c r="S18" s="399"/>
    </row>
    <row r="19" spans="1:19" ht="14.4" customHeight="1" x14ac:dyDescent="0.3">
      <c r="A19" s="401" t="s">
        <v>270</v>
      </c>
      <c r="B19" s="396">
        <v>330</v>
      </c>
      <c r="C19" s="397">
        <v>1</v>
      </c>
      <c r="D19" s="396">
        <v>496</v>
      </c>
      <c r="E19" s="397">
        <v>1.5030303030303029</v>
      </c>
      <c r="F19" s="396">
        <v>1062</v>
      </c>
      <c r="G19" s="398">
        <v>3.2181818181818183</v>
      </c>
      <c r="H19" s="396"/>
      <c r="I19" s="397"/>
      <c r="J19" s="396"/>
      <c r="K19" s="397"/>
      <c r="L19" s="396"/>
      <c r="M19" s="398"/>
      <c r="N19" s="396"/>
      <c r="O19" s="397"/>
      <c r="P19" s="396"/>
      <c r="Q19" s="397"/>
      <c r="R19" s="396"/>
      <c r="S19" s="399"/>
    </row>
    <row r="20" spans="1:19" ht="14.4" customHeight="1" thickBot="1" x14ac:dyDescent="0.35">
      <c r="A20" s="377" t="s">
        <v>271</v>
      </c>
      <c r="B20" s="374">
        <v>327</v>
      </c>
      <c r="C20" s="391">
        <v>1</v>
      </c>
      <c r="D20" s="374">
        <v>661</v>
      </c>
      <c r="E20" s="391">
        <v>2.021406727828746</v>
      </c>
      <c r="F20" s="374">
        <v>885</v>
      </c>
      <c r="G20" s="392">
        <v>2.7064220183486238</v>
      </c>
      <c r="H20" s="374"/>
      <c r="I20" s="391"/>
      <c r="J20" s="374"/>
      <c r="K20" s="391"/>
      <c r="L20" s="374"/>
      <c r="M20" s="392"/>
      <c r="N20" s="374"/>
      <c r="O20" s="391"/>
      <c r="P20" s="374"/>
      <c r="Q20" s="391"/>
      <c r="R20" s="374"/>
      <c r="S20" s="4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289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144</v>
      </c>
      <c r="G3" s="75">
        <f t="shared" si="0"/>
        <v>43804</v>
      </c>
      <c r="H3" s="75"/>
      <c r="I3" s="75"/>
      <c r="J3" s="75">
        <f t="shared" si="0"/>
        <v>149</v>
      </c>
      <c r="K3" s="75">
        <f t="shared" si="0"/>
        <v>42513</v>
      </c>
      <c r="L3" s="75"/>
      <c r="M3" s="75"/>
      <c r="N3" s="75">
        <f t="shared" si="0"/>
        <v>84</v>
      </c>
      <c r="O3" s="75">
        <f t="shared" si="0"/>
        <v>26196</v>
      </c>
      <c r="P3" s="58">
        <f>IF(G3=0,0,O3/G3)</f>
        <v>0.59802757739019263</v>
      </c>
      <c r="Q3" s="76">
        <f>IF(N3=0,0,O3/N3)</f>
        <v>311.85714285714283</v>
      </c>
    </row>
    <row r="4" spans="1:17" ht="14.4" customHeight="1" x14ac:dyDescent="0.3">
      <c r="A4" s="289" t="s">
        <v>45</v>
      </c>
      <c r="B4" s="288" t="s">
        <v>71</v>
      </c>
      <c r="C4" s="289" t="s">
        <v>72</v>
      </c>
      <c r="D4" s="298" t="s">
        <v>73</v>
      </c>
      <c r="E4" s="290" t="s">
        <v>46</v>
      </c>
      <c r="F4" s="296">
        <v>2014</v>
      </c>
      <c r="G4" s="297"/>
      <c r="H4" s="77"/>
      <c r="I4" s="77"/>
      <c r="J4" s="296">
        <v>2015</v>
      </c>
      <c r="K4" s="297"/>
      <c r="L4" s="77"/>
      <c r="M4" s="77"/>
      <c r="N4" s="296">
        <v>2016</v>
      </c>
      <c r="O4" s="297"/>
      <c r="P4" s="299" t="s">
        <v>1</v>
      </c>
      <c r="Q4" s="287" t="s">
        <v>74</v>
      </c>
    </row>
    <row r="5" spans="1:17" ht="14.4" customHeight="1" thickBot="1" x14ac:dyDescent="0.35">
      <c r="A5" s="380"/>
      <c r="B5" s="378"/>
      <c r="C5" s="380"/>
      <c r="D5" s="402"/>
      <c r="E5" s="382"/>
      <c r="F5" s="403" t="s">
        <v>48</v>
      </c>
      <c r="G5" s="404" t="s">
        <v>4</v>
      </c>
      <c r="H5" s="405"/>
      <c r="I5" s="405"/>
      <c r="J5" s="403" t="s">
        <v>48</v>
      </c>
      <c r="K5" s="404" t="s">
        <v>4</v>
      </c>
      <c r="L5" s="405"/>
      <c r="M5" s="405"/>
      <c r="N5" s="403" t="s">
        <v>48</v>
      </c>
      <c r="O5" s="404" t="s">
        <v>4</v>
      </c>
      <c r="P5" s="406"/>
      <c r="Q5" s="387"/>
    </row>
    <row r="6" spans="1:17" ht="14.4" customHeight="1" x14ac:dyDescent="0.3">
      <c r="A6" s="368" t="s">
        <v>272</v>
      </c>
      <c r="B6" s="388" t="s">
        <v>250</v>
      </c>
      <c r="C6" s="388" t="s">
        <v>251</v>
      </c>
      <c r="D6" s="388" t="s">
        <v>254</v>
      </c>
      <c r="E6" s="388" t="s">
        <v>255</v>
      </c>
      <c r="F6" s="369">
        <v>6</v>
      </c>
      <c r="G6" s="369">
        <v>1980</v>
      </c>
      <c r="H6" s="369">
        <v>1</v>
      </c>
      <c r="I6" s="369">
        <v>330</v>
      </c>
      <c r="J6" s="369">
        <v>7</v>
      </c>
      <c r="K6" s="369">
        <v>2317</v>
      </c>
      <c r="L6" s="369">
        <v>1.1702020202020202</v>
      </c>
      <c r="M6" s="369">
        <v>331</v>
      </c>
      <c r="N6" s="369">
        <v>8</v>
      </c>
      <c r="O6" s="369">
        <v>2832</v>
      </c>
      <c r="P6" s="389">
        <v>1.4303030303030304</v>
      </c>
      <c r="Q6" s="390">
        <v>354</v>
      </c>
    </row>
    <row r="7" spans="1:17" ht="14.4" customHeight="1" x14ac:dyDescent="0.3">
      <c r="A7" s="395" t="s">
        <v>272</v>
      </c>
      <c r="B7" s="397" t="s">
        <v>250</v>
      </c>
      <c r="C7" s="397" t="s">
        <v>251</v>
      </c>
      <c r="D7" s="397" t="s">
        <v>273</v>
      </c>
      <c r="E7" s="397" t="s">
        <v>274</v>
      </c>
      <c r="F7" s="407">
        <v>1</v>
      </c>
      <c r="G7" s="407">
        <v>164</v>
      </c>
      <c r="H7" s="407">
        <v>1</v>
      </c>
      <c r="I7" s="407">
        <v>164</v>
      </c>
      <c r="J7" s="407">
        <v>5</v>
      </c>
      <c r="K7" s="407">
        <v>825</v>
      </c>
      <c r="L7" s="407">
        <v>5.0304878048780486</v>
      </c>
      <c r="M7" s="407">
        <v>165</v>
      </c>
      <c r="N7" s="407">
        <v>3</v>
      </c>
      <c r="O7" s="407">
        <v>531</v>
      </c>
      <c r="P7" s="398">
        <v>3.2378048780487805</v>
      </c>
      <c r="Q7" s="408">
        <v>177</v>
      </c>
    </row>
    <row r="8" spans="1:17" ht="14.4" customHeight="1" x14ac:dyDescent="0.3">
      <c r="A8" s="395" t="s">
        <v>275</v>
      </c>
      <c r="B8" s="397" t="s">
        <v>250</v>
      </c>
      <c r="C8" s="397" t="s">
        <v>251</v>
      </c>
      <c r="D8" s="397" t="s">
        <v>254</v>
      </c>
      <c r="E8" s="397" t="s">
        <v>255</v>
      </c>
      <c r="F8" s="407">
        <v>55</v>
      </c>
      <c r="G8" s="407">
        <v>18114</v>
      </c>
      <c r="H8" s="407">
        <v>1</v>
      </c>
      <c r="I8" s="407">
        <v>329.34545454545457</v>
      </c>
      <c r="J8" s="407">
        <v>18</v>
      </c>
      <c r="K8" s="407">
        <v>5958</v>
      </c>
      <c r="L8" s="407">
        <v>0.32891685988737995</v>
      </c>
      <c r="M8" s="407">
        <v>331</v>
      </c>
      <c r="N8" s="407">
        <v>8</v>
      </c>
      <c r="O8" s="407">
        <v>2832</v>
      </c>
      <c r="P8" s="398">
        <v>0.15634315998675058</v>
      </c>
      <c r="Q8" s="408">
        <v>354</v>
      </c>
    </row>
    <row r="9" spans="1:17" ht="14.4" customHeight="1" x14ac:dyDescent="0.3">
      <c r="A9" s="395" t="s">
        <v>275</v>
      </c>
      <c r="B9" s="397" t="s">
        <v>250</v>
      </c>
      <c r="C9" s="397" t="s">
        <v>251</v>
      </c>
      <c r="D9" s="397" t="s">
        <v>273</v>
      </c>
      <c r="E9" s="397" t="s">
        <v>274</v>
      </c>
      <c r="F9" s="407">
        <v>9</v>
      </c>
      <c r="G9" s="407">
        <v>1473</v>
      </c>
      <c r="H9" s="407">
        <v>1</v>
      </c>
      <c r="I9" s="407">
        <v>163.66666666666666</v>
      </c>
      <c r="J9" s="407">
        <v>2</v>
      </c>
      <c r="K9" s="407">
        <v>330</v>
      </c>
      <c r="L9" s="407">
        <v>0.22403258655804481</v>
      </c>
      <c r="M9" s="407">
        <v>165</v>
      </c>
      <c r="N9" s="407">
        <v>5</v>
      </c>
      <c r="O9" s="407">
        <v>885</v>
      </c>
      <c r="P9" s="398">
        <v>0.60081466395112015</v>
      </c>
      <c r="Q9" s="408">
        <v>177</v>
      </c>
    </row>
    <row r="10" spans="1:17" ht="14.4" customHeight="1" x14ac:dyDescent="0.3">
      <c r="A10" s="395" t="s">
        <v>276</v>
      </c>
      <c r="B10" s="397" t="s">
        <v>250</v>
      </c>
      <c r="C10" s="397" t="s">
        <v>251</v>
      </c>
      <c r="D10" s="397" t="s">
        <v>254</v>
      </c>
      <c r="E10" s="397" t="s">
        <v>255</v>
      </c>
      <c r="F10" s="407">
        <v>25</v>
      </c>
      <c r="G10" s="407">
        <v>8247</v>
      </c>
      <c r="H10" s="407">
        <v>1</v>
      </c>
      <c r="I10" s="407">
        <v>329.88</v>
      </c>
      <c r="J10" s="407">
        <v>44</v>
      </c>
      <c r="K10" s="407">
        <v>14564</v>
      </c>
      <c r="L10" s="407">
        <v>1.7659755062446951</v>
      </c>
      <c r="M10" s="407">
        <v>331</v>
      </c>
      <c r="N10" s="407">
        <v>6</v>
      </c>
      <c r="O10" s="407">
        <v>2124</v>
      </c>
      <c r="P10" s="398">
        <v>0.25754819934521644</v>
      </c>
      <c r="Q10" s="408">
        <v>354</v>
      </c>
    </row>
    <row r="11" spans="1:17" ht="14.4" customHeight="1" x14ac:dyDescent="0.3">
      <c r="A11" s="395" t="s">
        <v>276</v>
      </c>
      <c r="B11" s="397" t="s">
        <v>250</v>
      </c>
      <c r="C11" s="397" t="s">
        <v>251</v>
      </c>
      <c r="D11" s="397" t="s">
        <v>273</v>
      </c>
      <c r="E11" s="397" t="s">
        <v>274</v>
      </c>
      <c r="F11" s="407">
        <v>2</v>
      </c>
      <c r="G11" s="407">
        <v>328</v>
      </c>
      <c r="H11" s="407">
        <v>1</v>
      </c>
      <c r="I11" s="407">
        <v>164</v>
      </c>
      <c r="J11" s="407">
        <v>14</v>
      </c>
      <c r="K11" s="407">
        <v>2310</v>
      </c>
      <c r="L11" s="407">
        <v>7.0426829268292686</v>
      </c>
      <c r="M11" s="407">
        <v>165</v>
      </c>
      <c r="N11" s="407">
        <v>2</v>
      </c>
      <c r="O11" s="407">
        <v>354</v>
      </c>
      <c r="P11" s="398">
        <v>1.0792682926829269</v>
      </c>
      <c r="Q11" s="408">
        <v>177</v>
      </c>
    </row>
    <row r="12" spans="1:17" ht="14.4" customHeight="1" x14ac:dyDescent="0.3">
      <c r="A12" s="395" t="s">
        <v>277</v>
      </c>
      <c r="B12" s="397" t="s">
        <v>250</v>
      </c>
      <c r="C12" s="397" t="s">
        <v>251</v>
      </c>
      <c r="D12" s="397" t="s">
        <v>254</v>
      </c>
      <c r="E12" s="397" t="s">
        <v>255</v>
      </c>
      <c r="F12" s="407"/>
      <c r="G12" s="407"/>
      <c r="H12" s="407"/>
      <c r="I12" s="407"/>
      <c r="J12" s="407">
        <v>1</v>
      </c>
      <c r="K12" s="407">
        <v>331</v>
      </c>
      <c r="L12" s="407"/>
      <c r="M12" s="407">
        <v>331</v>
      </c>
      <c r="N12" s="407"/>
      <c r="O12" s="407"/>
      <c r="P12" s="398"/>
      <c r="Q12" s="408"/>
    </row>
    <row r="13" spans="1:17" ht="14.4" customHeight="1" x14ac:dyDescent="0.3">
      <c r="A13" s="395" t="s">
        <v>277</v>
      </c>
      <c r="B13" s="397" t="s">
        <v>250</v>
      </c>
      <c r="C13" s="397" t="s">
        <v>251</v>
      </c>
      <c r="D13" s="397" t="s">
        <v>273</v>
      </c>
      <c r="E13" s="397" t="s">
        <v>274</v>
      </c>
      <c r="F13" s="407"/>
      <c r="G13" s="407"/>
      <c r="H13" s="407"/>
      <c r="I13" s="407"/>
      <c r="J13" s="407">
        <v>1</v>
      </c>
      <c r="K13" s="407">
        <v>165</v>
      </c>
      <c r="L13" s="407"/>
      <c r="M13" s="407">
        <v>165</v>
      </c>
      <c r="N13" s="407"/>
      <c r="O13" s="407"/>
      <c r="P13" s="398"/>
      <c r="Q13" s="408"/>
    </row>
    <row r="14" spans="1:17" ht="14.4" customHeight="1" x14ac:dyDescent="0.3">
      <c r="A14" s="395" t="s">
        <v>278</v>
      </c>
      <c r="B14" s="397" t="s">
        <v>250</v>
      </c>
      <c r="C14" s="397" t="s">
        <v>251</v>
      </c>
      <c r="D14" s="397" t="s">
        <v>254</v>
      </c>
      <c r="E14" s="397" t="s">
        <v>255</v>
      </c>
      <c r="F14" s="407">
        <v>9</v>
      </c>
      <c r="G14" s="407">
        <v>2970</v>
      </c>
      <c r="H14" s="407">
        <v>1</v>
      </c>
      <c r="I14" s="407">
        <v>330</v>
      </c>
      <c r="J14" s="407">
        <v>12</v>
      </c>
      <c r="K14" s="407">
        <v>3972</v>
      </c>
      <c r="L14" s="407">
        <v>1.3373737373737373</v>
      </c>
      <c r="M14" s="407">
        <v>331</v>
      </c>
      <c r="N14" s="407">
        <v>9</v>
      </c>
      <c r="O14" s="407">
        <v>3186</v>
      </c>
      <c r="P14" s="398">
        <v>1.0727272727272728</v>
      </c>
      <c r="Q14" s="408">
        <v>354</v>
      </c>
    </row>
    <row r="15" spans="1:17" ht="14.4" customHeight="1" x14ac:dyDescent="0.3">
      <c r="A15" s="395" t="s">
        <v>278</v>
      </c>
      <c r="B15" s="397" t="s">
        <v>250</v>
      </c>
      <c r="C15" s="397" t="s">
        <v>251</v>
      </c>
      <c r="D15" s="397" t="s">
        <v>273</v>
      </c>
      <c r="E15" s="397" t="s">
        <v>274</v>
      </c>
      <c r="F15" s="407">
        <v>3</v>
      </c>
      <c r="G15" s="407">
        <v>492</v>
      </c>
      <c r="H15" s="407">
        <v>1</v>
      </c>
      <c r="I15" s="407">
        <v>164</v>
      </c>
      <c r="J15" s="407">
        <v>8</v>
      </c>
      <c r="K15" s="407">
        <v>1320</v>
      </c>
      <c r="L15" s="407">
        <v>2.6829268292682928</v>
      </c>
      <c r="M15" s="407">
        <v>165</v>
      </c>
      <c r="N15" s="407">
        <v>2</v>
      </c>
      <c r="O15" s="407">
        <v>354</v>
      </c>
      <c r="P15" s="398">
        <v>0.71951219512195119</v>
      </c>
      <c r="Q15" s="408">
        <v>177</v>
      </c>
    </row>
    <row r="16" spans="1:17" ht="14.4" customHeight="1" x14ac:dyDescent="0.3">
      <c r="A16" s="395" t="s">
        <v>279</v>
      </c>
      <c r="B16" s="397" t="s">
        <v>250</v>
      </c>
      <c r="C16" s="397" t="s">
        <v>251</v>
      </c>
      <c r="D16" s="397" t="s">
        <v>254</v>
      </c>
      <c r="E16" s="397" t="s">
        <v>255</v>
      </c>
      <c r="F16" s="407"/>
      <c r="G16" s="407"/>
      <c r="H16" s="407"/>
      <c r="I16" s="407"/>
      <c r="J16" s="407"/>
      <c r="K16" s="407"/>
      <c r="L16" s="407"/>
      <c r="M16" s="407"/>
      <c r="N16" s="407">
        <v>1</v>
      </c>
      <c r="O16" s="407">
        <v>354</v>
      </c>
      <c r="P16" s="398"/>
      <c r="Q16" s="408">
        <v>354</v>
      </c>
    </row>
    <row r="17" spans="1:17" ht="14.4" customHeight="1" x14ac:dyDescent="0.3">
      <c r="A17" s="395" t="s">
        <v>280</v>
      </c>
      <c r="B17" s="397" t="s">
        <v>250</v>
      </c>
      <c r="C17" s="397" t="s">
        <v>251</v>
      </c>
      <c r="D17" s="397" t="s">
        <v>254</v>
      </c>
      <c r="E17" s="397" t="s">
        <v>255</v>
      </c>
      <c r="F17" s="407">
        <v>5</v>
      </c>
      <c r="G17" s="407">
        <v>1647</v>
      </c>
      <c r="H17" s="407">
        <v>1</v>
      </c>
      <c r="I17" s="407">
        <v>329.4</v>
      </c>
      <c r="J17" s="407">
        <v>7</v>
      </c>
      <c r="K17" s="407">
        <v>2317</v>
      </c>
      <c r="L17" s="407">
        <v>1.4068002428658166</v>
      </c>
      <c r="M17" s="407">
        <v>331</v>
      </c>
      <c r="N17" s="407">
        <v>10</v>
      </c>
      <c r="O17" s="407">
        <v>3540</v>
      </c>
      <c r="P17" s="398">
        <v>2.1493624772313296</v>
      </c>
      <c r="Q17" s="408">
        <v>354</v>
      </c>
    </row>
    <row r="18" spans="1:17" ht="14.4" customHeight="1" x14ac:dyDescent="0.3">
      <c r="A18" s="395" t="s">
        <v>280</v>
      </c>
      <c r="B18" s="397" t="s">
        <v>250</v>
      </c>
      <c r="C18" s="397" t="s">
        <v>251</v>
      </c>
      <c r="D18" s="397" t="s">
        <v>273</v>
      </c>
      <c r="E18" s="397" t="s">
        <v>274</v>
      </c>
      <c r="F18" s="407">
        <v>4</v>
      </c>
      <c r="G18" s="407">
        <v>655</v>
      </c>
      <c r="H18" s="407">
        <v>1</v>
      </c>
      <c r="I18" s="407">
        <v>163.75</v>
      </c>
      <c r="J18" s="407">
        <v>3</v>
      </c>
      <c r="K18" s="407">
        <v>495</v>
      </c>
      <c r="L18" s="407">
        <v>0.75572519083969469</v>
      </c>
      <c r="M18" s="407">
        <v>165</v>
      </c>
      <c r="N18" s="407">
        <v>4</v>
      </c>
      <c r="O18" s="407">
        <v>708</v>
      </c>
      <c r="P18" s="398">
        <v>1.080916030534351</v>
      </c>
      <c r="Q18" s="408">
        <v>177</v>
      </c>
    </row>
    <row r="19" spans="1:17" ht="14.4" customHeight="1" x14ac:dyDescent="0.3">
      <c r="A19" s="395" t="s">
        <v>281</v>
      </c>
      <c r="B19" s="397" t="s">
        <v>250</v>
      </c>
      <c r="C19" s="397" t="s">
        <v>251</v>
      </c>
      <c r="D19" s="397" t="s">
        <v>254</v>
      </c>
      <c r="E19" s="397" t="s">
        <v>255</v>
      </c>
      <c r="F19" s="407">
        <v>5</v>
      </c>
      <c r="G19" s="407">
        <v>1650</v>
      </c>
      <c r="H19" s="407">
        <v>1</v>
      </c>
      <c r="I19" s="407">
        <v>330</v>
      </c>
      <c r="J19" s="407">
        <v>3</v>
      </c>
      <c r="K19" s="407">
        <v>993</v>
      </c>
      <c r="L19" s="407">
        <v>0.60181818181818181</v>
      </c>
      <c r="M19" s="407">
        <v>331</v>
      </c>
      <c r="N19" s="407">
        <v>5</v>
      </c>
      <c r="O19" s="407">
        <v>1770</v>
      </c>
      <c r="P19" s="398">
        <v>1.0727272727272728</v>
      </c>
      <c r="Q19" s="408">
        <v>354</v>
      </c>
    </row>
    <row r="20" spans="1:17" ht="14.4" customHeight="1" x14ac:dyDescent="0.3">
      <c r="A20" s="395" t="s">
        <v>281</v>
      </c>
      <c r="B20" s="397" t="s">
        <v>250</v>
      </c>
      <c r="C20" s="397" t="s">
        <v>251</v>
      </c>
      <c r="D20" s="397" t="s">
        <v>273</v>
      </c>
      <c r="E20" s="397" t="s">
        <v>274</v>
      </c>
      <c r="F20" s="407">
        <v>1</v>
      </c>
      <c r="G20" s="407">
        <v>164</v>
      </c>
      <c r="H20" s="407">
        <v>1</v>
      </c>
      <c r="I20" s="407">
        <v>164</v>
      </c>
      <c r="J20" s="407">
        <v>1</v>
      </c>
      <c r="K20" s="407">
        <v>165</v>
      </c>
      <c r="L20" s="407">
        <v>1.0060975609756098</v>
      </c>
      <c r="M20" s="407">
        <v>165</v>
      </c>
      <c r="N20" s="407"/>
      <c r="O20" s="407"/>
      <c r="P20" s="398"/>
      <c r="Q20" s="408"/>
    </row>
    <row r="21" spans="1:17" ht="14.4" customHeight="1" x14ac:dyDescent="0.3">
      <c r="A21" s="395" t="s">
        <v>282</v>
      </c>
      <c r="B21" s="397" t="s">
        <v>250</v>
      </c>
      <c r="C21" s="397" t="s">
        <v>251</v>
      </c>
      <c r="D21" s="397" t="s">
        <v>254</v>
      </c>
      <c r="E21" s="397" t="s">
        <v>255</v>
      </c>
      <c r="F21" s="407">
        <v>1</v>
      </c>
      <c r="G21" s="407">
        <v>330</v>
      </c>
      <c r="H21" s="407">
        <v>1</v>
      </c>
      <c r="I21" s="407">
        <v>330</v>
      </c>
      <c r="J21" s="407">
        <v>3</v>
      </c>
      <c r="K21" s="407">
        <v>993</v>
      </c>
      <c r="L21" s="407">
        <v>3.0090909090909093</v>
      </c>
      <c r="M21" s="407">
        <v>331</v>
      </c>
      <c r="N21" s="407">
        <v>1</v>
      </c>
      <c r="O21" s="407">
        <v>354</v>
      </c>
      <c r="P21" s="398">
        <v>1.0727272727272728</v>
      </c>
      <c r="Q21" s="408">
        <v>354</v>
      </c>
    </row>
    <row r="22" spans="1:17" ht="14.4" customHeight="1" x14ac:dyDescent="0.3">
      <c r="A22" s="395" t="s">
        <v>283</v>
      </c>
      <c r="B22" s="397" t="s">
        <v>250</v>
      </c>
      <c r="C22" s="397" t="s">
        <v>251</v>
      </c>
      <c r="D22" s="397" t="s">
        <v>254</v>
      </c>
      <c r="E22" s="397" t="s">
        <v>255</v>
      </c>
      <c r="F22" s="407">
        <v>1</v>
      </c>
      <c r="G22" s="407">
        <v>330</v>
      </c>
      <c r="H22" s="407">
        <v>1</v>
      </c>
      <c r="I22" s="407">
        <v>330</v>
      </c>
      <c r="J22" s="407">
        <v>2</v>
      </c>
      <c r="K22" s="407">
        <v>662</v>
      </c>
      <c r="L22" s="407">
        <v>2.0060606060606059</v>
      </c>
      <c r="M22" s="407">
        <v>331</v>
      </c>
      <c r="N22" s="407">
        <v>1</v>
      </c>
      <c r="O22" s="407">
        <v>354</v>
      </c>
      <c r="P22" s="398">
        <v>1.0727272727272728</v>
      </c>
      <c r="Q22" s="408">
        <v>354</v>
      </c>
    </row>
    <row r="23" spans="1:17" ht="14.4" customHeight="1" x14ac:dyDescent="0.3">
      <c r="A23" s="395" t="s">
        <v>283</v>
      </c>
      <c r="B23" s="397" t="s">
        <v>250</v>
      </c>
      <c r="C23" s="397" t="s">
        <v>251</v>
      </c>
      <c r="D23" s="397" t="s">
        <v>273</v>
      </c>
      <c r="E23" s="397" t="s">
        <v>274</v>
      </c>
      <c r="F23" s="407">
        <v>1</v>
      </c>
      <c r="G23" s="407">
        <v>164</v>
      </c>
      <c r="H23" s="407">
        <v>1</v>
      </c>
      <c r="I23" s="407">
        <v>164</v>
      </c>
      <c r="J23" s="407">
        <v>1</v>
      </c>
      <c r="K23" s="407">
        <v>165</v>
      </c>
      <c r="L23" s="407">
        <v>1.0060975609756098</v>
      </c>
      <c r="M23" s="407">
        <v>165</v>
      </c>
      <c r="N23" s="407"/>
      <c r="O23" s="407"/>
      <c r="P23" s="398"/>
      <c r="Q23" s="408"/>
    </row>
    <row r="24" spans="1:17" ht="14.4" customHeight="1" x14ac:dyDescent="0.3">
      <c r="A24" s="395" t="s">
        <v>284</v>
      </c>
      <c r="B24" s="397" t="s">
        <v>250</v>
      </c>
      <c r="C24" s="397" t="s">
        <v>251</v>
      </c>
      <c r="D24" s="397" t="s">
        <v>254</v>
      </c>
      <c r="E24" s="397" t="s">
        <v>255</v>
      </c>
      <c r="F24" s="407">
        <v>3</v>
      </c>
      <c r="G24" s="407">
        <v>987</v>
      </c>
      <c r="H24" s="407">
        <v>1</v>
      </c>
      <c r="I24" s="407">
        <v>329</v>
      </c>
      <c r="J24" s="407">
        <v>4</v>
      </c>
      <c r="K24" s="407">
        <v>1324</v>
      </c>
      <c r="L24" s="407">
        <v>1.3414387031408308</v>
      </c>
      <c r="M24" s="407">
        <v>331</v>
      </c>
      <c r="N24" s="407">
        <v>1</v>
      </c>
      <c r="O24" s="407">
        <v>354</v>
      </c>
      <c r="P24" s="398">
        <v>0.35866261398176291</v>
      </c>
      <c r="Q24" s="408">
        <v>354</v>
      </c>
    </row>
    <row r="25" spans="1:17" ht="14.4" customHeight="1" x14ac:dyDescent="0.3">
      <c r="A25" s="395" t="s">
        <v>284</v>
      </c>
      <c r="B25" s="397" t="s">
        <v>250</v>
      </c>
      <c r="C25" s="397" t="s">
        <v>251</v>
      </c>
      <c r="D25" s="397" t="s">
        <v>273</v>
      </c>
      <c r="E25" s="397" t="s">
        <v>274</v>
      </c>
      <c r="F25" s="407"/>
      <c r="G25" s="407"/>
      <c r="H25" s="407"/>
      <c r="I25" s="407"/>
      <c r="J25" s="407">
        <v>1</v>
      </c>
      <c r="K25" s="407">
        <v>165</v>
      </c>
      <c r="L25" s="407"/>
      <c r="M25" s="407">
        <v>165</v>
      </c>
      <c r="N25" s="407"/>
      <c r="O25" s="407"/>
      <c r="P25" s="398"/>
      <c r="Q25" s="408"/>
    </row>
    <row r="26" spans="1:17" ht="14.4" customHeight="1" x14ac:dyDescent="0.3">
      <c r="A26" s="395" t="s">
        <v>285</v>
      </c>
      <c r="B26" s="397" t="s">
        <v>250</v>
      </c>
      <c r="C26" s="397" t="s">
        <v>251</v>
      </c>
      <c r="D26" s="397" t="s">
        <v>254</v>
      </c>
      <c r="E26" s="397" t="s">
        <v>255</v>
      </c>
      <c r="F26" s="407">
        <v>9</v>
      </c>
      <c r="G26" s="407">
        <v>2958</v>
      </c>
      <c r="H26" s="407">
        <v>1</v>
      </c>
      <c r="I26" s="407">
        <v>328.66666666666669</v>
      </c>
      <c r="J26" s="407">
        <v>5</v>
      </c>
      <c r="K26" s="407">
        <v>1655</v>
      </c>
      <c r="L26" s="407">
        <v>0.55949966193373901</v>
      </c>
      <c r="M26" s="407">
        <v>331</v>
      </c>
      <c r="N26" s="407">
        <v>8</v>
      </c>
      <c r="O26" s="407">
        <v>2832</v>
      </c>
      <c r="P26" s="398">
        <v>0.95740365111561865</v>
      </c>
      <c r="Q26" s="408">
        <v>354</v>
      </c>
    </row>
    <row r="27" spans="1:17" ht="14.4" customHeight="1" x14ac:dyDescent="0.3">
      <c r="A27" s="395" t="s">
        <v>285</v>
      </c>
      <c r="B27" s="397" t="s">
        <v>250</v>
      </c>
      <c r="C27" s="397" t="s">
        <v>251</v>
      </c>
      <c r="D27" s="397" t="s">
        <v>273</v>
      </c>
      <c r="E27" s="397" t="s">
        <v>274</v>
      </c>
      <c r="F27" s="407">
        <v>1</v>
      </c>
      <c r="G27" s="407">
        <v>164</v>
      </c>
      <c r="H27" s="407">
        <v>1</v>
      </c>
      <c r="I27" s="407">
        <v>164</v>
      </c>
      <c r="J27" s="407">
        <v>2</v>
      </c>
      <c r="K27" s="407">
        <v>330</v>
      </c>
      <c r="L27" s="407">
        <v>2.0121951219512195</v>
      </c>
      <c r="M27" s="407">
        <v>165</v>
      </c>
      <c r="N27" s="407">
        <v>1</v>
      </c>
      <c r="O27" s="407">
        <v>177</v>
      </c>
      <c r="P27" s="398">
        <v>1.0792682926829269</v>
      </c>
      <c r="Q27" s="408">
        <v>177</v>
      </c>
    </row>
    <row r="28" spans="1:17" ht="14.4" customHeight="1" x14ac:dyDescent="0.3">
      <c r="A28" s="395" t="s">
        <v>286</v>
      </c>
      <c r="B28" s="397" t="s">
        <v>250</v>
      </c>
      <c r="C28" s="397" t="s">
        <v>251</v>
      </c>
      <c r="D28" s="397" t="s">
        <v>254</v>
      </c>
      <c r="E28" s="397" t="s">
        <v>255</v>
      </c>
      <c r="F28" s="407">
        <v>1</v>
      </c>
      <c r="G28" s="407">
        <v>330</v>
      </c>
      <c r="H28" s="407">
        <v>1</v>
      </c>
      <c r="I28" s="407">
        <v>330</v>
      </c>
      <c r="J28" s="407"/>
      <c r="K28" s="407"/>
      <c r="L28" s="407"/>
      <c r="M28" s="407"/>
      <c r="N28" s="407">
        <v>2</v>
      </c>
      <c r="O28" s="407">
        <v>708</v>
      </c>
      <c r="P28" s="398">
        <v>2.1454545454545455</v>
      </c>
      <c r="Q28" s="408">
        <v>354</v>
      </c>
    </row>
    <row r="29" spans="1:17" ht="14.4" customHeight="1" x14ac:dyDescent="0.3">
      <c r="A29" s="395" t="s">
        <v>287</v>
      </c>
      <c r="B29" s="397" t="s">
        <v>250</v>
      </c>
      <c r="C29" s="397" t="s">
        <v>251</v>
      </c>
      <c r="D29" s="397" t="s">
        <v>254</v>
      </c>
      <c r="E29" s="397" t="s">
        <v>255</v>
      </c>
      <c r="F29" s="407">
        <v>1</v>
      </c>
      <c r="G29" s="407">
        <v>330</v>
      </c>
      <c r="H29" s="407">
        <v>1</v>
      </c>
      <c r="I29" s="407">
        <v>330</v>
      </c>
      <c r="J29" s="407">
        <v>1</v>
      </c>
      <c r="K29" s="407">
        <v>331</v>
      </c>
      <c r="L29" s="407">
        <v>1.0030303030303029</v>
      </c>
      <c r="M29" s="407">
        <v>331</v>
      </c>
      <c r="N29" s="407">
        <v>2</v>
      </c>
      <c r="O29" s="407">
        <v>708</v>
      </c>
      <c r="P29" s="398">
        <v>2.1454545454545455</v>
      </c>
      <c r="Q29" s="408">
        <v>354</v>
      </c>
    </row>
    <row r="30" spans="1:17" ht="14.4" customHeight="1" x14ac:dyDescent="0.3">
      <c r="A30" s="395" t="s">
        <v>287</v>
      </c>
      <c r="B30" s="397" t="s">
        <v>250</v>
      </c>
      <c r="C30" s="397" t="s">
        <v>251</v>
      </c>
      <c r="D30" s="397" t="s">
        <v>273</v>
      </c>
      <c r="E30" s="397" t="s">
        <v>274</v>
      </c>
      <c r="F30" s="407"/>
      <c r="G30" s="407"/>
      <c r="H30" s="407"/>
      <c r="I30" s="407"/>
      <c r="J30" s="407">
        <v>1</v>
      </c>
      <c r="K30" s="407">
        <v>165</v>
      </c>
      <c r="L30" s="407"/>
      <c r="M30" s="407">
        <v>165</v>
      </c>
      <c r="N30" s="407">
        <v>2</v>
      </c>
      <c r="O30" s="407">
        <v>354</v>
      </c>
      <c r="P30" s="398"/>
      <c r="Q30" s="408">
        <v>177</v>
      </c>
    </row>
    <row r="31" spans="1:17" ht="14.4" customHeight="1" x14ac:dyDescent="0.3">
      <c r="A31" s="395" t="s">
        <v>288</v>
      </c>
      <c r="B31" s="397" t="s">
        <v>250</v>
      </c>
      <c r="C31" s="397" t="s">
        <v>251</v>
      </c>
      <c r="D31" s="397" t="s">
        <v>254</v>
      </c>
      <c r="E31" s="397" t="s">
        <v>255</v>
      </c>
      <c r="F31" s="407">
        <v>1</v>
      </c>
      <c r="G31" s="407">
        <v>327</v>
      </c>
      <c r="H31" s="407">
        <v>1</v>
      </c>
      <c r="I31" s="407">
        <v>327</v>
      </c>
      <c r="J31" s="407">
        <v>1</v>
      </c>
      <c r="K31" s="407">
        <v>331</v>
      </c>
      <c r="L31" s="407">
        <v>1.0122324159021407</v>
      </c>
      <c r="M31" s="407">
        <v>331</v>
      </c>
      <c r="N31" s="407">
        <v>2</v>
      </c>
      <c r="O31" s="407">
        <v>708</v>
      </c>
      <c r="P31" s="398">
        <v>2.165137614678899</v>
      </c>
      <c r="Q31" s="408">
        <v>354</v>
      </c>
    </row>
    <row r="32" spans="1:17" ht="14.4" customHeight="1" thickBot="1" x14ac:dyDescent="0.35">
      <c r="A32" s="372" t="s">
        <v>288</v>
      </c>
      <c r="B32" s="391" t="s">
        <v>250</v>
      </c>
      <c r="C32" s="391" t="s">
        <v>251</v>
      </c>
      <c r="D32" s="391" t="s">
        <v>273</v>
      </c>
      <c r="E32" s="391" t="s">
        <v>274</v>
      </c>
      <c r="F32" s="373"/>
      <c r="G32" s="373"/>
      <c r="H32" s="373"/>
      <c r="I32" s="373"/>
      <c r="J32" s="373">
        <v>2</v>
      </c>
      <c r="K32" s="373">
        <v>330</v>
      </c>
      <c r="L32" s="373"/>
      <c r="M32" s="373">
        <v>165</v>
      </c>
      <c r="N32" s="373">
        <v>1</v>
      </c>
      <c r="O32" s="373">
        <v>177</v>
      </c>
      <c r="P32" s="392"/>
      <c r="Q32" s="393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1" t="s">
        <v>91</v>
      </c>
      <c r="B1" s="251"/>
      <c r="C1" s="252"/>
      <c r="D1" s="252"/>
      <c r="E1" s="252"/>
    </row>
    <row r="2" spans="1:5" ht="14.4" customHeight="1" thickBot="1" x14ac:dyDescent="0.35">
      <c r="A2" s="191" t="s">
        <v>184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1770.9885263038361</v>
      </c>
      <c r="D4" s="130">
        <f ca="1">IF(ISERROR(VLOOKUP("Náklady celkem",INDIRECT("HI!$A:$G"),5,0)),0,VLOOKUP("Náklady celkem",INDIRECT("HI!$A:$G"),5,0))</f>
        <v>1895.8334700000009</v>
      </c>
      <c r="E4" s="131">
        <f ca="1">IF(C4=0,0,D4/C4)</f>
        <v>1.0704944960635765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1766.1458638701858</v>
      </c>
      <c r="D12" s="134">
        <f ca="1">IF(ISERROR(VLOOKUP("Osobní náklady (Kč) *",INDIRECT("HI!$A:$G"),5,0)),0,VLOOKUP("Osobní náklady (Kč) *",INDIRECT("HI!$A:$G"),5,0))</f>
        <v>1887.9484000000009</v>
      </c>
      <c r="E12" s="135">
        <f ca="1">IF(C12=0,0,D12/C12)</f>
        <v>1.0689651622901106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0.59802757739019263</v>
      </c>
      <c r="E17" s="135">
        <f t="shared" si="1"/>
        <v>0.70356185575316788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1" t="s">
        <v>100</v>
      </c>
      <c r="B1" s="251"/>
      <c r="C1" s="251"/>
      <c r="D1" s="251"/>
      <c r="E1" s="251"/>
      <c r="F1" s="251"/>
      <c r="G1" s="252"/>
      <c r="H1" s="252"/>
    </row>
    <row r="2" spans="1:8" ht="14.4" customHeight="1" thickBot="1" x14ac:dyDescent="0.35">
      <c r="A2" s="191" t="s">
        <v>184</v>
      </c>
      <c r="B2" s="83"/>
      <c r="C2" s="83"/>
      <c r="D2" s="83"/>
      <c r="E2" s="83"/>
      <c r="F2" s="83"/>
    </row>
    <row r="3" spans="1:8" ht="14.4" customHeight="1" x14ac:dyDescent="0.3">
      <c r="A3" s="253"/>
      <c r="B3" s="79">
        <v>2014</v>
      </c>
      <c r="C3" s="40">
        <v>2015</v>
      </c>
      <c r="D3" s="7"/>
      <c r="E3" s="257">
        <v>2016</v>
      </c>
      <c r="F3" s="258"/>
      <c r="G3" s="258"/>
      <c r="H3" s="259"/>
    </row>
    <row r="4" spans="1:8" ht="14.4" customHeight="1" thickBot="1" x14ac:dyDescent="0.35">
      <c r="A4" s="254"/>
      <c r="B4" s="255" t="s">
        <v>49</v>
      </c>
      <c r="C4" s="256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1535.107230000001</v>
      </c>
      <c r="C7" s="31">
        <v>1751.3666999999998</v>
      </c>
      <c r="D7" s="8"/>
      <c r="E7" s="90">
        <v>1887.9484000000009</v>
      </c>
      <c r="F7" s="30">
        <v>1766.1458638701858</v>
      </c>
      <c r="G7" s="91">
        <f>E7-F7</f>
        <v>121.80253612981505</v>
      </c>
      <c r="H7" s="95">
        <f>IF(F7&lt;0.00000001,"",E7/F7)</f>
        <v>1.0689651622901106</v>
      </c>
    </row>
    <row r="8" spans="1:8" ht="14.4" customHeight="1" thickBot="1" x14ac:dyDescent="0.35">
      <c r="A8" s="1" t="s">
        <v>52</v>
      </c>
      <c r="B8" s="11">
        <v>5.11295999999993</v>
      </c>
      <c r="C8" s="33">
        <v>3.9949999999998909</v>
      </c>
      <c r="D8" s="8"/>
      <c r="E8" s="92">
        <v>7.8850700000000415</v>
      </c>
      <c r="F8" s="32">
        <v>4.8426624336502755</v>
      </c>
      <c r="G8" s="93">
        <f>E8-F8</f>
        <v>3.0424075663497661</v>
      </c>
      <c r="H8" s="96">
        <f>IF(F8&lt;0.00000001,"",E8/F8)</f>
        <v>1.6282510102725614</v>
      </c>
    </row>
    <row r="9" spans="1:8" ht="14.4" customHeight="1" thickBot="1" x14ac:dyDescent="0.35">
      <c r="A9" s="2" t="s">
        <v>53</v>
      </c>
      <c r="B9" s="3">
        <v>1540.2201900000009</v>
      </c>
      <c r="C9" s="35">
        <v>1755.3616999999997</v>
      </c>
      <c r="D9" s="8"/>
      <c r="E9" s="3">
        <v>1895.8334700000009</v>
      </c>
      <c r="F9" s="34">
        <v>1770.9885263038361</v>
      </c>
      <c r="G9" s="34">
        <f>E9-F9</f>
        <v>124.84494369616482</v>
      </c>
      <c r="H9" s="97">
        <f>IF(F9&lt;0.00000001,"",E9/F9)</f>
        <v>1.0704944960635765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0.36432999999999999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0.36432999999999999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2.1230730652868523E-4</v>
      </c>
      <c r="C15" s="39">
        <f>IF(C9=0,"",C13/C9)</f>
        <v>2.0755266564150286E-4</v>
      </c>
      <c r="D15" s="8"/>
      <c r="E15" s="6">
        <f>IF(E9=0,"",E13/E9)</f>
        <v>0</v>
      </c>
      <c r="F15" s="38">
        <f>IF(F9=0,"",F13/F9)</f>
        <v>1.8464264174679294E-4</v>
      </c>
      <c r="G15" s="38">
        <f>IF(ISERROR(F15-E15),"",E15-F15)</f>
        <v>-1.8464264174679294E-4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2" t="s">
        <v>141</v>
      </c>
      <c r="B18" s="233"/>
      <c r="C18" s="233"/>
      <c r="D18" s="233"/>
      <c r="E18" s="233"/>
      <c r="F18" s="233"/>
      <c r="G18" s="233"/>
      <c r="H18" s="233"/>
    </row>
    <row r="19" spans="1:8" x14ac:dyDescent="0.3">
      <c r="A19" s="231" t="s">
        <v>140</v>
      </c>
      <c r="B19" s="233"/>
      <c r="C19" s="233"/>
      <c r="D19" s="233"/>
      <c r="E19" s="233"/>
      <c r="F19" s="233"/>
      <c r="G19" s="233"/>
      <c r="H19" s="233"/>
    </row>
    <row r="20" spans="1:8" ht="14.4" customHeight="1" x14ac:dyDescent="0.3">
      <c r="A20" s="86" t="s">
        <v>153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183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ht="14.4" customHeight="1" x14ac:dyDescent="0.3">
      <c r="A2" s="191" t="s">
        <v>184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134.30172999999999</v>
      </c>
      <c r="E5" s="170">
        <f>IF(ISERROR(VLOOKUP($A5,'Man Tab'!$A:$Q,COLUMN()+2,0)),0,VLOOKUP($A5,'Man Tab'!$A:$Q,COLUMN()+2,0))</f>
        <v>133.11891</v>
      </c>
      <c r="F5" s="170">
        <f>IF(ISERROR(VLOOKUP($A5,'Man Tab'!$A:$Q,COLUMN()+2,0)),0,VLOOKUP($A5,'Man Tab'!$A:$Q,COLUMN()+2,0))</f>
        <v>145.74157</v>
      </c>
      <c r="G5" s="170">
        <f>IF(ISERROR(VLOOKUP($A5,'Man Tab'!$A:$Q,COLUMN()+2,0)),0,VLOOKUP($A5,'Man Tab'!$A:$Q,COLUMN()+2,0))</f>
        <v>156.46538000000001</v>
      </c>
      <c r="H5" s="170">
        <f>IF(ISERROR(VLOOKUP($A5,'Man Tab'!$A:$Q,COLUMN()+2,0)),0,VLOOKUP($A5,'Man Tab'!$A:$Q,COLUMN()+2,0))</f>
        <v>267.85527999999999</v>
      </c>
      <c r="I5" s="170">
        <f>IF(ISERROR(VLOOKUP($A5,'Man Tab'!$A:$Q,COLUMN()+2,0)),0,VLOOKUP($A5,'Man Tab'!$A:$Q,COLUMN()+2,0))</f>
        <v>160.92803000000001</v>
      </c>
      <c r="J5" s="170">
        <f>IF(ISERROR(VLOOKUP($A5,'Man Tab'!$A:$Q,COLUMN()+2,0)),0,VLOOKUP($A5,'Man Tab'!$A:$Q,COLUMN()+2,0))</f>
        <v>130.10534999999999</v>
      </c>
      <c r="K5" s="170">
        <f>IF(ISERROR(VLOOKUP($A5,'Man Tab'!$A:$Q,COLUMN()+2,0)),0,VLOOKUP($A5,'Man Tab'!$A:$Q,COLUMN()+2,0))</f>
        <v>126.02843</v>
      </c>
      <c r="L5" s="170">
        <f>IF(ISERROR(VLOOKUP($A5,'Man Tab'!$A:$Q,COLUMN()+2,0)),0,VLOOKUP($A5,'Man Tab'!$A:$Q,COLUMN()+2,0))</f>
        <v>157.94703000000001</v>
      </c>
      <c r="M5" s="170">
        <f>IF(ISERROR(VLOOKUP($A5,'Man Tab'!$A:$Q,COLUMN()+2,0)),0,VLOOKUP($A5,'Man Tab'!$A:$Q,COLUMN()+2,0))</f>
        <v>224.338850000001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393.30463999999995</v>
      </c>
      <c r="E6" s="172">
        <f t="shared" si="1"/>
        <v>526.42354999999998</v>
      </c>
      <c r="F6" s="172">
        <f t="shared" si="1"/>
        <v>672.16512</v>
      </c>
      <c r="G6" s="172">
        <f t="shared" si="1"/>
        <v>828.63049999999998</v>
      </c>
      <c r="H6" s="172">
        <f t="shared" si="1"/>
        <v>1096.48578</v>
      </c>
      <c r="I6" s="172">
        <f t="shared" si="1"/>
        <v>1257.41381</v>
      </c>
      <c r="J6" s="172">
        <f t="shared" si="1"/>
        <v>1387.5191600000001</v>
      </c>
      <c r="K6" s="172">
        <f t="shared" si="1"/>
        <v>1513.5475900000001</v>
      </c>
      <c r="L6" s="172">
        <f t="shared" si="1"/>
        <v>1671.4946200000002</v>
      </c>
      <c r="M6" s="172">
        <f t="shared" si="1"/>
        <v>1895.8334700000012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/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12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1.8464264174679294E-4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1.8464264174679294E-4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60" t="s">
        <v>186</v>
      </c>
      <c r="B1" s="260"/>
      <c r="C1" s="260"/>
      <c r="D1" s="260"/>
      <c r="E1" s="260"/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73" customFormat="1" ht="14.4" customHeight="1" thickBot="1" x14ac:dyDescent="0.3">
      <c r="A2" s="191" t="s">
        <v>184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61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163</v>
      </c>
      <c r="E4" s="101" t="s">
        <v>164</v>
      </c>
      <c r="F4" s="101" t="s">
        <v>165</v>
      </c>
      <c r="G4" s="101" t="s">
        <v>166</v>
      </c>
      <c r="H4" s="101" t="s">
        <v>167</v>
      </c>
      <c r="I4" s="101" t="s">
        <v>168</v>
      </c>
      <c r="J4" s="101" t="s">
        <v>169</v>
      </c>
      <c r="K4" s="101" t="s">
        <v>170</v>
      </c>
      <c r="L4" s="101" t="s">
        <v>171</v>
      </c>
      <c r="M4" s="101" t="s">
        <v>172</v>
      </c>
      <c r="N4" s="101" t="s">
        <v>173</v>
      </c>
      <c r="O4" s="101" t="s">
        <v>174</v>
      </c>
      <c r="P4" s="263" t="s">
        <v>2</v>
      </c>
      <c r="Q4" s="26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185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185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185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185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185</v>
      </c>
    </row>
    <row r="11" spans="1:17" ht="14.4" customHeight="1" x14ac:dyDescent="0.3">
      <c r="A11" s="15" t="s">
        <v>15</v>
      </c>
      <c r="B11" s="46">
        <v>4.8075692549740001</v>
      </c>
      <c r="C11" s="47">
        <v>0.40063077124699997</v>
      </c>
      <c r="D11" s="47">
        <v>0</v>
      </c>
      <c r="E11" s="47">
        <v>0.41699999999999998</v>
      </c>
      <c r="F11" s="47">
        <v>0.30070000000000002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0.14962</v>
      </c>
      <c r="M11" s="47">
        <v>7.0180000000000006E-2</v>
      </c>
      <c r="N11" s="47">
        <v>0</v>
      </c>
      <c r="O11" s="47">
        <v>0</v>
      </c>
      <c r="P11" s="48">
        <v>0.9375</v>
      </c>
      <c r="Q11" s="70">
        <v>0.19500499114600001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185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185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185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185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185</v>
      </c>
    </row>
    <row r="19" spans="1:17" ht="14.4" customHeight="1" x14ac:dyDescent="0.3">
      <c r="A19" s="15" t="s">
        <v>23</v>
      </c>
      <c r="B19" s="46">
        <v>3.5093178678999998E-2</v>
      </c>
      <c r="C19" s="47">
        <v>2.9244315559999999E-3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3.0699999999999998E-3</v>
      </c>
      <c r="K19" s="47">
        <v>7.6999999999999996E-4</v>
      </c>
      <c r="L19" s="47">
        <v>7.6999999999999996E-4</v>
      </c>
      <c r="M19" s="47">
        <v>5.1700000000000001E-3</v>
      </c>
      <c r="N19" s="47">
        <v>1.8699999999999999E-3</v>
      </c>
      <c r="O19" s="47">
        <v>1.8699999999999999E-3</v>
      </c>
      <c r="P19" s="48">
        <v>-2.4299999989999999E-3</v>
      </c>
      <c r="Q19" s="70">
        <v>-6.9244226125999994E-2</v>
      </c>
    </row>
    <row r="20" spans="1:17" ht="14.4" customHeight="1" x14ac:dyDescent="0.3">
      <c r="A20" s="15" t="s">
        <v>24</v>
      </c>
      <c r="B20" s="46">
        <v>1766.1458638701799</v>
      </c>
      <c r="C20" s="47">
        <v>147.17882198918201</v>
      </c>
      <c r="D20" s="47">
        <v>129.32683</v>
      </c>
      <c r="E20" s="47">
        <v>129.27502999999999</v>
      </c>
      <c r="F20" s="47">
        <v>134.00102999999999</v>
      </c>
      <c r="G20" s="47">
        <v>133.11891</v>
      </c>
      <c r="H20" s="47">
        <v>145.74157</v>
      </c>
      <c r="I20" s="47">
        <v>156.46538000000001</v>
      </c>
      <c r="J20" s="47">
        <v>267.85221000000001</v>
      </c>
      <c r="K20" s="47">
        <v>160.92725999999999</v>
      </c>
      <c r="L20" s="47">
        <v>125.95496</v>
      </c>
      <c r="M20" s="47">
        <v>125.95308</v>
      </c>
      <c r="N20" s="47">
        <v>154.99516</v>
      </c>
      <c r="O20" s="47">
        <v>224.33698000000101</v>
      </c>
      <c r="P20" s="48">
        <v>1887.9484</v>
      </c>
      <c r="Q20" s="70">
        <v>1.06896516229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185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185</v>
      </c>
    </row>
    <row r="24" spans="1:17" ht="14.4" customHeight="1" x14ac:dyDescent="0.3">
      <c r="A24" s="16" t="s">
        <v>28</v>
      </c>
      <c r="B24" s="46">
        <v>0</v>
      </c>
      <c r="C24" s="47">
        <v>-2.8421709430404001E-14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2.8421709430404001E-14</v>
      </c>
      <c r="L24" s="47">
        <v>3.9999999999989999</v>
      </c>
      <c r="M24" s="47">
        <v>1.4210854715202001E-14</v>
      </c>
      <c r="N24" s="47">
        <v>2.9499999999990001</v>
      </c>
      <c r="O24" s="47">
        <v>0</v>
      </c>
      <c r="P24" s="48">
        <v>6.95</v>
      </c>
      <c r="Q24" s="70"/>
    </row>
    <row r="25" spans="1:17" ht="14.4" customHeight="1" x14ac:dyDescent="0.3">
      <c r="A25" s="17" t="s">
        <v>29</v>
      </c>
      <c r="B25" s="49">
        <v>1770.98852630384</v>
      </c>
      <c r="C25" s="50">
        <v>147.58237719198601</v>
      </c>
      <c r="D25" s="50">
        <v>129.31088</v>
      </c>
      <c r="E25" s="50">
        <v>129.69202999999999</v>
      </c>
      <c r="F25" s="50">
        <v>134.30172999999999</v>
      </c>
      <c r="G25" s="50">
        <v>133.11891</v>
      </c>
      <c r="H25" s="50">
        <v>145.74157</v>
      </c>
      <c r="I25" s="50">
        <v>156.46538000000001</v>
      </c>
      <c r="J25" s="50">
        <v>267.85527999999999</v>
      </c>
      <c r="K25" s="50">
        <v>160.92803000000001</v>
      </c>
      <c r="L25" s="50">
        <v>130.10534999999999</v>
      </c>
      <c r="M25" s="50">
        <v>126.02843</v>
      </c>
      <c r="N25" s="50">
        <v>157.94703000000001</v>
      </c>
      <c r="O25" s="50">
        <v>224.338850000001</v>
      </c>
      <c r="P25" s="51">
        <v>1895.83347</v>
      </c>
      <c r="Q25" s="71">
        <v>1.0704944960630001</v>
      </c>
    </row>
    <row r="26" spans="1:17" ht="14.4" customHeight="1" x14ac:dyDescent="0.3">
      <c r="A26" s="15" t="s">
        <v>30</v>
      </c>
      <c r="B26" s="46">
        <v>296.33458124706999</v>
      </c>
      <c r="C26" s="47">
        <v>24.694548437255001</v>
      </c>
      <c r="D26" s="47">
        <v>21.403030000000001</v>
      </c>
      <c r="E26" s="47">
        <v>20.362179999999999</v>
      </c>
      <c r="F26" s="47">
        <v>21.190200000000001</v>
      </c>
      <c r="G26" s="47">
        <v>21.219740000000002</v>
      </c>
      <c r="H26" s="47">
        <v>20.708220000000001</v>
      </c>
      <c r="I26" s="47">
        <v>36.730890000000002</v>
      </c>
      <c r="J26" s="47">
        <v>30.922460000000001</v>
      </c>
      <c r="K26" s="47">
        <v>26.39603</v>
      </c>
      <c r="L26" s="47">
        <v>23.034669999999998</v>
      </c>
      <c r="M26" s="47">
        <v>20.312709999999999</v>
      </c>
      <c r="N26" s="47">
        <v>28.365100000000002</v>
      </c>
      <c r="O26" s="47">
        <v>36.202970000000001</v>
      </c>
      <c r="P26" s="48">
        <v>306.84820000000002</v>
      </c>
      <c r="Q26" s="70">
        <v>1.0354788790039999</v>
      </c>
    </row>
    <row r="27" spans="1:17" ht="14.4" customHeight="1" x14ac:dyDescent="0.3">
      <c r="A27" s="18" t="s">
        <v>31</v>
      </c>
      <c r="B27" s="49">
        <v>2067.3231075509102</v>
      </c>
      <c r="C27" s="50">
        <v>172.27692562924199</v>
      </c>
      <c r="D27" s="50">
        <v>150.71391</v>
      </c>
      <c r="E27" s="50">
        <v>150.05421000000001</v>
      </c>
      <c r="F27" s="50">
        <v>155.49193</v>
      </c>
      <c r="G27" s="50">
        <v>154.33865</v>
      </c>
      <c r="H27" s="50">
        <v>166.44979000000001</v>
      </c>
      <c r="I27" s="50">
        <v>193.19627</v>
      </c>
      <c r="J27" s="50">
        <v>298.77773999999999</v>
      </c>
      <c r="K27" s="50">
        <v>187.32406</v>
      </c>
      <c r="L27" s="50">
        <v>153.14001999999999</v>
      </c>
      <c r="M27" s="50">
        <v>146.34114</v>
      </c>
      <c r="N27" s="50">
        <v>186.31213</v>
      </c>
      <c r="O27" s="50">
        <v>260.541820000001</v>
      </c>
      <c r="P27" s="51">
        <v>2202.6816699999999</v>
      </c>
      <c r="Q27" s="71">
        <v>1.0654752815140001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12.5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185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0" t="s">
        <v>37</v>
      </c>
      <c r="B1" s="260"/>
      <c r="C1" s="260"/>
      <c r="D1" s="260"/>
      <c r="E1" s="260"/>
      <c r="F1" s="260"/>
      <c r="G1" s="260"/>
      <c r="H1" s="265"/>
      <c r="I1" s="265"/>
      <c r="J1" s="265"/>
      <c r="K1" s="265"/>
    </row>
    <row r="2" spans="1:11" s="55" customFormat="1" ht="14.4" customHeight="1" thickBot="1" x14ac:dyDescent="0.35">
      <c r="A2" s="191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1" t="s">
        <v>38</v>
      </c>
      <c r="C3" s="262"/>
      <c r="D3" s="262"/>
      <c r="E3" s="262"/>
      <c r="F3" s="268" t="s">
        <v>39</v>
      </c>
      <c r="G3" s="262"/>
      <c r="H3" s="262"/>
      <c r="I3" s="262"/>
      <c r="J3" s="262"/>
      <c r="K3" s="269"/>
    </row>
    <row r="4" spans="1:11" ht="14.4" customHeight="1" x14ac:dyDescent="0.3">
      <c r="A4" s="60"/>
      <c r="B4" s="266"/>
      <c r="C4" s="267"/>
      <c r="D4" s="267"/>
      <c r="E4" s="267"/>
      <c r="F4" s="270" t="s">
        <v>180</v>
      </c>
      <c r="G4" s="272" t="s">
        <v>40</v>
      </c>
      <c r="H4" s="113" t="s">
        <v>102</v>
      </c>
      <c r="I4" s="270" t="s">
        <v>41</v>
      </c>
      <c r="J4" s="272" t="s">
        <v>156</v>
      </c>
      <c r="K4" s="273" t="s">
        <v>182</v>
      </c>
    </row>
    <row r="5" spans="1:11" ht="42" thickBot="1" x14ac:dyDescent="0.35">
      <c r="A5" s="61"/>
      <c r="B5" s="24" t="s">
        <v>176</v>
      </c>
      <c r="C5" s="25" t="s">
        <v>177</v>
      </c>
      <c r="D5" s="26" t="s">
        <v>178</v>
      </c>
      <c r="E5" s="26" t="s">
        <v>179</v>
      </c>
      <c r="F5" s="271"/>
      <c r="G5" s="271"/>
      <c r="H5" s="25" t="s">
        <v>181</v>
      </c>
      <c r="I5" s="271"/>
      <c r="J5" s="271"/>
      <c r="K5" s="274"/>
    </row>
    <row r="6" spans="1:11" ht="14.4" customHeight="1" thickBot="1" x14ac:dyDescent="0.35">
      <c r="A6" s="318" t="s">
        <v>187</v>
      </c>
      <c r="B6" s="300">
        <v>1697.85664223972</v>
      </c>
      <c r="C6" s="300">
        <v>1755.3616999999999</v>
      </c>
      <c r="D6" s="301">
        <v>57.505057760283002</v>
      </c>
      <c r="E6" s="302">
        <v>1.033869206816</v>
      </c>
      <c r="F6" s="300">
        <v>1770.98852630384</v>
      </c>
      <c r="G6" s="301">
        <v>1770.98852630384</v>
      </c>
      <c r="H6" s="303">
        <v>224.338850000001</v>
      </c>
      <c r="I6" s="300">
        <v>1895.83347</v>
      </c>
      <c r="J6" s="301">
        <v>124.844943696165</v>
      </c>
      <c r="K6" s="304">
        <v>1.0704944960630001</v>
      </c>
    </row>
    <row r="7" spans="1:11" ht="14.4" customHeight="1" thickBot="1" x14ac:dyDescent="0.35">
      <c r="A7" s="319" t="s">
        <v>188</v>
      </c>
      <c r="B7" s="300">
        <v>4.3062894542860004</v>
      </c>
      <c r="C7" s="300">
        <v>3.9630899999999998</v>
      </c>
      <c r="D7" s="301">
        <v>-0.34319945428600002</v>
      </c>
      <c r="E7" s="302">
        <v>0.92030274371200005</v>
      </c>
      <c r="F7" s="300">
        <v>4.8075692549740001</v>
      </c>
      <c r="G7" s="301">
        <v>4.8075692549740001</v>
      </c>
      <c r="H7" s="303">
        <v>0</v>
      </c>
      <c r="I7" s="300">
        <v>0.9375</v>
      </c>
      <c r="J7" s="301">
        <v>-3.8700692549740001</v>
      </c>
      <c r="K7" s="304">
        <v>0.19500499114600001</v>
      </c>
    </row>
    <row r="8" spans="1:11" ht="14.4" customHeight="1" thickBot="1" x14ac:dyDescent="0.35">
      <c r="A8" s="320" t="s">
        <v>189</v>
      </c>
      <c r="B8" s="300">
        <v>4.3062894542860004</v>
      </c>
      <c r="C8" s="300">
        <v>3.9630899999999998</v>
      </c>
      <c r="D8" s="301">
        <v>-0.34319945428600002</v>
      </c>
      <c r="E8" s="302">
        <v>0.92030274371200005</v>
      </c>
      <c r="F8" s="300">
        <v>4.8075692549740001</v>
      </c>
      <c r="G8" s="301">
        <v>4.8075692549740001</v>
      </c>
      <c r="H8" s="303">
        <v>0</v>
      </c>
      <c r="I8" s="300">
        <v>0.9375</v>
      </c>
      <c r="J8" s="301">
        <v>-3.8700692549740001</v>
      </c>
      <c r="K8" s="304">
        <v>0.19500499114600001</v>
      </c>
    </row>
    <row r="9" spans="1:11" ht="14.4" customHeight="1" thickBot="1" x14ac:dyDescent="0.35">
      <c r="A9" s="321" t="s">
        <v>190</v>
      </c>
      <c r="B9" s="305">
        <v>4.3062894542860004</v>
      </c>
      <c r="C9" s="305">
        <v>2.4614600000000002</v>
      </c>
      <c r="D9" s="306">
        <v>-1.844829454286</v>
      </c>
      <c r="E9" s="307">
        <v>0.57159650463099998</v>
      </c>
      <c r="F9" s="305">
        <v>4.8075692549740001</v>
      </c>
      <c r="G9" s="306">
        <v>4.8075692549740001</v>
      </c>
      <c r="H9" s="308">
        <v>0</v>
      </c>
      <c r="I9" s="305">
        <v>0.9375</v>
      </c>
      <c r="J9" s="306">
        <v>-3.8700692549740001</v>
      </c>
      <c r="K9" s="309">
        <v>0.19500499114600001</v>
      </c>
    </row>
    <row r="10" spans="1:11" ht="14.4" customHeight="1" thickBot="1" x14ac:dyDescent="0.35">
      <c r="A10" s="322" t="s">
        <v>191</v>
      </c>
      <c r="B10" s="300">
        <v>0.31905168952099999</v>
      </c>
      <c r="C10" s="300">
        <v>0.84599999999999997</v>
      </c>
      <c r="D10" s="301">
        <v>0.52694831047799995</v>
      </c>
      <c r="E10" s="302">
        <v>2.651607961297</v>
      </c>
      <c r="F10" s="300">
        <v>0.78661042967600003</v>
      </c>
      <c r="G10" s="301">
        <v>0.78661042967600003</v>
      </c>
      <c r="H10" s="303">
        <v>0</v>
      </c>
      <c r="I10" s="300">
        <v>0</v>
      </c>
      <c r="J10" s="301">
        <v>-0.78661042967600003</v>
      </c>
      <c r="K10" s="304">
        <v>0</v>
      </c>
    </row>
    <row r="11" spans="1:11" ht="14.4" customHeight="1" thickBot="1" x14ac:dyDescent="0.35">
      <c r="A11" s="322" t="s">
        <v>192</v>
      </c>
      <c r="B11" s="300">
        <v>1</v>
      </c>
      <c r="C11" s="300">
        <v>0</v>
      </c>
      <c r="D11" s="301">
        <v>-1</v>
      </c>
      <c r="E11" s="302">
        <v>0</v>
      </c>
      <c r="F11" s="300">
        <v>0</v>
      </c>
      <c r="G11" s="301">
        <v>0</v>
      </c>
      <c r="H11" s="303">
        <v>0</v>
      </c>
      <c r="I11" s="300">
        <v>0</v>
      </c>
      <c r="J11" s="301">
        <v>0</v>
      </c>
      <c r="K11" s="304">
        <v>0</v>
      </c>
    </row>
    <row r="12" spans="1:11" ht="14.4" customHeight="1" thickBot="1" x14ac:dyDescent="0.35">
      <c r="A12" s="322" t="s">
        <v>193</v>
      </c>
      <c r="B12" s="300">
        <v>1</v>
      </c>
      <c r="C12" s="300">
        <v>0.48196</v>
      </c>
      <c r="D12" s="301">
        <v>-0.51803999999999994</v>
      </c>
      <c r="E12" s="302">
        <v>0.48196</v>
      </c>
      <c r="F12" s="300">
        <v>2.4606536317060002</v>
      </c>
      <c r="G12" s="301">
        <v>2.4606536317060002</v>
      </c>
      <c r="H12" s="303">
        <v>0</v>
      </c>
      <c r="I12" s="300">
        <v>0.52049999999999996</v>
      </c>
      <c r="J12" s="301">
        <v>-1.940153631706</v>
      </c>
      <c r="K12" s="304">
        <v>0.21152916172</v>
      </c>
    </row>
    <row r="13" spans="1:11" ht="14.4" customHeight="1" thickBot="1" x14ac:dyDescent="0.35">
      <c r="A13" s="322" t="s">
        <v>194</v>
      </c>
      <c r="B13" s="300">
        <v>0.98723776476500003</v>
      </c>
      <c r="C13" s="300">
        <v>0.90749999999999997</v>
      </c>
      <c r="D13" s="301">
        <v>-7.9737764764999997E-2</v>
      </c>
      <c r="E13" s="302">
        <v>0.91923144797300005</v>
      </c>
      <c r="F13" s="300">
        <v>1.196238191592</v>
      </c>
      <c r="G13" s="301">
        <v>1.196238191592</v>
      </c>
      <c r="H13" s="303">
        <v>0</v>
      </c>
      <c r="I13" s="300">
        <v>0.41699999999999998</v>
      </c>
      <c r="J13" s="301">
        <v>-0.77923819159200003</v>
      </c>
      <c r="K13" s="304">
        <v>0.348592782717</v>
      </c>
    </row>
    <row r="14" spans="1:11" ht="14.4" customHeight="1" thickBot="1" x14ac:dyDescent="0.35">
      <c r="A14" s="322" t="s">
        <v>195</v>
      </c>
      <c r="B14" s="300">
        <v>1</v>
      </c>
      <c r="C14" s="300">
        <v>0.22600000000000001</v>
      </c>
      <c r="D14" s="301">
        <v>-0.77400000000000002</v>
      </c>
      <c r="E14" s="302">
        <v>0.22600000000000001</v>
      </c>
      <c r="F14" s="300">
        <v>0.364067001999</v>
      </c>
      <c r="G14" s="301">
        <v>0.364067001999</v>
      </c>
      <c r="H14" s="303">
        <v>0</v>
      </c>
      <c r="I14" s="300">
        <v>0</v>
      </c>
      <c r="J14" s="301">
        <v>-0.364067001999</v>
      </c>
      <c r="K14" s="304">
        <v>0</v>
      </c>
    </row>
    <row r="15" spans="1:11" ht="14.4" customHeight="1" thickBot="1" x14ac:dyDescent="0.35">
      <c r="A15" s="321" t="s">
        <v>196</v>
      </c>
      <c r="B15" s="305">
        <v>0</v>
      </c>
      <c r="C15" s="305">
        <v>1.50163</v>
      </c>
      <c r="D15" s="306">
        <v>1.50163</v>
      </c>
      <c r="E15" s="310" t="s">
        <v>197</v>
      </c>
      <c r="F15" s="305">
        <v>0</v>
      </c>
      <c r="G15" s="306">
        <v>0</v>
      </c>
      <c r="H15" s="308">
        <v>0</v>
      </c>
      <c r="I15" s="305">
        <v>0</v>
      </c>
      <c r="J15" s="306">
        <v>0</v>
      </c>
      <c r="K15" s="311" t="s">
        <v>185</v>
      </c>
    </row>
    <row r="16" spans="1:11" ht="14.4" customHeight="1" thickBot="1" x14ac:dyDescent="0.35">
      <c r="A16" s="322" t="s">
        <v>198</v>
      </c>
      <c r="B16" s="300">
        <v>0</v>
      </c>
      <c r="C16" s="300">
        <v>1.50163</v>
      </c>
      <c r="D16" s="301">
        <v>1.50163</v>
      </c>
      <c r="E16" s="312" t="s">
        <v>197</v>
      </c>
      <c r="F16" s="300">
        <v>0</v>
      </c>
      <c r="G16" s="301">
        <v>0</v>
      </c>
      <c r="H16" s="303">
        <v>0</v>
      </c>
      <c r="I16" s="300">
        <v>0</v>
      </c>
      <c r="J16" s="301">
        <v>0</v>
      </c>
      <c r="K16" s="313" t="s">
        <v>185</v>
      </c>
    </row>
    <row r="17" spans="1:11" ht="14.4" customHeight="1" thickBot="1" x14ac:dyDescent="0.35">
      <c r="A17" s="323" t="s">
        <v>199</v>
      </c>
      <c r="B17" s="305">
        <v>6.8329062649999999E-3</v>
      </c>
      <c r="C17" s="305">
        <v>3.1910000000000001E-2</v>
      </c>
      <c r="D17" s="306">
        <v>2.5077093734000001E-2</v>
      </c>
      <c r="E17" s="307">
        <v>4.670047965158</v>
      </c>
      <c r="F17" s="305">
        <v>3.5093178678999998E-2</v>
      </c>
      <c r="G17" s="306">
        <v>3.5093178678999998E-2</v>
      </c>
      <c r="H17" s="308">
        <v>1.8699999999999999E-3</v>
      </c>
      <c r="I17" s="305">
        <v>-2.4299999989999999E-3</v>
      </c>
      <c r="J17" s="306">
        <v>-3.7523178678999999E-2</v>
      </c>
      <c r="K17" s="309">
        <v>-6.9244226125999994E-2</v>
      </c>
    </row>
    <row r="18" spans="1:11" ht="14.4" customHeight="1" thickBot="1" x14ac:dyDescent="0.35">
      <c r="A18" s="320" t="s">
        <v>23</v>
      </c>
      <c r="B18" s="300">
        <v>6.8329062649999999E-3</v>
      </c>
      <c r="C18" s="300">
        <v>3.1910000000000001E-2</v>
      </c>
      <c r="D18" s="301">
        <v>2.5077093734000001E-2</v>
      </c>
      <c r="E18" s="302">
        <v>4.670047965158</v>
      </c>
      <c r="F18" s="300">
        <v>3.5093178678999998E-2</v>
      </c>
      <c r="G18" s="301">
        <v>3.5093178678999998E-2</v>
      </c>
      <c r="H18" s="303">
        <v>1.8699999999999999E-3</v>
      </c>
      <c r="I18" s="300">
        <v>-2.4299999989999999E-3</v>
      </c>
      <c r="J18" s="301">
        <v>-3.7523178678999999E-2</v>
      </c>
      <c r="K18" s="304">
        <v>-6.9244226125999994E-2</v>
      </c>
    </row>
    <row r="19" spans="1:11" ht="14.4" customHeight="1" thickBot="1" x14ac:dyDescent="0.35">
      <c r="A19" s="321" t="s">
        <v>200</v>
      </c>
      <c r="B19" s="305">
        <v>6.8329062649999999E-3</v>
      </c>
      <c r="C19" s="305">
        <v>3.1910000000000001E-2</v>
      </c>
      <c r="D19" s="306">
        <v>2.5077093734000001E-2</v>
      </c>
      <c r="E19" s="307">
        <v>4.670047965158</v>
      </c>
      <c r="F19" s="305">
        <v>3.5093178678999998E-2</v>
      </c>
      <c r="G19" s="306">
        <v>3.5093178678999998E-2</v>
      </c>
      <c r="H19" s="308">
        <v>1.8699999999999999E-3</v>
      </c>
      <c r="I19" s="305">
        <v>-2.4299999989999999E-3</v>
      </c>
      <c r="J19" s="306">
        <v>-3.7523178678999999E-2</v>
      </c>
      <c r="K19" s="309">
        <v>-6.9244226125999994E-2</v>
      </c>
    </row>
    <row r="20" spans="1:11" ht="14.4" customHeight="1" thickBot="1" x14ac:dyDescent="0.35">
      <c r="A20" s="322" t="s">
        <v>201</v>
      </c>
      <c r="B20" s="300">
        <v>6.8329062649999999E-3</v>
      </c>
      <c r="C20" s="300">
        <v>3.1910000000000001E-2</v>
      </c>
      <c r="D20" s="301">
        <v>2.5077093734000001E-2</v>
      </c>
      <c r="E20" s="302">
        <v>4.670047965158</v>
      </c>
      <c r="F20" s="300">
        <v>3.5093178678999998E-2</v>
      </c>
      <c r="G20" s="301">
        <v>3.5093178678999998E-2</v>
      </c>
      <c r="H20" s="303">
        <v>1.8699999999999999E-3</v>
      </c>
      <c r="I20" s="300">
        <v>-2.4299999989999999E-3</v>
      </c>
      <c r="J20" s="301">
        <v>-3.7523178678999999E-2</v>
      </c>
      <c r="K20" s="304">
        <v>-6.9244226125999994E-2</v>
      </c>
    </row>
    <row r="21" spans="1:11" ht="14.4" customHeight="1" thickBot="1" x14ac:dyDescent="0.35">
      <c r="A21" s="319" t="s">
        <v>24</v>
      </c>
      <c r="B21" s="300">
        <v>1693.5435198791599</v>
      </c>
      <c r="C21" s="300">
        <v>1751.3667</v>
      </c>
      <c r="D21" s="301">
        <v>57.823180120836</v>
      </c>
      <c r="E21" s="302">
        <v>1.034143309246</v>
      </c>
      <c r="F21" s="300">
        <v>1766.1458638701799</v>
      </c>
      <c r="G21" s="301">
        <v>1766.1458638701799</v>
      </c>
      <c r="H21" s="303">
        <v>224.33698000000101</v>
      </c>
      <c r="I21" s="300">
        <v>1887.9484</v>
      </c>
      <c r="J21" s="301">
        <v>121.80253612981799</v>
      </c>
      <c r="K21" s="304">
        <v>1.06896516229</v>
      </c>
    </row>
    <row r="22" spans="1:11" ht="14.4" customHeight="1" thickBot="1" x14ac:dyDescent="0.35">
      <c r="A22" s="324" t="s">
        <v>202</v>
      </c>
      <c r="B22" s="305">
        <v>1254.12876931146</v>
      </c>
      <c r="C22" s="305">
        <v>1304.0340000000001</v>
      </c>
      <c r="D22" s="306">
        <v>49.905230688534999</v>
      </c>
      <c r="E22" s="307">
        <v>1.039792748487</v>
      </c>
      <c r="F22" s="305">
        <v>1304.1458221610601</v>
      </c>
      <c r="G22" s="306">
        <v>1304.1458221610601</v>
      </c>
      <c r="H22" s="308">
        <v>166.001000000001</v>
      </c>
      <c r="I22" s="305">
        <v>1401.183</v>
      </c>
      <c r="J22" s="306">
        <v>97.037177838944004</v>
      </c>
      <c r="K22" s="309">
        <v>1.074406693017</v>
      </c>
    </row>
    <row r="23" spans="1:11" ht="14.4" customHeight="1" thickBot="1" x14ac:dyDescent="0.35">
      <c r="A23" s="321" t="s">
        <v>203</v>
      </c>
      <c r="B23" s="305">
        <v>1249.9999606280301</v>
      </c>
      <c r="C23" s="305">
        <v>1303.653</v>
      </c>
      <c r="D23" s="306">
        <v>53.653039371970998</v>
      </c>
      <c r="E23" s="307">
        <v>1.0429224328490001</v>
      </c>
      <c r="F23" s="305">
        <v>1300.00011736334</v>
      </c>
      <c r="G23" s="306">
        <v>1300.00011736334</v>
      </c>
      <c r="H23" s="308">
        <v>166.001000000001</v>
      </c>
      <c r="I23" s="305">
        <v>1401.5640000000001</v>
      </c>
      <c r="J23" s="306">
        <v>101.563882636659</v>
      </c>
      <c r="K23" s="309">
        <v>1.078126056513</v>
      </c>
    </row>
    <row r="24" spans="1:11" ht="14.4" customHeight="1" thickBot="1" x14ac:dyDescent="0.35">
      <c r="A24" s="322" t="s">
        <v>204</v>
      </c>
      <c r="B24" s="300">
        <v>1249.9999606280301</v>
      </c>
      <c r="C24" s="300">
        <v>1303.653</v>
      </c>
      <c r="D24" s="301">
        <v>53.653039371970998</v>
      </c>
      <c r="E24" s="302">
        <v>1.0429224328490001</v>
      </c>
      <c r="F24" s="300">
        <v>1300.00011736334</v>
      </c>
      <c r="G24" s="301">
        <v>1300.00011736334</v>
      </c>
      <c r="H24" s="303">
        <v>166.001000000001</v>
      </c>
      <c r="I24" s="300">
        <v>1401.5640000000001</v>
      </c>
      <c r="J24" s="301">
        <v>101.563882636659</v>
      </c>
      <c r="K24" s="304">
        <v>1.078126056513</v>
      </c>
    </row>
    <row r="25" spans="1:11" ht="14.4" customHeight="1" thickBot="1" x14ac:dyDescent="0.35">
      <c r="A25" s="321" t="s">
        <v>205</v>
      </c>
      <c r="B25" s="305">
        <v>4.1288086834350004</v>
      </c>
      <c r="C25" s="305">
        <v>0.38100000000000001</v>
      </c>
      <c r="D25" s="306">
        <v>-3.7478086834350002</v>
      </c>
      <c r="E25" s="307">
        <v>9.2278434098000003E-2</v>
      </c>
      <c r="F25" s="305">
        <v>4.145704797714</v>
      </c>
      <c r="G25" s="306">
        <v>4.145704797714</v>
      </c>
      <c r="H25" s="308">
        <v>0</v>
      </c>
      <c r="I25" s="305">
        <v>-0.38100000000000001</v>
      </c>
      <c r="J25" s="306">
        <v>-4.5267047977140003</v>
      </c>
      <c r="K25" s="309">
        <v>-9.1902346787000003E-2</v>
      </c>
    </row>
    <row r="26" spans="1:11" ht="14.4" customHeight="1" thickBot="1" x14ac:dyDescent="0.35">
      <c r="A26" s="322" t="s">
        <v>206</v>
      </c>
      <c r="B26" s="300">
        <v>4.1288086834350004</v>
      </c>
      <c r="C26" s="300">
        <v>0.38100000000000001</v>
      </c>
      <c r="D26" s="301">
        <v>-3.7478086834350002</v>
      </c>
      <c r="E26" s="302">
        <v>9.2278434098000003E-2</v>
      </c>
      <c r="F26" s="300">
        <v>4.145704797714</v>
      </c>
      <c r="G26" s="301">
        <v>4.145704797714</v>
      </c>
      <c r="H26" s="303">
        <v>0</v>
      </c>
      <c r="I26" s="300">
        <v>-0.38100000000000001</v>
      </c>
      <c r="J26" s="301">
        <v>-4.5267047977140003</v>
      </c>
      <c r="K26" s="304">
        <v>-9.1902346787000003E-2</v>
      </c>
    </row>
    <row r="27" spans="1:11" ht="14.4" customHeight="1" thickBot="1" x14ac:dyDescent="0.35">
      <c r="A27" s="320" t="s">
        <v>207</v>
      </c>
      <c r="B27" s="300">
        <v>425.99998658203202</v>
      </c>
      <c r="C27" s="300">
        <v>434.29374999999999</v>
      </c>
      <c r="D27" s="301">
        <v>8.2937634179669999</v>
      </c>
      <c r="E27" s="302">
        <v>1.019468928824</v>
      </c>
      <c r="F27" s="300">
        <v>442.00003990353599</v>
      </c>
      <c r="G27" s="301">
        <v>442.00003990353599</v>
      </c>
      <c r="H27" s="303">
        <v>55.847000000000001</v>
      </c>
      <c r="I27" s="300">
        <v>465.75099999999998</v>
      </c>
      <c r="J27" s="301">
        <v>23.750960096463999</v>
      </c>
      <c r="K27" s="304">
        <v>1.053735198986</v>
      </c>
    </row>
    <row r="28" spans="1:11" ht="14.4" customHeight="1" thickBot="1" x14ac:dyDescent="0.35">
      <c r="A28" s="321" t="s">
        <v>208</v>
      </c>
      <c r="B28" s="305">
        <v>112.999996440774</v>
      </c>
      <c r="C28" s="305">
        <v>117.32599999999999</v>
      </c>
      <c r="D28" s="306">
        <v>4.3260035592259998</v>
      </c>
      <c r="E28" s="307">
        <v>1.0382832185440001</v>
      </c>
      <c r="F28" s="305">
        <v>117.00001056270099</v>
      </c>
      <c r="G28" s="306">
        <v>117.00001056270099</v>
      </c>
      <c r="H28" s="308">
        <v>14.94</v>
      </c>
      <c r="I28" s="305">
        <v>126.145</v>
      </c>
      <c r="J28" s="306">
        <v>9.1449894372989995</v>
      </c>
      <c r="K28" s="309">
        <v>1.078162295826</v>
      </c>
    </row>
    <row r="29" spans="1:11" ht="14.4" customHeight="1" thickBot="1" x14ac:dyDescent="0.35">
      <c r="A29" s="322" t="s">
        <v>209</v>
      </c>
      <c r="B29" s="300">
        <v>112.999996440774</v>
      </c>
      <c r="C29" s="300">
        <v>117.32599999999999</v>
      </c>
      <c r="D29" s="301">
        <v>4.3260035592259998</v>
      </c>
      <c r="E29" s="302">
        <v>1.0382832185440001</v>
      </c>
      <c r="F29" s="300">
        <v>117.00001056270099</v>
      </c>
      <c r="G29" s="301">
        <v>117.00001056270099</v>
      </c>
      <c r="H29" s="303">
        <v>14.94</v>
      </c>
      <c r="I29" s="300">
        <v>126.145</v>
      </c>
      <c r="J29" s="301">
        <v>9.1449894372989995</v>
      </c>
      <c r="K29" s="304">
        <v>1.078162295826</v>
      </c>
    </row>
    <row r="30" spans="1:11" ht="14.4" customHeight="1" thickBot="1" x14ac:dyDescent="0.35">
      <c r="A30" s="321" t="s">
        <v>210</v>
      </c>
      <c r="B30" s="305">
        <v>312.99999014125899</v>
      </c>
      <c r="C30" s="305">
        <v>316.96775000000002</v>
      </c>
      <c r="D30" s="306">
        <v>3.9677598587410001</v>
      </c>
      <c r="E30" s="307">
        <v>1.0126765494679999</v>
      </c>
      <c r="F30" s="305">
        <v>325.000029340835</v>
      </c>
      <c r="G30" s="306">
        <v>325.000029340835</v>
      </c>
      <c r="H30" s="308">
        <v>40.906999999999996</v>
      </c>
      <c r="I30" s="305">
        <v>339.60599999999999</v>
      </c>
      <c r="J30" s="306">
        <v>14.605970659164001</v>
      </c>
      <c r="K30" s="309">
        <v>1.0449414441239999</v>
      </c>
    </row>
    <row r="31" spans="1:11" ht="14.4" customHeight="1" thickBot="1" x14ac:dyDescent="0.35">
      <c r="A31" s="322" t="s">
        <v>211</v>
      </c>
      <c r="B31" s="300">
        <v>312.99999014125899</v>
      </c>
      <c r="C31" s="300">
        <v>316.96775000000002</v>
      </c>
      <c r="D31" s="301">
        <v>3.9677598587410001</v>
      </c>
      <c r="E31" s="302">
        <v>1.0126765494679999</v>
      </c>
      <c r="F31" s="300">
        <v>325.000029340835</v>
      </c>
      <c r="G31" s="301">
        <v>325.000029340835</v>
      </c>
      <c r="H31" s="303">
        <v>40.906999999999996</v>
      </c>
      <c r="I31" s="300">
        <v>339.60599999999999</v>
      </c>
      <c r="J31" s="301">
        <v>14.605970659164001</v>
      </c>
      <c r="K31" s="304">
        <v>1.0449414441239999</v>
      </c>
    </row>
    <row r="32" spans="1:11" ht="14.4" customHeight="1" thickBot="1" x14ac:dyDescent="0.35">
      <c r="A32" s="320" t="s">
        <v>212</v>
      </c>
      <c r="B32" s="300">
        <v>13.414763985666999</v>
      </c>
      <c r="C32" s="300">
        <v>13.03895</v>
      </c>
      <c r="D32" s="301">
        <v>-0.37581398566699997</v>
      </c>
      <c r="E32" s="302">
        <v>0.97198504676800002</v>
      </c>
      <c r="F32" s="300">
        <v>20.000001805589001</v>
      </c>
      <c r="G32" s="301">
        <v>20.000001805589001</v>
      </c>
      <c r="H32" s="303">
        <v>2.4889800000000002</v>
      </c>
      <c r="I32" s="300">
        <v>21.014399999999998</v>
      </c>
      <c r="J32" s="301">
        <v>1.01439819441</v>
      </c>
      <c r="K32" s="304">
        <v>1.0507199051410001</v>
      </c>
    </row>
    <row r="33" spans="1:11" ht="14.4" customHeight="1" thickBot="1" x14ac:dyDescent="0.35">
      <c r="A33" s="321" t="s">
        <v>213</v>
      </c>
      <c r="B33" s="305">
        <v>13.414763985666999</v>
      </c>
      <c r="C33" s="305">
        <v>13.03895</v>
      </c>
      <c r="D33" s="306">
        <v>-0.37581398566699997</v>
      </c>
      <c r="E33" s="307">
        <v>0.97198504676800002</v>
      </c>
      <c r="F33" s="305">
        <v>20.000001805589001</v>
      </c>
      <c r="G33" s="306">
        <v>20.000001805589001</v>
      </c>
      <c r="H33" s="308">
        <v>2.4889800000000002</v>
      </c>
      <c r="I33" s="305">
        <v>21.014399999999998</v>
      </c>
      <c r="J33" s="306">
        <v>1.01439819441</v>
      </c>
      <c r="K33" s="309">
        <v>1.0507199051410001</v>
      </c>
    </row>
    <row r="34" spans="1:11" ht="14.4" customHeight="1" thickBot="1" x14ac:dyDescent="0.35">
      <c r="A34" s="322" t="s">
        <v>214</v>
      </c>
      <c r="B34" s="300">
        <v>13.414763985666999</v>
      </c>
      <c r="C34" s="300">
        <v>13.03895</v>
      </c>
      <c r="D34" s="301">
        <v>-0.37581398566699997</v>
      </c>
      <c r="E34" s="302">
        <v>0.97198504676800002</v>
      </c>
      <c r="F34" s="300">
        <v>20.000001805589001</v>
      </c>
      <c r="G34" s="301">
        <v>20.000001805589001</v>
      </c>
      <c r="H34" s="303">
        <v>2.4889800000000002</v>
      </c>
      <c r="I34" s="300">
        <v>21.014399999999998</v>
      </c>
      <c r="J34" s="301">
        <v>1.01439819441</v>
      </c>
      <c r="K34" s="304">
        <v>1.0507199051410001</v>
      </c>
    </row>
    <row r="35" spans="1:11" ht="14.4" customHeight="1" thickBot="1" x14ac:dyDescent="0.35">
      <c r="A35" s="319" t="s">
        <v>215</v>
      </c>
      <c r="B35" s="300">
        <v>0</v>
      </c>
      <c r="C35" s="300">
        <v>0</v>
      </c>
      <c r="D35" s="301">
        <v>0</v>
      </c>
      <c r="E35" s="312" t="s">
        <v>185</v>
      </c>
      <c r="F35" s="300">
        <v>0</v>
      </c>
      <c r="G35" s="301">
        <v>0</v>
      </c>
      <c r="H35" s="303">
        <v>0</v>
      </c>
      <c r="I35" s="300">
        <v>6.95</v>
      </c>
      <c r="J35" s="301">
        <v>6.95</v>
      </c>
      <c r="K35" s="313" t="s">
        <v>197</v>
      </c>
    </row>
    <row r="36" spans="1:11" ht="14.4" customHeight="1" thickBot="1" x14ac:dyDescent="0.35">
      <c r="A36" s="320" t="s">
        <v>216</v>
      </c>
      <c r="B36" s="300">
        <v>0</v>
      </c>
      <c r="C36" s="300">
        <v>0</v>
      </c>
      <c r="D36" s="301">
        <v>0</v>
      </c>
      <c r="E36" s="312" t="s">
        <v>185</v>
      </c>
      <c r="F36" s="300">
        <v>0</v>
      </c>
      <c r="G36" s="301">
        <v>0</v>
      </c>
      <c r="H36" s="303">
        <v>0</v>
      </c>
      <c r="I36" s="300">
        <v>6.95</v>
      </c>
      <c r="J36" s="301">
        <v>6.95</v>
      </c>
      <c r="K36" s="313" t="s">
        <v>197</v>
      </c>
    </row>
    <row r="37" spans="1:11" ht="14.4" customHeight="1" thickBot="1" x14ac:dyDescent="0.35">
      <c r="A37" s="321" t="s">
        <v>217</v>
      </c>
      <c r="B37" s="305">
        <v>0</v>
      </c>
      <c r="C37" s="305">
        <v>0</v>
      </c>
      <c r="D37" s="306">
        <v>0</v>
      </c>
      <c r="E37" s="310" t="s">
        <v>185</v>
      </c>
      <c r="F37" s="305">
        <v>0</v>
      </c>
      <c r="G37" s="306">
        <v>0</v>
      </c>
      <c r="H37" s="308">
        <v>0</v>
      </c>
      <c r="I37" s="305">
        <v>6.95</v>
      </c>
      <c r="J37" s="306">
        <v>6.95</v>
      </c>
      <c r="K37" s="311" t="s">
        <v>197</v>
      </c>
    </row>
    <row r="38" spans="1:11" ht="14.4" customHeight="1" thickBot="1" x14ac:dyDescent="0.35">
      <c r="A38" s="322" t="s">
        <v>218</v>
      </c>
      <c r="B38" s="300">
        <v>0</v>
      </c>
      <c r="C38" s="300">
        <v>0</v>
      </c>
      <c r="D38" s="301">
        <v>0</v>
      </c>
      <c r="E38" s="312" t="s">
        <v>185</v>
      </c>
      <c r="F38" s="300">
        <v>0</v>
      </c>
      <c r="G38" s="301">
        <v>0</v>
      </c>
      <c r="H38" s="303">
        <v>0</v>
      </c>
      <c r="I38" s="300">
        <v>6.95</v>
      </c>
      <c r="J38" s="301">
        <v>6.95</v>
      </c>
      <c r="K38" s="313" t="s">
        <v>197</v>
      </c>
    </row>
    <row r="39" spans="1:11" ht="14.4" customHeight="1" thickBot="1" x14ac:dyDescent="0.35">
      <c r="A39" s="318" t="s">
        <v>219</v>
      </c>
      <c r="B39" s="300">
        <v>44.000000000010999</v>
      </c>
      <c r="C39" s="300">
        <v>43.926810000000003</v>
      </c>
      <c r="D39" s="301">
        <v>-7.3190000010999998E-2</v>
      </c>
      <c r="E39" s="302">
        <v>0.99833659090799998</v>
      </c>
      <c r="F39" s="300">
        <v>46.162853441007002</v>
      </c>
      <c r="G39" s="301">
        <v>46.162853441007002</v>
      </c>
      <c r="H39" s="303">
        <v>2.5956600000000001</v>
      </c>
      <c r="I39" s="300">
        <v>26.43205</v>
      </c>
      <c r="J39" s="301">
        <v>-19.730803441007001</v>
      </c>
      <c r="K39" s="304">
        <v>0.57258267264100005</v>
      </c>
    </row>
    <row r="40" spans="1:11" ht="14.4" customHeight="1" thickBot="1" x14ac:dyDescent="0.35">
      <c r="A40" s="319" t="s">
        <v>220</v>
      </c>
      <c r="B40" s="300">
        <v>44.000000000010999</v>
      </c>
      <c r="C40" s="300">
        <v>42.480530000000002</v>
      </c>
      <c r="D40" s="301">
        <v>-1.519470000011</v>
      </c>
      <c r="E40" s="302">
        <v>0.96546659090800002</v>
      </c>
      <c r="F40" s="300">
        <v>45.000004512088999</v>
      </c>
      <c r="G40" s="301">
        <v>45.000004512088999</v>
      </c>
      <c r="H40" s="303">
        <v>2.5956600000000001</v>
      </c>
      <c r="I40" s="300">
        <v>26.43205</v>
      </c>
      <c r="J40" s="301">
        <v>-18.567954512088999</v>
      </c>
      <c r="K40" s="304">
        <v>0.58737882999299995</v>
      </c>
    </row>
    <row r="41" spans="1:11" ht="14.4" customHeight="1" thickBot="1" x14ac:dyDescent="0.35">
      <c r="A41" s="320" t="s">
        <v>221</v>
      </c>
      <c r="B41" s="300">
        <v>44.000000000010999</v>
      </c>
      <c r="C41" s="300">
        <v>42.480530000000002</v>
      </c>
      <c r="D41" s="301">
        <v>-1.519470000011</v>
      </c>
      <c r="E41" s="302">
        <v>0.96546659090800002</v>
      </c>
      <c r="F41" s="300">
        <v>45.000004512088999</v>
      </c>
      <c r="G41" s="301">
        <v>45.000004512088999</v>
      </c>
      <c r="H41" s="303">
        <v>2.5956600000000001</v>
      </c>
      <c r="I41" s="300">
        <v>26.43205</v>
      </c>
      <c r="J41" s="301">
        <v>-18.567954512088999</v>
      </c>
      <c r="K41" s="304">
        <v>0.58737882999299995</v>
      </c>
    </row>
    <row r="42" spans="1:11" ht="14.4" customHeight="1" thickBot="1" x14ac:dyDescent="0.35">
      <c r="A42" s="321" t="s">
        <v>222</v>
      </c>
      <c r="B42" s="305">
        <v>44.000000000010999</v>
      </c>
      <c r="C42" s="305">
        <v>40.50705</v>
      </c>
      <c r="D42" s="306">
        <v>-3.4929500000110001</v>
      </c>
      <c r="E42" s="307">
        <v>0.92061477272699999</v>
      </c>
      <c r="F42" s="305">
        <v>45.000004512088999</v>
      </c>
      <c r="G42" s="306">
        <v>45.000004512088999</v>
      </c>
      <c r="H42" s="308">
        <v>1.8932500000000001</v>
      </c>
      <c r="I42" s="305">
        <v>23.608969999999999</v>
      </c>
      <c r="J42" s="306">
        <v>-21.391034512089</v>
      </c>
      <c r="K42" s="309">
        <v>0.52464372517199998</v>
      </c>
    </row>
    <row r="43" spans="1:11" ht="14.4" customHeight="1" thickBot="1" x14ac:dyDescent="0.35">
      <c r="A43" s="322" t="s">
        <v>223</v>
      </c>
      <c r="B43" s="300">
        <v>23.000000000006001</v>
      </c>
      <c r="C43" s="300">
        <v>18.080410000000001</v>
      </c>
      <c r="D43" s="301">
        <v>-4.919590000006</v>
      </c>
      <c r="E43" s="302">
        <v>0.78610478260799999</v>
      </c>
      <c r="F43" s="300">
        <v>22.00000220591</v>
      </c>
      <c r="G43" s="301">
        <v>22.00000220591</v>
      </c>
      <c r="H43" s="303">
        <v>0.37864999999999999</v>
      </c>
      <c r="I43" s="300">
        <v>10.86908</v>
      </c>
      <c r="J43" s="301">
        <v>-11.13092220591</v>
      </c>
      <c r="K43" s="304">
        <v>0.49404904137099998</v>
      </c>
    </row>
    <row r="44" spans="1:11" ht="14.4" customHeight="1" thickBot="1" x14ac:dyDescent="0.35">
      <c r="A44" s="322" t="s">
        <v>224</v>
      </c>
      <c r="B44" s="300">
        <v>21.000000000004999</v>
      </c>
      <c r="C44" s="300">
        <v>22.426639999999999</v>
      </c>
      <c r="D44" s="301">
        <v>1.426639999994</v>
      </c>
      <c r="E44" s="302">
        <v>1.0679352380939999</v>
      </c>
      <c r="F44" s="300">
        <v>23.000002306178999</v>
      </c>
      <c r="G44" s="301">
        <v>23.000002306178999</v>
      </c>
      <c r="H44" s="303">
        <v>1.5145999999999999</v>
      </c>
      <c r="I44" s="300">
        <v>12.739890000000001</v>
      </c>
      <c r="J44" s="301">
        <v>-10.260112306179</v>
      </c>
      <c r="K44" s="304">
        <v>0.55390820532899998</v>
      </c>
    </row>
    <row r="45" spans="1:11" ht="14.4" customHeight="1" thickBot="1" x14ac:dyDescent="0.35">
      <c r="A45" s="321" t="s">
        <v>225</v>
      </c>
      <c r="B45" s="305">
        <v>0</v>
      </c>
      <c r="C45" s="305">
        <v>1.9734799999999999</v>
      </c>
      <c r="D45" s="306">
        <v>1.9734799999999999</v>
      </c>
      <c r="E45" s="310" t="s">
        <v>185</v>
      </c>
      <c r="F45" s="305">
        <v>0</v>
      </c>
      <c r="G45" s="306">
        <v>0</v>
      </c>
      <c r="H45" s="308">
        <v>0.70240999999999998</v>
      </c>
      <c r="I45" s="305">
        <v>2.82308</v>
      </c>
      <c r="J45" s="306">
        <v>2.82308</v>
      </c>
      <c r="K45" s="311" t="s">
        <v>185</v>
      </c>
    </row>
    <row r="46" spans="1:11" ht="14.4" customHeight="1" thickBot="1" x14ac:dyDescent="0.35">
      <c r="A46" s="322" t="s">
        <v>226</v>
      </c>
      <c r="B46" s="300">
        <v>0</v>
      </c>
      <c r="C46" s="300">
        <v>0.55476000000000003</v>
      </c>
      <c r="D46" s="301">
        <v>0.55476000000000003</v>
      </c>
      <c r="E46" s="312" t="s">
        <v>185</v>
      </c>
      <c r="F46" s="300">
        <v>0</v>
      </c>
      <c r="G46" s="301">
        <v>0</v>
      </c>
      <c r="H46" s="303">
        <v>0</v>
      </c>
      <c r="I46" s="300">
        <v>0.34787000000000001</v>
      </c>
      <c r="J46" s="301">
        <v>0.34787000000000001</v>
      </c>
      <c r="K46" s="313" t="s">
        <v>185</v>
      </c>
    </row>
    <row r="47" spans="1:11" ht="14.4" customHeight="1" thickBot="1" x14ac:dyDescent="0.35">
      <c r="A47" s="322" t="s">
        <v>227</v>
      </c>
      <c r="B47" s="300">
        <v>0</v>
      </c>
      <c r="C47" s="300">
        <v>1.41872</v>
      </c>
      <c r="D47" s="301">
        <v>1.41872</v>
      </c>
      <c r="E47" s="312" t="s">
        <v>185</v>
      </c>
      <c r="F47" s="300">
        <v>0</v>
      </c>
      <c r="G47" s="301">
        <v>0</v>
      </c>
      <c r="H47" s="303">
        <v>0.70240999999999998</v>
      </c>
      <c r="I47" s="300">
        <v>2.4752100000000001</v>
      </c>
      <c r="J47" s="301">
        <v>2.4752100000000001</v>
      </c>
      <c r="K47" s="313" t="s">
        <v>185</v>
      </c>
    </row>
    <row r="48" spans="1:11" ht="14.4" customHeight="1" thickBot="1" x14ac:dyDescent="0.35">
      <c r="A48" s="319" t="s">
        <v>228</v>
      </c>
      <c r="B48" s="300">
        <v>0</v>
      </c>
      <c r="C48" s="300">
        <v>1.44628</v>
      </c>
      <c r="D48" s="301">
        <v>1.44628</v>
      </c>
      <c r="E48" s="312" t="s">
        <v>185</v>
      </c>
      <c r="F48" s="300">
        <v>1.1628489289170001</v>
      </c>
      <c r="G48" s="301">
        <v>1.1628489289170001</v>
      </c>
      <c r="H48" s="303">
        <v>0</v>
      </c>
      <c r="I48" s="300">
        <v>0</v>
      </c>
      <c r="J48" s="301">
        <v>-1.1628489289170001</v>
      </c>
      <c r="K48" s="304">
        <v>0</v>
      </c>
    </row>
    <row r="49" spans="1:11" ht="14.4" customHeight="1" thickBot="1" x14ac:dyDescent="0.35">
      <c r="A49" s="324" t="s">
        <v>229</v>
      </c>
      <c r="B49" s="305">
        <v>0</v>
      </c>
      <c r="C49" s="305">
        <v>1.44628</v>
      </c>
      <c r="D49" s="306">
        <v>1.44628</v>
      </c>
      <c r="E49" s="310" t="s">
        <v>185</v>
      </c>
      <c r="F49" s="305">
        <v>1.1628489289170001</v>
      </c>
      <c r="G49" s="306">
        <v>1.1628489289170001</v>
      </c>
      <c r="H49" s="308">
        <v>0</v>
      </c>
      <c r="I49" s="305">
        <v>0</v>
      </c>
      <c r="J49" s="306">
        <v>-1.1628489289170001</v>
      </c>
      <c r="K49" s="309">
        <v>0</v>
      </c>
    </row>
    <row r="50" spans="1:11" ht="14.4" customHeight="1" thickBot="1" x14ac:dyDescent="0.35">
      <c r="A50" s="321" t="s">
        <v>230</v>
      </c>
      <c r="B50" s="305">
        <v>0</v>
      </c>
      <c r="C50" s="305">
        <v>-2.0000000000000002E-5</v>
      </c>
      <c r="D50" s="306">
        <v>-2.0000000000000002E-5</v>
      </c>
      <c r="E50" s="310" t="s">
        <v>185</v>
      </c>
      <c r="F50" s="305">
        <v>0</v>
      </c>
      <c r="G50" s="306">
        <v>0</v>
      </c>
      <c r="H50" s="308">
        <v>0</v>
      </c>
      <c r="I50" s="305">
        <v>0</v>
      </c>
      <c r="J50" s="306">
        <v>0</v>
      </c>
      <c r="K50" s="311" t="s">
        <v>185</v>
      </c>
    </row>
    <row r="51" spans="1:11" ht="14.4" customHeight="1" thickBot="1" x14ac:dyDescent="0.35">
      <c r="A51" s="322" t="s">
        <v>231</v>
      </c>
      <c r="B51" s="300">
        <v>0</v>
      </c>
      <c r="C51" s="300">
        <v>-2.0000000000000002E-5</v>
      </c>
      <c r="D51" s="301">
        <v>-2.0000000000000002E-5</v>
      </c>
      <c r="E51" s="312" t="s">
        <v>197</v>
      </c>
      <c r="F51" s="300">
        <v>0</v>
      </c>
      <c r="G51" s="301">
        <v>0</v>
      </c>
      <c r="H51" s="303">
        <v>0</v>
      </c>
      <c r="I51" s="300">
        <v>0</v>
      </c>
      <c r="J51" s="301">
        <v>0</v>
      </c>
      <c r="K51" s="313" t="s">
        <v>185</v>
      </c>
    </row>
    <row r="52" spans="1:11" ht="14.4" customHeight="1" thickBot="1" x14ac:dyDescent="0.35">
      <c r="A52" s="321" t="s">
        <v>232</v>
      </c>
      <c r="B52" s="305">
        <v>0</v>
      </c>
      <c r="C52" s="305">
        <v>1.4462999999999999</v>
      </c>
      <c r="D52" s="306">
        <v>1.4462999999999999</v>
      </c>
      <c r="E52" s="310" t="s">
        <v>197</v>
      </c>
      <c r="F52" s="305">
        <v>1.1628489289170001</v>
      </c>
      <c r="G52" s="306">
        <v>1.1628489289170001</v>
      </c>
      <c r="H52" s="308">
        <v>0</v>
      </c>
      <c r="I52" s="305">
        <v>0</v>
      </c>
      <c r="J52" s="306">
        <v>-1.1628489289170001</v>
      </c>
      <c r="K52" s="309">
        <v>0</v>
      </c>
    </row>
    <row r="53" spans="1:11" ht="14.4" customHeight="1" thickBot="1" x14ac:dyDescent="0.35">
      <c r="A53" s="322" t="s">
        <v>233</v>
      </c>
      <c r="B53" s="300">
        <v>0</v>
      </c>
      <c r="C53" s="300">
        <v>1.4462999999999999</v>
      </c>
      <c r="D53" s="301">
        <v>1.4462999999999999</v>
      </c>
      <c r="E53" s="312" t="s">
        <v>197</v>
      </c>
      <c r="F53" s="300">
        <v>1.1628489289170001</v>
      </c>
      <c r="G53" s="301">
        <v>1.1628489289170001</v>
      </c>
      <c r="H53" s="303">
        <v>0</v>
      </c>
      <c r="I53" s="300">
        <v>0</v>
      </c>
      <c r="J53" s="301">
        <v>-1.1628489289170001</v>
      </c>
      <c r="K53" s="304">
        <v>0</v>
      </c>
    </row>
    <row r="54" spans="1:11" ht="14.4" customHeight="1" thickBot="1" x14ac:dyDescent="0.35">
      <c r="A54" s="318" t="s">
        <v>234</v>
      </c>
      <c r="B54" s="300">
        <v>290.77654384974602</v>
      </c>
      <c r="C54" s="300">
        <v>299.73736000000002</v>
      </c>
      <c r="D54" s="301">
        <v>8.9608161502530006</v>
      </c>
      <c r="E54" s="302">
        <v>1.030816846612</v>
      </c>
      <c r="F54" s="300">
        <v>296.33458124706999</v>
      </c>
      <c r="G54" s="301">
        <v>296.33458124706999</v>
      </c>
      <c r="H54" s="303">
        <v>36.202970000000001</v>
      </c>
      <c r="I54" s="300">
        <v>306.84820000000002</v>
      </c>
      <c r="J54" s="301">
        <v>10.513618752929</v>
      </c>
      <c r="K54" s="304">
        <v>1.0354788790039999</v>
      </c>
    </row>
    <row r="55" spans="1:11" ht="14.4" customHeight="1" thickBot="1" x14ac:dyDescent="0.35">
      <c r="A55" s="323" t="s">
        <v>235</v>
      </c>
      <c r="B55" s="305">
        <v>290.77654384974602</v>
      </c>
      <c r="C55" s="305">
        <v>299.73736000000002</v>
      </c>
      <c r="D55" s="306">
        <v>8.9608161502530006</v>
      </c>
      <c r="E55" s="307">
        <v>1.030816846612</v>
      </c>
      <c r="F55" s="305">
        <v>296.33458124706999</v>
      </c>
      <c r="G55" s="306">
        <v>296.33458124706999</v>
      </c>
      <c r="H55" s="308">
        <v>36.202970000000001</v>
      </c>
      <c r="I55" s="305">
        <v>306.84820000000002</v>
      </c>
      <c r="J55" s="306">
        <v>10.513618752929</v>
      </c>
      <c r="K55" s="309">
        <v>1.0354788790039999</v>
      </c>
    </row>
    <row r="56" spans="1:11" ht="14.4" customHeight="1" thickBot="1" x14ac:dyDescent="0.35">
      <c r="A56" s="324" t="s">
        <v>30</v>
      </c>
      <c r="B56" s="305">
        <v>290.77654384974602</v>
      </c>
      <c r="C56" s="305">
        <v>299.73736000000002</v>
      </c>
      <c r="D56" s="306">
        <v>8.9608161502530006</v>
      </c>
      <c r="E56" s="307">
        <v>1.030816846612</v>
      </c>
      <c r="F56" s="305">
        <v>296.33458124706999</v>
      </c>
      <c r="G56" s="306">
        <v>296.33458124706999</v>
      </c>
      <c r="H56" s="308">
        <v>36.202970000000001</v>
      </c>
      <c r="I56" s="305">
        <v>306.84820000000002</v>
      </c>
      <c r="J56" s="306">
        <v>10.513618752929</v>
      </c>
      <c r="K56" s="309">
        <v>1.0354788790039999</v>
      </c>
    </row>
    <row r="57" spans="1:11" ht="14.4" customHeight="1" thickBot="1" x14ac:dyDescent="0.35">
      <c r="A57" s="321" t="s">
        <v>236</v>
      </c>
      <c r="B57" s="305">
        <v>125</v>
      </c>
      <c r="C57" s="305">
        <v>114.29792999999999</v>
      </c>
      <c r="D57" s="306">
        <v>-10.702069999999001</v>
      </c>
      <c r="E57" s="307">
        <v>0.91438344000000005</v>
      </c>
      <c r="F57" s="305">
        <v>117.687631564019</v>
      </c>
      <c r="G57" s="306">
        <v>117.687631564019</v>
      </c>
      <c r="H57" s="308">
        <v>11.75371</v>
      </c>
      <c r="I57" s="305">
        <v>112.60208</v>
      </c>
      <c r="J57" s="306">
        <v>-5.0855515640190001</v>
      </c>
      <c r="K57" s="309">
        <v>0.95678771425300002</v>
      </c>
    </row>
    <row r="58" spans="1:11" ht="14.4" customHeight="1" thickBot="1" x14ac:dyDescent="0.35">
      <c r="A58" s="322" t="s">
        <v>237</v>
      </c>
      <c r="B58" s="300">
        <v>125</v>
      </c>
      <c r="C58" s="300">
        <v>114.29792999999999</v>
      </c>
      <c r="D58" s="301">
        <v>-10.702069999999001</v>
      </c>
      <c r="E58" s="302">
        <v>0.91438344000000005</v>
      </c>
      <c r="F58" s="300">
        <v>117.687631564019</v>
      </c>
      <c r="G58" s="301">
        <v>117.687631564019</v>
      </c>
      <c r="H58" s="303">
        <v>11.75371</v>
      </c>
      <c r="I58" s="300">
        <v>112.60208</v>
      </c>
      <c r="J58" s="301">
        <v>-5.0855515640190001</v>
      </c>
      <c r="K58" s="304">
        <v>0.95678771425300002</v>
      </c>
    </row>
    <row r="59" spans="1:11" ht="14.4" customHeight="1" thickBot="1" x14ac:dyDescent="0.35">
      <c r="A59" s="321" t="s">
        <v>238</v>
      </c>
      <c r="B59" s="305">
        <v>165.77654384974599</v>
      </c>
      <c r="C59" s="305">
        <v>185.43942999999999</v>
      </c>
      <c r="D59" s="306">
        <v>19.662886150253001</v>
      </c>
      <c r="E59" s="307">
        <v>1.118610785902</v>
      </c>
      <c r="F59" s="305">
        <v>178.64694968305099</v>
      </c>
      <c r="G59" s="306">
        <v>178.64694968305099</v>
      </c>
      <c r="H59" s="308">
        <v>24.449259999999999</v>
      </c>
      <c r="I59" s="305">
        <v>194.24611999999999</v>
      </c>
      <c r="J59" s="306">
        <v>15.599170316947999</v>
      </c>
      <c r="K59" s="309">
        <v>1.087318425221</v>
      </c>
    </row>
    <row r="60" spans="1:11" ht="14.4" customHeight="1" thickBot="1" x14ac:dyDescent="0.35">
      <c r="A60" s="322" t="s">
        <v>239</v>
      </c>
      <c r="B60" s="300">
        <v>165.77654384974599</v>
      </c>
      <c r="C60" s="300">
        <v>185.43942999999999</v>
      </c>
      <c r="D60" s="301">
        <v>19.662886150253001</v>
      </c>
      <c r="E60" s="302">
        <v>1.118610785902</v>
      </c>
      <c r="F60" s="300">
        <v>178.64694968305099</v>
      </c>
      <c r="G60" s="301">
        <v>178.64694968305099</v>
      </c>
      <c r="H60" s="303">
        <v>24.449259999999999</v>
      </c>
      <c r="I60" s="300">
        <v>194.24611999999999</v>
      </c>
      <c r="J60" s="301">
        <v>15.599170316947999</v>
      </c>
      <c r="K60" s="304">
        <v>1.087318425221</v>
      </c>
    </row>
    <row r="61" spans="1:11" ht="14.4" customHeight="1" thickBot="1" x14ac:dyDescent="0.35">
      <c r="A61" s="325"/>
      <c r="B61" s="300">
        <v>-1944.63318608945</v>
      </c>
      <c r="C61" s="300">
        <v>-2011.1722500000001</v>
      </c>
      <c r="D61" s="301">
        <v>-66.539063910549004</v>
      </c>
      <c r="E61" s="302">
        <v>1.0342167686870001</v>
      </c>
      <c r="F61" s="300">
        <v>-2021.1602541099001</v>
      </c>
      <c r="G61" s="301">
        <v>-2021.1602541099001</v>
      </c>
      <c r="H61" s="303">
        <v>-257.94616000000099</v>
      </c>
      <c r="I61" s="300">
        <v>-2176.24962</v>
      </c>
      <c r="J61" s="301">
        <v>-155.08936589010199</v>
      </c>
      <c r="K61" s="304">
        <v>1.0767328397510001</v>
      </c>
    </row>
    <row r="62" spans="1:11" ht="14.4" customHeight="1" thickBot="1" x14ac:dyDescent="0.35">
      <c r="A62" s="326" t="s">
        <v>42</v>
      </c>
      <c r="B62" s="314">
        <v>-1944.63318608945</v>
      </c>
      <c r="C62" s="314">
        <v>-2011.1722500000001</v>
      </c>
      <c r="D62" s="315">
        <v>-66.539063910549004</v>
      </c>
      <c r="E62" s="316">
        <v>-1.066349462519</v>
      </c>
      <c r="F62" s="314">
        <v>-2021.1602541099001</v>
      </c>
      <c r="G62" s="315">
        <v>-2021.1602541099001</v>
      </c>
      <c r="H62" s="314">
        <v>-257.94616000000099</v>
      </c>
      <c r="I62" s="314">
        <v>-2176.24962</v>
      </c>
      <c r="J62" s="315">
        <v>-155.08936589010199</v>
      </c>
      <c r="K62" s="317">
        <v>1.0767328397510001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78" t="s">
        <v>82</v>
      </c>
      <c r="B1" s="275"/>
      <c r="C1" s="275"/>
      <c r="D1" s="275"/>
      <c r="E1" s="275"/>
      <c r="F1" s="275"/>
      <c r="G1" s="275"/>
    </row>
    <row r="2" spans="1:8" ht="15" thickBot="1" x14ac:dyDescent="0.35">
      <c r="A2" s="191" t="s">
        <v>184</v>
      </c>
      <c r="B2" s="192"/>
      <c r="C2" s="192"/>
      <c r="D2" s="192"/>
      <c r="E2" s="192"/>
      <c r="F2" s="192"/>
    </row>
    <row r="3" spans="1:8" x14ac:dyDescent="0.3">
      <c r="A3" s="208" t="s">
        <v>144</v>
      </c>
      <c r="B3" s="276" t="s">
        <v>127</v>
      </c>
      <c r="C3" s="193">
        <v>99</v>
      </c>
      <c r="D3" s="211">
        <v>101</v>
      </c>
      <c r="E3" s="211">
        <v>302</v>
      </c>
      <c r="F3" s="211">
        <v>526</v>
      </c>
      <c r="G3" s="339">
        <v>930</v>
      </c>
      <c r="H3" s="354"/>
    </row>
    <row r="4" spans="1:8" ht="36.6" outlineLevel="1" thickBot="1" x14ac:dyDescent="0.35">
      <c r="A4" s="209">
        <v>2016</v>
      </c>
      <c r="B4" s="277"/>
      <c r="C4" s="194" t="s">
        <v>128</v>
      </c>
      <c r="D4" s="212" t="s">
        <v>158</v>
      </c>
      <c r="E4" s="212" t="s">
        <v>159</v>
      </c>
      <c r="F4" s="212" t="s">
        <v>152</v>
      </c>
      <c r="G4" s="340" t="s">
        <v>146</v>
      </c>
      <c r="H4" s="354"/>
    </row>
    <row r="5" spans="1:8" x14ac:dyDescent="0.3">
      <c r="A5" s="195" t="s">
        <v>129</v>
      </c>
      <c r="B5" s="225"/>
      <c r="C5" s="226"/>
      <c r="D5" s="226"/>
      <c r="E5" s="226"/>
      <c r="F5" s="226"/>
      <c r="G5" s="341"/>
      <c r="H5" s="354"/>
    </row>
    <row r="6" spans="1:8" ht="15" collapsed="1" thickBot="1" x14ac:dyDescent="0.35">
      <c r="A6" s="196" t="s">
        <v>49</v>
      </c>
      <c r="B6" s="227">
        <f xml:space="preserve">
TRUNC(IF($A$4&lt;=12,SUMIFS('ON Data'!F:F,'ON Data'!$D:$D,$A$4,'ON Data'!$E:$E,1),SUMIFS('ON Data'!F:F,'ON Data'!$E:$E,1)/'ON Data'!$D$3),1)</f>
        <v>3.1</v>
      </c>
      <c r="C6" s="228">
        <f xml:space="preserve">
TRUNC(IF($A$4&lt;=12,SUMIFS('ON Data'!I:I,'ON Data'!$D:$D,$A$4,'ON Data'!$E:$E,1),SUMIFS('ON Data'!I:I,'ON Data'!$E:$E,1)/'ON Data'!$D$3),1)</f>
        <v>1</v>
      </c>
      <c r="D6" s="228">
        <f xml:space="preserve">
TRUNC(IF($A$4&lt;=12,SUMIFS('ON Data'!K:K,'ON Data'!$D:$D,$A$4,'ON Data'!$E:$E,1),SUMIFS('ON Data'!K:K,'ON Data'!$E:$E,1)/'ON Data'!$D$3),1)</f>
        <v>1.4</v>
      </c>
      <c r="E6" s="228">
        <f xml:space="preserve">
TRUNC(IF($A$4&lt;=12,SUMIFS('ON Data'!O:O,'ON Data'!$D:$D,$A$4,'ON Data'!$E:$E,1),SUMIFS('ON Data'!O:O,'ON Data'!$E:$E,1)/'ON Data'!$D$3),1)</f>
        <v>0</v>
      </c>
      <c r="F6" s="228">
        <f xml:space="preserve">
TRUNC(IF($A$4&lt;=12,SUMIFS('ON Data'!AJ:AJ,'ON Data'!$D:$D,$A$4,'ON Data'!$E:$E,1),SUMIFS('ON Data'!AJ:AJ,'ON Data'!$E:$E,1)/'ON Data'!$D$3),1)</f>
        <v>0</v>
      </c>
      <c r="G6" s="342">
        <f xml:space="preserve">
TRUNC(IF($A$4&lt;=12,SUMIFS('ON Data'!AW:AW,'ON Data'!$D:$D,$A$4,'ON Data'!$E:$E,1),SUMIFS('ON Data'!AW:AW,'ON Data'!$E:$E,1)/'ON Data'!$D$3),1)</f>
        <v>0.6</v>
      </c>
      <c r="H6" s="354"/>
    </row>
    <row r="7" spans="1:8" ht="15" hidden="1" outlineLevel="1" thickBot="1" x14ac:dyDescent="0.35">
      <c r="A7" s="196" t="s">
        <v>83</v>
      </c>
      <c r="B7" s="227"/>
      <c r="C7" s="228"/>
      <c r="D7" s="228"/>
      <c r="E7" s="228"/>
      <c r="F7" s="228"/>
      <c r="G7" s="342"/>
      <c r="H7" s="354"/>
    </row>
    <row r="8" spans="1:8" ht="15" hidden="1" outlineLevel="1" thickBot="1" x14ac:dyDescent="0.35">
      <c r="A8" s="196" t="s">
        <v>51</v>
      </c>
      <c r="B8" s="227"/>
      <c r="C8" s="228"/>
      <c r="D8" s="228"/>
      <c r="E8" s="228"/>
      <c r="F8" s="228"/>
      <c r="G8" s="342"/>
      <c r="H8" s="354"/>
    </row>
    <row r="9" spans="1:8" ht="15" hidden="1" outlineLevel="1" thickBot="1" x14ac:dyDescent="0.35">
      <c r="A9" s="197" t="s">
        <v>44</v>
      </c>
      <c r="B9" s="229"/>
      <c r="C9" s="230"/>
      <c r="D9" s="230"/>
      <c r="E9" s="230"/>
      <c r="F9" s="230"/>
      <c r="G9" s="343"/>
      <c r="H9" s="354"/>
    </row>
    <row r="10" spans="1:8" x14ac:dyDescent="0.3">
      <c r="A10" s="198" t="s">
        <v>130</v>
      </c>
      <c r="B10" s="213"/>
      <c r="C10" s="214"/>
      <c r="D10" s="214"/>
      <c r="E10" s="214"/>
      <c r="F10" s="214"/>
      <c r="G10" s="344"/>
      <c r="H10" s="354"/>
    </row>
    <row r="11" spans="1:8" x14ac:dyDescent="0.3">
      <c r="A11" s="199" t="s">
        <v>131</v>
      </c>
      <c r="B11" s="215">
        <f xml:space="preserve">
IF($A$4&lt;=12,SUMIFS('ON Data'!F:F,'ON Data'!$D:$D,$A$4,'ON Data'!$E:$E,2),SUMIFS('ON Data'!F:F,'ON Data'!$E:$E,2))</f>
        <v>5644.0000000000009</v>
      </c>
      <c r="C11" s="216">
        <f xml:space="preserve">
IF($A$4&lt;=12,SUMIFS('ON Data'!I:I,'ON Data'!$D:$D,$A$4,'ON Data'!$E:$E,2),SUMIFS('ON Data'!I:I,'ON Data'!$E:$E,2))</f>
        <v>1979.2</v>
      </c>
      <c r="D11" s="216">
        <f xml:space="preserve">
IF($A$4&lt;=12,SUMIFS('ON Data'!K:K,'ON Data'!$D:$D,$A$4,'ON Data'!$E:$E,2),SUMIFS('ON Data'!K:K,'ON Data'!$E:$E,2))</f>
        <v>2425.6</v>
      </c>
      <c r="E11" s="216">
        <f xml:space="preserve">
IF($A$4&lt;=12,SUMIFS('ON Data'!O:O,'ON Data'!$D:$D,$A$4,'ON Data'!$E:$E,2),SUMIFS('ON Data'!O:O,'ON Data'!$E:$E,2))</f>
        <v>0</v>
      </c>
      <c r="F11" s="216">
        <f xml:space="preserve">
IF($A$4&lt;=12,SUMIFS('ON Data'!AJ:AJ,'ON Data'!$D:$D,$A$4,'ON Data'!$E:$E,2),SUMIFS('ON Data'!AJ:AJ,'ON Data'!$E:$E,2))</f>
        <v>94.4</v>
      </c>
      <c r="G11" s="345">
        <f xml:space="preserve">
IF($A$4&lt;=12,SUMIFS('ON Data'!AW:AW,'ON Data'!$D:$D,$A$4,'ON Data'!$E:$E,2),SUMIFS('ON Data'!AW:AW,'ON Data'!$E:$E,2))</f>
        <v>1144.8</v>
      </c>
      <c r="H11" s="354"/>
    </row>
    <row r="12" spans="1:8" x14ac:dyDescent="0.3">
      <c r="A12" s="199" t="s">
        <v>132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Data'!I:I,'ON Data'!$D:$D,$A$4,'ON Data'!$E:$E,3),SUMIFS('ON Data'!I:I,'ON Data'!$E:$E,3))</f>
        <v>0</v>
      </c>
      <c r="D12" s="216">
        <f xml:space="preserve">
IF($A$4&lt;=12,SUMIFS('ON Data'!K:K,'ON Data'!$D:$D,$A$4,'ON Data'!$E:$E,3),SUMIFS('ON Data'!K:K,'ON Data'!$E:$E,3))</f>
        <v>0</v>
      </c>
      <c r="E12" s="216">
        <f xml:space="preserve">
IF($A$4&lt;=12,SUMIFS('ON Data'!O:O,'ON Data'!$D:$D,$A$4,'ON Data'!$E:$E,3),SUMIFS('ON Data'!O:O,'ON Data'!$E:$E,3))</f>
        <v>0</v>
      </c>
      <c r="F12" s="216">
        <f xml:space="preserve">
IF($A$4&lt;=12,SUMIFS('ON Data'!AJ:AJ,'ON Data'!$D:$D,$A$4,'ON Data'!$E:$E,3),SUMIFS('ON Data'!AJ:AJ,'ON Data'!$E:$E,3))</f>
        <v>0</v>
      </c>
      <c r="G12" s="345">
        <f xml:space="preserve">
IF($A$4&lt;=12,SUMIFS('ON Data'!AW:AW,'ON Data'!$D:$D,$A$4,'ON Data'!$E:$E,3),SUMIFS('ON Data'!AW:AW,'ON Data'!$E:$E,3))</f>
        <v>0</v>
      </c>
      <c r="H12" s="354"/>
    </row>
    <row r="13" spans="1:8" x14ac:dyDescent="0.3">
      <c r="A13" s="199" t="s">
        <v>139</v>
      </c>
      <c r="B13" s="215">
        <f xml:space="preserve">
IF($A$4&lt;=12,SUMIFS('ON Data'!F:F,'ON Data'!$D:$D,$A$4,'ON Data'!$E:$E,4),SUMIFS('ON Data'!F:F,'ON Data'!$E:$E,4))</f>
        <v>0</v>
      </c>
      <c r="C13" s="216">
        <f xml:space="preserve">
IF($A$4&lt;=12,SUMIFS('ON Data'!I:I,'ON Data'!$D:$D,$A$4,'ON Data'!$E:$E,4),SUMIFS('ON Data'!I:I,'ON Data'!$E:$E,4))</f>
        <v>0</v>
      </c>
      <c r="D13" s="216">
        <f xml:space="preserve">
IF($A$4&lt;=12,SUMIFS('ON Data'!K:K,'ON Data'!$D:$D,$A$4,'ON Data'!$E:$E,4),SUMIFS('ON Data'!K:K,'ON Data'!$E:$E,4))</f>
        <v>0</v>
      </c>
      <c r="E13" s="216">
        <f xml:space="preserve">
IF($A$4&lt;=12,SUMIFS('ON Data'!O:O,'ON Data'!$D:$D,$A$4,'ON Data'!$E:$E,4),SUMIFS('ON Data'!O:O,'ON Data'!$E:$E,4))</f>
        <v>0</v>
      </c>
      <c r="F13" s="216">
        <f xml:space="preserve">
IF($A$4&lt;=12,SUMIFS('ON Data'!AJ:AJ,'ON Data'!$D:$D,$A$4,'ON Data'!$E:$E,4),SUMIFS('ON Data'!AJ:AJ,'ON Data'!$E:$E,4))</f>
        <v>0</v>
      </c>
      <c r="G13" s="345">
        <f xml:space="preserve">
IF($A$4&lt;=12,SUMIFS('ON Data'!AW:AW,'ON Data'!$D:$D,$A$4,'ON Data'!$E:$E,4),SUMIFS('ON Data'!AW:AW,'ON Data'!$E:$E,4))</f>
        <v>0</v>
      </c>
      <c r="H13" s="354"/>
    </row>
    <row r="14" spans="1:8" ht="15" thickBot="1" x14ac:dyDescent="0.35">
      <c r="A14" s="200" t="s">
        <v>133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Data'!I:I,'ON Data'!$D:$D,$A$4,'ON Data'!$E:$E,5),SUMIFS('ON Data'!I:I,'ON Data'!$E:$E,5))</f>
        <v>0</v>
      </c>
      <c r="D14" s="218">
        <f xml:space="preserve">
IF($A$4&lt;=12,SUMIFS('ON Data'!K:K,'ON Data'!$D:$D,$A$4,'ON Data'!$E:$E,5),SUMIFS('ON Data'!K:K,'ON Data'!$E:$E,5))</f>
        <v>0</v>
      </c>
      <c r="E14" s="218">
        <f xml:space="preserve">
IF($A$4&lt;=12,SUMIFS('ON Data'!O:O,'ON Data'!$D:$D,$A$4,'ON Data'!$E:$E,5),SUMIFS('ON Data'!O:O,'ON Data'!$E:$E,5))</f>
        <v>0</v>
      </c>
      <c r="F14" s="218">
        <f xml:space="preserve">
IF($A$4&lt;=12,SUMIFS('ON Data'!AJ:AJ,'ON Data'!$D:$D,$A$4,'ON Data'!$E:$E,5),SUMIFS('ON Data'!AJ:AJ,'ON Data'!$E:$E,5))</f>
        <v>0</v>
      </c>
      <c r="G14" s="346">
        <f xml:space="preserve">
IF($A$4&lt;=12,SUMIFS('ON Data'!AW:AW,'ON Data'!$D:$D,$A$4,'ON Data'!$E:$E,5),SUMIFS('ON Data'!AW:AW,'ON Data'!$E:$E,5))</f>
        <v>0</v>
      </c>
      <c r="H14" s="354"/>
    </row>
    <row r="15" spans="1:8" x14ac:dyDescent="0.3">
      <c r="A15" s="132" t="s">
        <v>143</v>
      </c>
      <c r="B15" s="219"/>
      <c r="C15" s="220"/>
      <c r="D15" s="220"/>
      <c r="E15" s="220"/>
      <c r="F15" s="220"/>
      <c r="G15" s="347"/>
      <c r="H15" s="354"/>
    </row>
    <row r="16" spans="1:8" x14ac:dyDescent="0.3">
      <c r="A16" s="201" t="s">
        <v>134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Data'!I:I,'ON Data'!$D:$D,$A$4,'ON Data'!$E:$E,7),SUMIFS('ON Data'!I:I,'ON Data'!$E:$E,7))</f>
        <v>0</v>
      </c>
      <c r="D16" s="216">
        <f xml:space="preserve">
IF($A$4&lt;=12,SUMIFS('ON Data'!K:K,'ON Data'!$D:$D,$A$4,'ON Data'!$E:$E,7),SUMIFS('ON Data'!K:K,'ON Data'!$E:$E,7))</f>
        <v>0</v>
      </c>
      <c r="E16" s="216">
        <f xml:space="preserve">
IF($A$4&lt;=12,SUMIFS('ON Data'!O:O,'ON Data'!$D:$D,$A$4,'ON Data'!$E:$E,7),SUMIFS('ON Data'!O:O,'ON Data'!$E:$E,7))</f>
        <v>0</v>
      </c>
      <c r="F16" s="216">
        <f xml:space="preserve">
IF($A$4&lt;=12,SUMIFS('ON Data'!AJ:AJ,'ON Data'!$D:$D,$A$4,'ON Data'!$E:$E,7),SUMIFS('ON Data'!AJ:AJ,'ON Data'!$E:$E,7))</f>
        <v>0</v>
      </c>
      <c r="G16" s="345">
        <f xml:space="preserve">
IF($A$4&lt;=12,SUMIFS('ON Data'!AW:AW,'ON Data'!$D:$D,$A$4,'ON Data'!$E:$E,7),SUMIFS('ON Data'!AW:AW,'ON Data'!$E:$E,7))</f>
        <v>0</v>
      </c>
      <c r="H16" s="354"/>
    </row>
    <row r="17" spans="1:8" x14ac:dyDescent="0.3">
      <c r="A17" s="201" t="s">
        <v>135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Data'!I:I,'ON Data'!$D:$D,$A$4,'ON Data'!$E:$E,8),SUMIFS('ON Data'!I:I,'ON Data'!$E:$E,8))</f>
        <v>0</v>
      </c>
      <c r="D17" s="216">
        <f xml:space="preserve">
IF($A$4&lt;=12,SUMIFS('ON Data'!K:K,'ON Data'!$D:$D,$A$4,'ON Data'!$E:$E,8),SUMIFS('ON Data'!K:K,'ON Data'!$E:$E,8))</f>
        <v>0</v>
      </c>
      <c r="E17" s="216">
        <f xml:space="preserve">
IF($A$4&lt;=12,SUMIFS('ON Data'!O:O,'ON Data'!$D:$D,$A$4,'ON Data'!$E:$E,8),SUMIFS('ON Data'!O:O,'ON Data'!$E:$E,8))</f>
        <v>0</v>
      </c>
      <c r="F17" s="216">
        <f xml:space="preserve">
IF($A$4&lt;=12,SUMIFS('ON Data'!AJ:AJ,'ON Data'!$D:$D,$A$4,'ON Data'!$E:$E,8),SUMIFS('ON Data'!AJ:AJ,'ON Data'!$E:$E,8))</f>
        <v>0</v>
      </c>
      <c r="G17" s="345">
        <f xml:space="preserve">
IF($A$4&lt;=12,SUMIFS('ON Data'!AW:AW,'ON Data'!$D:$D,$A$4,'ON Data'!$E:$E,8),SUMIFS('ON Data'!AW:AW,'ON Data'!$E:$E,8))</f>
        <v>0</v>
      </c>
      <c r="H17" s="354"/>
    </row>
    <row r="18" spans="1:8" x14ac:dyDescent="0.3">
      <c r="A18" s="201" t="s">
        <v>136</v>
      </c>
      <c r="B18" s="215">
        <f xml:space="preserve">
B19-B16-B17</f>
        <v>173480</v>
      </c>
      <c r="C18" s="216">
        <f t="shared" ref="C18:D18" si="0" xml:space="preserve">
C19-C16-C17</f>
        <v>34974</v>
      </c>
      <c r="D18" s="216">
        <f t="shared" si="0"/>
        <v>124257</v>
      </c>
      <c r="E18" s="216">
        <f t="shared" ref="E18:F18" si="1" xml:space="preserve">
E19-E16-E17</f>
        <v>0</v>
      </c>
      <c r="F18" s="216">
        <f t="shared" si="1"/>
        <v>4140</v>
      </c>
      <c r="G18" s="345">
        <f t="shared" ref="G18" si="2" xml:space="preserve">
G19-G16-G17</f>
        <v>10109</v>
      </c>
      <c r="H18" s="354"/>
    </row>
    <row r="19" spans="1:8" ht="15" thickBot="1" x14ac:dyDescent="0.35">
      <c r="A19" s="202" t="s">
        <v>137</v>
      </c>
      <c r="B19" s="221">
        <f xml:space="preserve">
IF($A$4&lt;=12,SUMIFS('ON Data'!F:F,'ON Data'!$D:$D,$A$4,'ON Data'!$E:$E,9),SUMIFS('ON Data'!F:F,'ON Data'!$E:$E,9))</f>
        <v>173480</v>
      </c>
      <c r="C19" s="222">
        <f xml:space="preserve">
IF($A$4&lt;=12,SUMIFS('ON Data'!I:I,'ON Data'!$D:$D,$A$4,'ON Data'!$E:$E,9),SUMIFS('ON Data'!I:I,'ON Data'!$E:$E,9))</f>
        <v>34974</v>
      </c>
      <c r="D19" s="222">
        <f xml:space="preserve">
IF($A$4&lt;=12,SUMIFS('ON Data'!K:K,'ON Data'!$D:$D,$A$4,'ON Data'!$E:$E,9),SUMIFS('ON Data'!K:K,'ON Data'!$E:$E,9))</f>
        <v>124257</v>
      </c>
      <c r="E19" s="222">
        <f xml:space="preserve">
IF($A$4&lt;=12,SUMIFS('ON Data'!O:O,'ON Data'!$D:$D,$A$4,'ON Data'!$E:$E,9),SUMIFS('ON Data'!O:O,'ON Data'!$E:$E,9))</f>
        <v>0</v>
      </c>
      <c r="F19" s="222">
        <f xml:space="preserve">
IF($A$4&lt;=12,SUMIFS('ON Data'!AJ:AJ,'ON Data'!$D:$D,$A$4,'ON Data'!$E:$E,9),SUMIFS('ON Data'!AJ:AJ,'ON Data'!$E:$E,9))</f>
        <v>4140</v>
      </c>
      <c r="G19" s="348">
        <f xml:space="preserve">
IF($A$4&lt;=12,SUMIFS('ON Data'!AW:AW,'ON Data'!$D:$D,$A$4,'ON Data'!$E:$E,9),SUMIFS('ON Data'!AW:AW,'ON Data'!$E:$E,9))</f>
        <v>10109</v>
      </c>
      <c r="H19" s="354"/>
    </row>
    <row r="20" spans="1:8" ht="15" collapsed="1" thickBot="1" x14ac:dyDescent="0.35">
      <c r="A20" s="203" t="s">
        <v>49</v>
      </c>
      <c r="B20" s="223">
        <f xml:space="preserve">
IF($A$4&lt;=12,SUMIFS('ON Data'!F:F,'ON Data'!$D:$D,$A$4,'ON Data'!$E:$E,6),SUMIFS('ON Data'!F:F,'ON Data'!$E:$E,6))</f>
        <v>1401183</v>
      </c>
      <c r="C20" s="224">
        <f xml:space="preserve">
IF($A$4&lt;=12,SUMIFS('ON Data'!I:I,'ON Data'!$D:$D,$A$4,'ON Data'!$E:$E,6),SUMIFS('ON Data'!I:I,'ON Data'!$E:$E,6))</f>
        <v>415869</v>
      </c>
      <c r="D20" s="224">
        <f xml:space="preserve">
IF($A$4&lt;=12,SUMIFS('ON Data'!K:K,'ON Data'!$D:$D,$A$4,'ON Data'!$E:$E,6),SUMIFS('ON Data'!K:K,'ON Data'!$E:$E,6))</f>
        <v>800822</v>
      </c>
      <c r="E20" s="224">
        <f xml:space="preserve">
IF($A$4&lt;=12,SUMIFS('ON Data'!O:O,'ON Data'!$D:$D,$A$4,'ON Data'!$E:$E,6),SUMIFS('ON Data'!O:O,'ON Data'!$E:$E,6))</f>
        <v>0</v>
      </c>
      <c r="F20" s="224">
        <f xml:space="preserve">
IF($A$4&lt;=12,SUMIFS('ON Data'!AJ:AJ,'ON Data'!$D:$D,$A$4,'ON Data'!$E:$E,6),SUMIFS('ON Data'!AJ:AJ,'ON Data'!$E:$E,6))</f>
        <v>30862</v>
      </c>
      <c r="G20" s="349">
        <f xml:space="preserve">
IF($A$4&lt;=12,SUMIFS('ON Data'!AW:AW,'ON Data'!$D:$D,$A$4,'ON Data'!$E:$E,6),SUMIFS('ON Data'!AW:AW,'ON Data'!$E:$E,6))</f>
        <v>153630</v>
      </c>
      <c r="H20" s="354"/>
    </row>
    <row r="21" spans="1:8" ht="15" hidden="1" outlineLevel="1" thickBot="1" x14ac:dyDescent="0.35">
      <c r="A21" s="196" t="s">
        <v>83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Data'!I:I,'ON Data'!$D:$D,$A$4,'ON Data'!$E:$E,12),SUMIFS('ON Data'!I:I,'ON Data'!$E:$E,12))</f>
        <v>0</v>
      </c>
      <c r="D21" s="216">
        <f xml:space="preserve">
IF($A$4&lt;=12,SUMIFS('ON Data'!K:K,'ON Data'!$D:$D,$A$4,'ON Data'!$E:$E,12),SUMIFS('ON Data'!K:K,'ON Data'!$E:$E,12))</f>
        <v>0</v>
      </c>
      <c r="E21" s="216">
        <f xml:space="preserve">
IF($A$4&lt;=12,SUMIFS('ON Data'!O:O,'ON Data'!$D:$D,$A$4,'ON Data'!$E:$E,12),SUMIFS('ON Data'!O:O,'ON Data'!$E:$E,12))</f>
        <v>0</v>
      </c>
      <c r="F21" s="216">
        <f xml:space="preserve">
IF($A$4&lt;=12,SUMIFS('ON Data'!AJ:AJ,'ON Data'!$D:$D,$A$4,'ON Data'!$E:$E,12),SUMIFS('ON Data'!AJ:AJ,'ON Data'!$E:$E,12))</f>
        <v>0</v>
      </c>
      <c r="H21" s="354"/>
    </row>
    <row r="22" spans="1:8" ht="15" hidden="1" outlineLevel="1" thickBot="1" x14ac:dyDescent="0.35">
      <c r="A22" s="196" t="s">
        <v>51</v>
      </c>
      <c r="B22" s="244" t="str">
        <f xml:space="preserve">
IF(OR(B21="",B21=0),"",B20/B21)</f>
        <v/>
      </c>
      <c r="C22" s="245" t="str">
        <f t="shared" ref="C22:D22" si="3" xml:space="preserve">
IF(OR(C21="",C21=0),"",C20/C21)</f>
        <v/>
      </c>
      <c r="D22" s="245" t="str">
        <f t="shared" si="3"/>
        <v/>
      </c>
      <c r="E22" s="245" t="str">
        <f t="shared" ref="E22:F22" si="4" xml:space="preserve">
IF(OR(E21="",E21=0),"",E20/E21)</f>
        <v/>
      </c>
      <c r="F22" s="245" t="str">
        <f t="shared" si="4"/>
        <v/>
      </c>
      <c r="H22" s="354"/>
    </row>
    <row r="23" spans="1:8" ht="15" hidden="1" outlineLevel="1" thickBot="1" x14ac:dyDescent="0.35">
      <c r="A23" s="204" t="s">
        <v>44</v>
      </c>
      <c r="B23" s="217">
        <f xml:space="preserve">
IF(B21="","",B20-B21)</f>
        <v>1401183</v>
      </c>
      <c r="C23" s="218">
        <f t="shared" ref="C23:D23" si="5" xml:space="preserve">
IF(C21="","",C20-C21)</f>
        <v>415869</v>
      </c>
      <c r="D23" s="218">
        <f t="shared" si="5"/>
        <v>800822</v>
      </c>
      <c r="E23" s="218">
        <f t="shared" ref="E23:F23" si="6" xml:space="preserve">
IF(E21="","",E20-E21)</f>
        <v>0</v>
      </c>
      <c r="F23" s="218">
        <f t="shared" si="6"/>
        <v>30862</v>
      </c>
      <c r="H23" s="354"/>
    </row>
    <row r="24" spans="1:8" x14ac:dyDescent="0.3">
      <c r="A24" s="198" t="s">
        <v>138</v>
      </c>
      <c r="B24" s="235" t="s">
        <v>2</v>
      </c>
      <c r="C24" s="355"/>
      <c r="D24" s="327"/>
      <c r="E24" s="328" t="s">
        <v>149</v>
      </c>
      <c r="F24" s="329"/>
      <c r="G24" s="350" t="s">
        <v>150</v>
      </c>
      <c r="H24" s="354"/>
    </row>
    <row r="25" spans="1:8" x14ac:dyDescent="0.3">
      <c r="A25" s="199" t="s">
        <v>49</v>
      </c>
      <c r="B25" s="215">
        <f xml:space="preserve">
SUM(C25:G25)</f>
        <v>0</v>
      </c>
      <c r="C25" s="356"/>
      <c r="D25" s="330"/>
      <c r="E25" s="331">
        <f xml:space="preserve">
IF($A$4&lt;=12,SUMIFS('ON Data'!O:O,'ON Data'!$D:$D,$A$4,'ON Data'!$E:$E,10),SUMIFS('ON Data'!O:O,'ON Data'!$E:$E,10))</f>
        <v>0</v>
      </c>
      <c r="F25" s="332"/>
      <c r="G25" s="351">
        <f xml:space="preserve">
IF($A$4&lt;=12,SUMIFS('ON Data'!AW:AW,'ON Data'!$D:$D,$A$4,'ON Data'!$E:$E,10),SUMIFS('ON Data'!AW:AW,'ON Data'!$E:$E,10))</f>
        <v>0</v>
      </c>
      <c r="H25" s="354"/>
    </row>
    <row r="26" spans="1:8" x14ac:dyDescent="0.3">
      <c r="A26" s="205" t="s">
        <v>148</v>
      </c>
      <c r="B26" s="221">
        <f xml:space="preserve">
SUM(C26:G26)</f>
        <v>0</v>
      </c>
      <c r="C26" s="356"/>
      <c r="D26" s="330"/>
      <c r="E26" s="333">
        <f xml:space="preserve">
IF($A$4&lt;=12,SUMIFS('ON Data'!O:O,'ON Data'!$D:$D,$A$4,'ON Data'!$E:$E,11),SUMIFS('ON Data'!O:O,'ON Data'!$E:$E,11))</f>
        <v>0</v>
      </c>
      <c r="F26" s="334"/>
      <c r="G26" s="351">
        <f xml:space="preserve">
IF($A$4&lt;=12,SUMIFS('ON Data'!AW:AW,'ON Data'!$D:$D,$A$4,'ON Data'!$E:$E,11),SUMIFS('ON Data'!AW:AW,'ON Data'!$E:$E,11))</f>
        <v>0</v>
      </c>
      <c r="H26" s="354"/>
    </row>
    <row r="27" spans="1:8" x14ac:dyDescent="0.3">
      <c r="A27" s="205" t="s">
        <v>51</v>
      </c>
      <c r="B27" s="236">
        <f xml:space="preserve">
IF(B26=0,0,B25/B26)</f>
        <v>0</v>
      </c>
      <c r="C27" s="357"/>
      <c r="D27" s="330"/>
      <c r="E27" s="335">
        <f xml:space="preserve">
IF(E26=0,0,E25/E26)</f>
        <v>0</v>
      </c>
      <c r="F27" s="332"/>
      <c r="G27" s="352">
        <f xml:space="preserve">
IF(G26=0,0,G25/G26)</f>
        <v>0</v>
      </c>
      <c r="H27" s="354"/>
    </row>
    <row r="28" spans="1:8" ht="15" thickBot="1" x14ac:dyDescent="0.35">
      <c r="A28" s="205" t="s">
        <v>147</v>
      </c>
      <c r="B28" s="221">
        <f xml:space="preserve">
SUM(C28:G28)</f>
        <v>0</v>
      </c>
      <c r="C28" s="358"/>
      <c r="D28" s="336"/>
      <c r="E28" s="337">
        <f xml:space="preserve">
E26-E25</f>
        <v>0</v>
      </c>
      <c r="F28" s="338"/>
      <c r="G28" s="353">
        <f xml:space="preserve">
G26-G25</f>
        <v>0</v>
      </c>
      <c r="H28" s="354"/>
    </row>
    <row r="29" spans="1:8" x14ac:dyDescent="0.3">
      <c r="A29" s="206"/>
      <c r="B29" s="206"/>
      <c r="C29" s="206"/>
      <c r="D29" s="207"/>
      <c r="E29" s="207"/>
      <c r="F29" s="207"/>
    </row>
    <row r="30" spans="1:8" x14ac:dyDescent="0.3">
      <c r="A30" s="85" t="s">
        <v>110</v>
      </c>
      <c r="B30" s="102"/>
      <c r="C30" s="102"/>
      <c r="D30" s="102"/>
      <c r="E30" s="102"/>
      <c r="F30" s="102"/>
    </row>
    <row r="31" spans="1:8" x14ac:dyDescent="0.3">
      <c r="A31" s="86" t="s">
        <v>145</v>
      </c>
      <c r="B31" s="102"/>
      <c r="C31" s="102"/>
      <c r="D31" s="102"/>
      <c r="E31" s="102"/>
      <c r="F31" s="102"/>
    </row>
    <row r="32" spans="1:8" ht="14.4" customHeight="1" x14ac:dyDescent="0.3">
      <c r="A32" s="232" t="s">
        <v>142</v>
      </c>
      <c r="B32" s="233"/>
      <c r="C32" s="233"/>
      <c r="D32" s="233"/>
      <c r="E32" s="233"/>
      <c r="F32" s="233"/>
    </row>
    <row r="33" spans="1:1" x14ac:dyDescent="0.3">
      <c r="A33" s="234" t="s">
        <v>160</v>
      </c>
    </row>
    <row r="34" spans="1:1" x14ac:dyDescent="0.3">
      <c r="A34" s="234" t="s">
        <v>161</v>
      </c>
    </row>
    <row r="35" spans="1:1" x14ac:dyDescent="0.3">
      <c r="A35" s="234" t="s">
        <v>162</v>
      </c>
    </row>
    <row r="36" spans="1:1" x14ac:dyDescent="0.3">
      <c r="A36" s="234" t="s">
        <v>151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7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240</v>
      </c>
    </row>
    <row r="2" spans="1:49" x14ac:dyDescent="0.3">
      <c r="A2" s="191" t="s">
        <v>184</v>
      </c>
    </row>
    <row r="3" spans="1:49" x14ac:dyDescent="0.3">
      <c r="A3" s="187" t="s">
        <v>114</v>
      </c>
      <c r="B3" s="210">
        <v>2016</v>
      </c>
      <c r="D3" s="188">
        <f>MAX(D5:D1048576)</f>
        <v>12</v>
      </c>
      <c r="F3" s="188">
        <f>SUMIF($E5:$E1048576,"&lt;10",F5:F1048576)</f>
        <v>1580345.2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452835.2</v>
      </c>
      <c r="J3" s="188">
        <f t="shared" si="0"/>
        <v>0</v>
      </c>
      <c r="K3" s="188">
        <f t="shared" si="0"/>
        <v>927522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35096.999999999993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164891.00000000006</v>
      </c>
    </row>
    <row r="4" spans="1:49" x14ac:dyDescent="0.3">
      <c r="A4" s="187" t="s">
        <v>115</v>
      </c>
      <c r="B4" s="210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10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10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10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10">
        <v>5</v>
      </c>
      <c r="C8" s="187">
        <v>43</v>
      </c>
      <c r="D8" s="187">
        <v>1</v>
      </c>
      <c r="E8" s="187">
        <v>11</v>
      </c>
      <c r="F8" s="187">
        <v>572.51908396946567</v>
      </c>
      <c r="G8" s="187">
        <v>0</v>
      </c>
      <c r="H8" s="187">
        <v>0</v>
      </c>
      <c r="I8" s="187">
        <v>0</v>
      </c>
      <c r="J8" s="187">
        <v>572.51908396946567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10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10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10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10">
        <v>9</v>
      </c>
      <c r="C12" s="187">
        <v>43</v>
      </c>
      <c r="D12" s="187">
        <v>2</v>
      </c>
      <c r="E12" s="187">
        <v>11</v>
      </c>
      <c r="F12" s="187">
        <v>572.51908396946567</v>
      </c>
      <c r="G12" s="187">
        <v>0</v>
      </c>
      <c r="H12" s="187">
        <v>0</v>
      </c>
      <c r="I12" s="187">
        <v>0</v>
      </c>
      <c r="J12" s="187">
        <v>572.51908396946567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10">
        <v>10</v>
      </c>
      <c r="C13" s="187">
        <v>43</v>
      </c>
      <c r="D13" s="187">
        <v>3</v>
      </c>
      <c r="E13" s="187">
        <v>1</v>
      </c>
      <c r="F13" s="187">
        <v>3.45</v>
      </c>
      <c r="G13" s="187">
        <v>0</v>
      </c>
      <c r="H13" s="187">
        <v>0</v>
      </c>
      <c r="I13" s="187">
        <v>0</v>
      </c>
      <c r="J13" s="187">
        <v>0</v>
      </c>
      <c r="K13" s="187">
        <v>2.8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0.05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  <c r="AP13" s="187">
        <v>0</v>
      </c>
      <c r="AQ13" s="187">
        <v>0</v>
      </c>
      <c r="AR13" s="187">
        <v>0</v>
      </c>
      <c r="AS13" s="187">
        <v>0</v>
      </c>
      <c r="AT13" s="187">
        <v>0</v>
      </c>
      <c r="AU13" s="187">
        <v>0</v>
      </c>
      <c r="AV13" s="187">
        <v>0</v>
      </c>
      <c r="AW13" s="187">
        <v>0.6</v>
      </c>
    </row>
    <row r="14" spans="1:49" x14ac:dyDescent="0.3">
      <c r="A14" s="187" t="s">
        <v>125</v>
      </c>
      <c r="B14" s="210">
        <v>11</v>
      </c>
      <c r="C14" s="187">
        <v>43</v>
      </c>
      <c r="D14" s="187">
        <v>3</v>
      </c>
      <c r="E14" s="187">
        <v>2</v>
      </c>
      <c r="F14" s="187">
        <v>534.79999999999995</v>
      </c>
      <c r="G14" s="187">
        <v>0</v>
      </c>
      <c r="H14" s="187">
        <v>0</v>
      </c>
      <c r="I14" s="187">
        <v>0</v>
      </c>
      <c r="J14" s="187">
        <v>0</v>
      </c>
      <c r="K14" s="187">
        <v>419.2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9.1999999999999993</v>
      </c>
      <c r="AK14" s="187">
        <v>0</v>
      </c>
      <c r="AL14" s="187">
        <v>0</v>
      </c>
      <c r="AM14" s="187">
        <v>0</v>
      </c>
      <c r="AN14" s="187">
        <v>0</v>
      </c>
      <c r="AO14" s="187">
        <v>0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>
        <v>106.4</v>
      </c>
    </row>
    <row r="15" spans="1:49" x14ac:dyDescent="0.3">
      <c r="A15" s="187" t="s">
        <v>126</v>
      </c>
      <c r="B15" s="210">
        <v>12</v>
      </c>
      <c r="C15" s="187">
        <v>43</v>
      </c>
      <c r="D15" s="187">
        <v>3</v>
      </c>
      <c r="E15" s="187">
        <v>6</v>
      </c>
      <c r="F15" s="187">
        <v>99644</v>
      </c>
      <c r="G15" s="187">
        <v>0</v>
      </c>
      <c r="H15" s="187">
        <v>0</v>
      </c>
      <c r="I15" s="187">
        <v>0</v>
      </c>
      <c r="J15" s="187">
        <v>0</v>
      </c>
      <c r="K15" s="187">
        <v>85445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2250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11949</v>
      </c>
    </row>
    <row r="16" spans="1:49" x14ac:dyDescent="0.3">
      <c r="A16" s="187" t="s">
        <v>114</v>
      </c>
      <c r="B16" s="210">
        <v>2016</v>
      </c>
      <c r="C16" s="187">
        <v>43</v>
      </c>
      <c r="D16" s="187">
        <v>3</v>
      </c>
      <c r="E16" s="187">
        <v>11</v>
      </c>
      <c r="F16" s="187">
        <v>572.51908396946567</v>
      </c>
      <c r="G16" s="187">
        <v>0</v>
      </c>
      <c r="H16" s="187">
        <v>0</v>
      </c>
      <c r="I16" s="187">
        <v>0</v>
      </c>
      <c r="J16" s="187">
        <v>572.51908396946567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87">
        <v>0</v>
      </c>
      <c r="AP16" s="187">
        <v>0</v>
      </c>
      <c r="AQ16" s="187">
        <v>0</v>
      </c>
      <c r="AR16" s="187">
        <v>0</v>
      </c>
      <c r="AS16" s="187">
        <v>0</v>
      </c>
      <c r="AT16" s="187">
        <v>0</v>
      </c>
      <c r="AU16" s="187">
        <v>0</v>
      </c>
      <c r="AV16" s="187">
        <v>0</v>
      </c>
      <c r="AW16" s="187">
        <v>0</v>
      </c>
    </row>
    <row r="17" spans="3:49" x14ac:dyDescent="0.3">
      <c r="C17" s="187">
        <v>43</v>
      </c>
      <c r="D17" s="187">
        <v>4</v>
      </c>
      <c r="E17" s="187">
        <v>1</v>
      </c>
      <c r="F17" s="187">
        <v>3.45</v>
      </c>
      <c r="G17" s="187">
        <v>0</v>
      </c>
      <c r="H17" s="187">
        <v>0</v>
      </c>
      <c r="I17" s="187">
        <v>1.8</v>
      </c>
      <c r="J17" s="187">
        <v>0</v>
      </c>
      <c r="K17" s="187">
        <v>1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0.05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  <c r="AP17" s="187">
        <v>0</v>
      </c>
      <c r="AQ17" s="187">
        <v>0</v>
      </c>
      <c r="AR17" s="187">
        <v>0</v>
      </c>
      <c r="AS17" s="187">
        <v>0</v>
      </c>
      <c r="AT17" s="187">
        <v>0</v>
      </c>
      <c r="AU17" s="187">
        <v>0</v>
      </c>
      <c r="AV17" s="187">
        <v>0</v>
      </c>
      <c r="AW17" s="187">
        <v>0.6</v>
      </c>
    </row>
    <row r="18" spans="3:49" x14ac:dyDescent="0.3">
      <c r="C18" s="187">
        <v>43</v>
      </c>
      <c r="D18" s="187">
        <v>4</v>
      </c>
      <c r="E18" s="187">
        <v>2</v>
      </c>
      <c r="F18" s="187">
        <v>454</v>
      </c>
      <c r="G18" s="187">
        <v>0</v>
      </c>
      <c r="H18" s="187">
        <v>0</v>
      </c>
      <c r="I18" s="187">
        <v>262.39999999999998</v>
      </c>
      <c r="J18" s="187">
        <v>0</v>
      </c>
      <c r="K18" s="187">
        <v>84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8.4</v>
      </c>
      <c r="AK18" s="187">
        <v>0</v>
      </c>
      <c r="AL18" s="187">
        <v>0</v>
      </c>
      <c r="AM18" s="187">
        <v>0</v>
      </c>
      <c r="AN18" s="187">
        <v>0</v>
      </c>
      <c r="AO18" s="187">
        <v>0</v>
      </c>
      <c r="AP18" s="187">
        <v>0</v>
      </c>
      <c r="AQ18" s="187">
        <v>0</v>
      </c>
      <c r="AR18" s="187">
        <v>0</v>
      </c>
      <c r="AS18" s="187">
        <v>0</v>
      </c>
      <c r="AT18" s="187">
        <v>0</v>
      </c>
      <c r="AU18" s="187">
        <v>0</v>
      </c>
      <c r="AV18" s="187">
        <v>0</v>
      </c>
      <c r="AW18" s="187">
        <v>99.2</v>
      </c>
    </row>
    <row r="19" spans="3:49" x14ac:dyDescent="0.3">
      <c r="C19" s="187">
        <v>43</v>
      </c>
      <c r="D19" s="187">
        <v>4</v>
      </c>
      <c r="E19" s="187">
        <v>6</v>
      </c>
      <c r="F19" s="187">
        <v>98985</v>
      </c>
      <c r="G19" s="187">
        <v>0</v>
      </c>
      <c r="H19" s="187">
        <v>0</v>
      </c>
      <c r="I19" s="187">
        <v>52439</v>
      </c>
      <c r="J19" s="187">
        <v>0</v>
      </c>
      <c r="K19" s="187">
        <v>32390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2250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11906</v>
      </c>
    </row>
    <row r="20" spans="3:49" x14ac:dyDescent="0.3">
      <c r="C20" s="187">
        <v>43</v>
      </c>
      <c r="D20" s="187">
        <v>4</v>
      </c>
      <c r="E20" s="187">
        <v>11</v>
      </c>
      <c r="F20" s="187">
        <v>572.51908396946567</v>
      </c>
      <c r="G20" s="187">
        <v>0</v>
      </c>
      <c r="H20" s="187">
        <v>0</v>
      </c>
      <c r="I20" s="187">
        <v>0</v>
      </c>
      <c r="J20" s="187">
        <v>572.51908396946567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0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0</v>
      </c>
      <c r="AO20" s="187">
        <v>0</v>
      </c>
      <c r="AP20" s="187">
        <v>0</v>
      </c>
      <c r="AQ20" s="187">
        <v>0</v>
      </c>
      <c r="AR20" s="187">
        <v>0</v>
      </c>
      <c r="AS20" s="187">
        <v>0</v>
      </c>
      <c r="AT20" s="187">
        <v>0</v>
      </c>
      <c r="AU20" s="187">
        <v>0</v>
      </c>
      <c r="AV20" s="187">
        <v>0</v>
      </c>
      <c r="AW20" s="187">
        <v>0</v>
      </c>
    </row>
    <row r="21" spans="3:49" x14ac:dyDescent="0.3">
      <c r="C21" s="187">
        <v>43</v>
      </c>
      <c r="D21" s="187">
        <v>5</v>
      </c>
      <c r="E21" s="187">
        <v>1</v>
      </c>
      <c r="F21" s="187">
        <v>3.45</v>
      </c>
      <c r="G21" s="187">
        <v>0</v>
      </c>
      <c r="H21" s="187">
        <v>0</v>
      </c>
      <c r="I21" s="187">
        <v>1.8</v>
      </c>
      <c r="J21" s="187">
        <v>0</v>
      </c>
      <c r="K21" s="187">
        <v>1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0.05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  <c r="AP21" s="187">
        <v>0</v>
      </c>
      <c r="AQ21" s="187">
        <v>0</v>
      </c>
      <c r="AR21" s="187">
        <v>0</v>
      </c>
      <c r="AS21" s="187">
        <v>0</v>
      </c>
      <c r="AT21" s="187">
        <v>0</v>
      </c>
      <c r="AU21" s="187">
        <v>0</v>
      </c>
      <c r="AV21" s="187">
        <v>0</v>
      </c>
      <c r="AW21" s="187">
        <v>0.6</v>
      </c>
    </row>
    <row r="22" spans="3:49" x14ac:dyDescent="0.3">
      <c r="C22" s="187">
        <v>43</v>
      </c>
      <c r="D22" s="187">
        <v>5</v>
      </c>
      <c r="E22" s="187">
        <v>2</v>
      </c>
      <c r="F22" s="187">
        <v>527.20000000000005</v>
      </c>
      <c r="G22" s="187">
        <v>0</v>
      </c>
      <c r="H22" s="187">
        <v>0</v>
      </c>
      <c r="I22" s="187">
        <v>316.8</v>
      </c>
      <c r="J22" s="187">
        <v>0</v>
      </c>
      <c r="K22" s="187">
        <v>96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8.8000000000000007</v>
      </c>
      <c r="AK22" s="187">
        <v>0</v>
      </c>
      <c r="AL22" s="187">
        <v>0</v>
      </c>
      <c r="AM22" s="187">
        <v>0</v>
      </c>
      <c r="AN22" s="187">
        <v>0</v>
      </c>
      <c r="AO22" s="187">
        <v>0</v>
      </c>
      <c r="AP22" s="187">
        <v>0</v>
      </c>
      <c r="AQ22" s="187">
        <v>0</v>
      </c>
      <c r="AR22" s="187">
        <v>0</v>
      </c>
      <c r="AS22" s="187">
        <v>0</v>
      </c>
      <c r="AT22" s="187">
        <v>0</v>
      </c>
      <c r="AU22" s="187">
        <v>0</v>
      </c>
      <c r="AV22" s="187">
        <v>0</v>
      </c>
      <c r="AW22" s="187">
        <v>105.6</v>
      </c>
    </row>
    <row r="23" spans="3:49" x14ac:dyDescent="0.3">
      <c r="C23" s="187">
        <v>43</v>
      </c>
      <c r="D23" s="187">
        <v>5</v>
      </c>
      <c r="E23" s="187">
        <v>6</v>
      </c>
      <c r="F23" s="187">
        <v>108300</v>
      </c>
      <c r="G23" s="187">
        <v>0</v>
      </c>
      <c r="H23" s="187">
        <v>0</v>
      </c>
      <c r="I23" s="187">
        <v>52144</v>
      </c>
      <c r="J23" s="187">
        <v>0</v>
      </c>
      <c r="K23" s="187">
        <v>42003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2250</v>
      </c>
      <c r="AK23" s="187">
        <v>0</v>
      </c>
      <c r="AL23" s="187">
        <v>0</v>
      </c>
      <c r="AM23" s="187">
        <v>0</v>
      </c>
      <c r="AN23" s="187">
        <v>0</v>
      </c>
      <c r="AO23" s="187">
        <v>0</v>
      </c>
      <c r="AP23" s="187">
        <v>0</v>
      </c>
      <c r="AQ23" s="187">
        <v>0</v>
      </c>
      <c r="AR23" s="187">
        <v>0</v>
      </c>
      <c r="AS23" s="187">
        <v>0</v>
      </c>
      <c r="AT23" s="187">
        <v>0</v>
      </c>
      <c r="AU23" s="187">
        <v>0</v>
      </c>
      <c r="AV23" s="187">
        <v>0</v>
      </c>
      <c r="AW23" s="187">
        <v>11903</v>
      </c>
    </row>
    <row r="24" spans="3:49" x14ac:dyDescent="0.3">
      <c r="C24" s="187">
        <v>43</v>
      </c>
      <c r="D24" s="187">
        <v>5</v>
      </c>
      <c r="E24" s="187">
        <v>11</v>
      </c>
      <c r="F24" s="187">
        <v>572.51908396946567</v>
      </c>
      <c r="G24" s="187">
        <v>0</v>
      </c>
      <c r="H24" s="187">
        <v>0</v>
      </c>
      <c r="I24" s="187">
        <v>0</v>
      </c>
      <c r="J24" s="187">
        <v>572.51908396946567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87">
        <v>0</v>
      </c>
      <c r="AP24" s="187">
        <v>0</v>
      </c>
      <c r="AQ24" s="187">
        <v>0</v>
      </c>
      <c r="AR24" s="187">
        <v>0</v>
      </c>
      <c r="AS24" s="187">
        <v>0</v>
      </c>
      <c r="AT24" s="187">
        <v>0</v>
      </c>
      <c r="AU24" s="187">
        <v>0</v>
      </c>
      <c r="AV24" s="187">
        <v>0</v>
      </c>
      <c r="AW24" s="187">
        <v>0</v>
      </c>
    </row>
    <row r="25" spans="3:49" x14ac:dyDescent="0.3">
      <c r="C25" s="187">
        <v>43</v>
      </c>
      <c r="D25" s="187">
        <v>6</v>
      </c>
      <c r="E25" s="187">
        <v>1</v>
      </c>
      <c r="F25" s="187">
        <v>3.45</v>
      </c>
      <c r="G25" s="187">
        <v>0</v>
      </c>
      <c r="H25" s="187">
        <v>0</v>
      </c>
      <c r="I25" s="187">
        <v>1.8</v>
      </c>
      <c r="J25" s="187">
        <v>0</v>
      </c>
      <c r="K25" s="187">
        <v>1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0.05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  <c r="AP25" s="187">
        <v>0</v>
      </c>
      <c r="AQ25" s="187">
        <v>0</v>
      </c>
      <c r="AR25" s="187">
        <v>0</v>
      </c>
      <c r="AS25" s="187">
        <v>0</v>
      </c>
      <c r="AT25" s="187">
        <v>0</v>
      </c>
      <c r="AU25" s="187">
        <v>0</v>
      </c>
      <c r="AV25" s="187">
        <v>0</v>
      </c>
      <c r="AW25" s="187">
        <v>0.6</v>
      </c>
    </row>
    <row r="26" spans="3:49" x14ac:dyDescent="0.3">
      <c r="C26" s="187">
        <v>43</v>
      </c>
      <c r="D26" s="187">
        <v>6</v>
      </c>
      <c r="E26" s="187">
        <v>2</v>
      </c>
      <c r="F26" s="187">
        <v>556</v>
      </c>
      <c r="G26" s="187">
        <v>0</v>
      </c>
      <c r="H26" s="187">
        <v>0</v>
      </c>
      <c r="I26" s="187">
        <v>265.60000000000002</v>
      </c>
      <c r="J26" s="187">
        <v>0</v>
      </c>
      <c r="K26" s="187">
        <v>176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8.8000000000000007</v>
      </c>
      <c r="AK26" s="187">
        <v>0</v>
      </c>
      <c r="AL26" s="187">
        <v>0</v>
      </c>
      <c r="AM26" s="187">
        <v>0</v>
      </c>
      <c r="AN26" s="187">
        <v>0</v>
      </c>
      <c r="AO26" s="187">
        <v>0</v>
      </c>
      <c r="AP26" s="187">
        <v>0</v>
      </c>
      <c r="AQ26" s="187">
        <v>0</v>
      </c>
      <c r="AR26" s="187">
        <v>0</v>
      </c>
      <c r="AS26" s="187">
        <v>0</v>
      </c>
      <c r="AT26" s="187">
        <v>0</v>
      </c>
      <c r="AU26" s="187">
        <v>0</v>
      </c>
      <c r="AV26" s="187">
        <v>0</v>
      </c>
      <c r="AW26" s="187">
        <v>105.6</v>
      </c>
    </row>
    <row r="27" spans="3:49" x14ac:dyDescent="0.3">
      <c r="C27" s="187">
        <v>43</v>
      </c>
      <c r="D27" s="187">
        <v>6</v>
      </c>
      <c r="E27" s="187">
        <v>6</v>
      </c>
      <c r="F27" s="187">
        <v>116213</v>
      </c>
      <c r="G27" s="187">
        <v>0</v>
      </c>
      <c r="H27" s="187">
        <v>0</v>
      </c>
      <c r="I27" s="187">
        <v>52055</v>
      </c>
      <c r="J27" s="187">
        <v>0</v>
      </c>
      <c r="K27" s="187">
        <v>50005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2250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11903</v>
      </c>
    </row>
    <row r="28" spans="3:49" x14ac:dyDescent="0.3">
      <c r="C28" s="187">
        <v>43</v>
      </c>
      <c r="D28" s="187">
        <v>6</v>
      </c>
      <c r="E28" s="187">
        <v>11</v>
      </c>
      <c r="F28" s="187">
        <v>572.51908396946567</v>
      </c>
      <c r="G28" s="187">
        <v>0</v>
      </c>
      <c r="H28" s="187">
        <v>0</v>
      </c>
      <c r="I28" s="187">
        <v>0</v>
      </c>
      <c r="J28" s="187">
        <v>572.51908396946567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87">
        <v>0</v>
      </c>
      <c r="AV28" s="187">
        <v>0</v>
      </c>
      <c r="AW28" s="187">
        <v>0</v>
      </c>
    </row>
    <row r="29" spans="3:49" x14ac:dyDescent="0.3">
      <c r="C29" s="187">
        <v>43</v>
      </c>
      <c r="D29" s="187">
        <v>7</v>
      </c>
      <c r="E29" s="187">
        <v>1</v>
      </c>
      <c r="F29" s="187">
        <v>3.45</v>
      </c>
      <c r="G29" s="187">
        <v>0</v>
      </c>
      <c r="H29" s="187">
        <v>0</v>
      </c>
      <c r="I29" s="187">
        <v>1.8</v>
      </c>
      <c r="J29" s="187">
        <v>0</v>
      </c>
      <c r="K29" s="187">
        <v>1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0.05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  <c r="AP29" s="187">
        <v>0</v>
      </c>
      <c r="AQ29" s="187">
        <v>0</v>
      </c>
      <c r="AR29" s="187">
        <v>0</v>
      </c>
      <c r="AS29" s="187">
        <v>0</v>
      </c>
      <c r="AT29" s="187">
        <v>0</v>
      </c>
      <c r="AU29" s="187">
        <v>0</v>
      </c>
      <c r="AV29" s="187">
        <v>0</v>
      </c>
      <c r="AW29" s="187">
        <v>0.6</v>
      </c>
    </row>
    <row r="30" spans="3:49" x14ac:dyDescent="0.3">
      <c r="C30" s="187">
        <v>43</v>
      </c>
      <c r="D30" s="187">
        <v>7</v>
      </c>
      <c r="E30" s="187">
        <v>2</v>
      </c>
      <c r="F30" s="187">
        <v>420</v>
      </c>
      <c r="G30" s="187">
        <v>0</v>
      </c>
      <c r="H30" s="187">
        <v>0</v>
      </c>
      <c r="I30" s="187">
        <v>219.2</v>
      </c>
      <c r="J30" s="187">
        <v>0</v>
      </c>
      <c r="K30" s="187">
        <v>128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4</v>
      </c>
      <c r="AK30" s="187">
        <v>0</v>
      </c>
      <c r="AL30" s="187">
        <v>0</v>
      </c>
      <c r="AM30" s="187">
        <v>0</v>
      </c>
      <c r="AN30" s="187">
        <v>0</v>
      </c>
      <c r="AO30" s="187">
        <v>0</v>
      </c>
      <c r="AP30" s="187">
        <v>0</v>
      </c>
      <c r="AQ30" s="187">
        <v>0</v>
      </c>
      <c r="AR30" s="187">
        <v>0</v>
      </c>
      <c r="AS30" s="187">
        <v>0</v>
      </c>
      <c r="AT30" s="187">
        <v>0</v>
      </c>
      <c r="AU30" s="187">
        <v>0</v>
      </c>
      <c r="AV30" s="187">
        <v>0</v>
      </c>
      <c r="AW30" s="187">
        <v>68.8</v>
      </c>
    </row>
    <row r="31" spans="3:49" x14ac:dyDescent="0.3">
      <c r="C31" s="187">
        <v>43</v>
      </c>
      <c r="D31" s="187">
        <v>7</v>
      </c>
      <c r="E31" s="187">
        <v>6</v>
      </c>
      <c r="F31" s="187">
        <v>198084</v>
      </c>
      <c r="G31" s="187">
        <v>0</v>
      </c>
      <c r="H31" s="187">
        <v>0</v>
      </c>
      <c r="I31" s="187">
        <v>69732</v>
      </c>
      <c r="J31" s="187">
        <v>0</v>
      </c>
      <c r="K31" s="187">
        <v>108508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0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4854</v>
      </c>
      <c r="AK31" s="187">
        <v>0</v>
      </c>
      <c r="AL31" s="187">
        <v>0</v>
      </c>
      <c r="AM31" s="187">
        <v>0</v>
      </c>
      <c r="AN31" s="187">
        <v>0</v>
      </c>
      <c r="AO31" s="187">
        <v>0</v>
      </c>
      <c r="AP31" s="187">
        <v>0</v>
      </c>
      <c r="AQ31" s="187">
        <v>0</v>
      </c>
      <c r="AR31" s="187">
        <v>0</v>
      </c>
      <c r="AS31" s="187">
        <v>0</v>
      </c>
      <c r="AT31" s="187">
        <v>0</v>
      </c>
      <c r="AU31" s="187">
        <v>0</v>
      </c>
      <c r="AV31" s="187">
        <v>0</v>
      </c>
      <c r="AW31" s="187">
        <v>14990</v>
      </c>
    </row>
    <row r="32" spans="3:49" x14ac:dyDescent="0.3">
      <c r="C32" s="187">
        <v>43</v>
      </c>
      <c r="D32" s="187">
        <v>7</v>
      </c>
      <c r="E32" s="187">
        <v>9</v>
      </c>
      <c r="F32" s="187">
        <v>82827</v>
      </c>
      <c r="G32" s="187">
        <v>0</v>
      </c>
      <c r="H32" s="187">
        <v>0</v>
      </c>
      <c r="I32" s="187">
        <v>18005</v>
      </c>
      <c r="J32" s="187">
        <v>0</v>
      </c>
      <c r="K32" s="187">
        <v>58977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2640</v>
      </c>
      <c r="AK32" s="187">
        <v>0</v>
      </c>
      <c r="AL32" s="187">
        <v>0</v>
      </c>
      <c r="AM32" s="187">
        <v>0</v>
      </c>
      <c r="AN32" s="187">
        <v>0</v>
      </c>
      <c r="AO32" s="187">
        <v>0</v>
      </c>
      <c r="AP32" s="187">
        <v>0</v>
      </c>
      <c r="AQ32" s="187">
        <v>0</v>
      </c>
      <c r="AR32" s="187">
        <v>0</v>
      </c>
      <c r="AS32" s="187">
        <v>0</v>
      </c>
      <c r="AT32" s="187">
        <v>0</v>
      </c>
      <c r="AU32" s="187">
        <v>0</v>
      </c>
      <c r="AV32" s="187">
        <v>0</v>
      </c>
      <c r="AW32" s="187">
        <v>3205</v>
      </c>
    </row>
    <row r="33" spans="3:49" x14ac:dyDescent="0.3">
      <c r="C33" s="187">
        <v>43</v>
      </c>
      <c r="D33" s="187">
        <v>7</v>
      </c>
      <c r="E33" s="187">
        <v>11</v>
      </c>
      <c r="F33" s="187">
        <v>572.51908396946567</v>
      </c>
      <c r="G33" s="187">
        <v>0</v>
      </c>
      <c r="H33" s="187">
        <v>0</v>
      </c>
      <c r="I33" s="187">
        <v>0</v>
      </c>
      <c r="J33" s="187">
        <v>572.51908396946567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0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0</v>
      </c>
      <c r="AO33" s="187">
        <v>0</v>
      </c>
      <c r="AP33" s="187">
        <v>0</v>
      </c>
      <c r="AQ33" s="187">
        <v>0</v>
      </c>
      <c r="AR33" s="187">
        <v>0</v>
      </c>
      <c r="AS33" s="187">
        <v>0</v>
      </c>
      <c r="AT33" s="187">
        <v>0</v>
      </c>
      <c r="AU33" s="187">
        <v>0</v>
      </c>
      <c r="AV33" s="187">
        <v>0</v>
      </c>
      <c r="AW33" s="187">
        <v>0</v>
      </c>
    </row>
    <row r="34" spans="3:49" x14ac:dyDescent="0.3">
      <c r="C34" s="187">
        <v>43</v>
      </c>
      <c r="D34" s="187">
        <v>8</v>
      </c>
      <c r="E34" s="187">
        <v>1</v>
      </c>
      <c r="F34" s="187">
        <v>3.45</v>
      </c>
      <c r="G34" s="187">
        <v>0</v>
      </c>
      <c r="H34" s="187">
        <v>0</v>
      </c>
      <c r="I34" s="187">
        <v>1.8</v>
      </c>
      <c r="J34" s="187">
        <v>0</v>
      </c>
      <c r="K34" s="187">
        <v>1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0.05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  <c r="AP34" s="187">
        <v>0</v>
      </c>
      <c r="AQ34" s="187">
        <v>0</v>
      </c>
      <c r="AR34" s="187">
        <v>0</v>
      </c>
      <c r="AS34" s="187">
        <v>0</v>
      </c>
      <c r="AT34" s="187">
        <v>0</v>
      </c>
      <c r="AU34" s="187">
        <v>0</v>
      </c>
      <c r="AV34" s="187">
        <v>0</v>
      </c>
      <c r="AW34" s="187">
        <v>0.6</v>
      </c>
    </row>
    <row r="35" spans="3:49" x14ac:dyDescent="0.3">
      <c r="C35" s="187">
        <v>43</v>
      </c>
      <c r="D35" s="187">
        <v>8</v>
      </c>
      <c r="E35" s="187">
        <v>2</v>
      </c>
      <c r="F35" s="187">
        <v>454.8</v>
      </c>
      <c r="G35" s="187">
        <v>0</v>
      </c>
      <c r="H35" s="187">
        <v>0</v>
      </c>
      <c r="I35" s="187">
        <v>251.2</v>
      </c>
      <c r="J35" s="187">
        <v>0</v>
      </c>
      <c r="K35" s="187">
        <v>108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  <c r="Y35" s="187">
        <v>0</v>
      </c>
      <c r="Z35" s="187">
        <v>0</v>
      </c>
      <c r="AA35" s="187">
        <v>0</v>
      </c>
      <c r="AB35" s="187">
        <v>0</v>
      </c>
      <c r="AC35" s="187">
        <v>0</v>
      </c>
      <c r="AD35" s="187">
        <v>0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5.2</v>
      </c>
      <c r="AK35" s="187">
        <v>0</v>
      </c>
      <c r="AL35" s="187">
        <v>0</v>
      </c>
      <c r="AM35" s="187">
        <v>0</v>
      </c>
      <c r="AN35" s="187">
        <v>0</v>
      </c>
      <c r="AO35" s="187">
        <v>0</v>
      </c>
      <c r="AP35" s="187">
        <v>0</v>
      </c>
      <c r="AQ35" s="187">
        <v>0</v>
      </c>
      <c r="AR35" s="187">
        <v>0</v>
      </c>
      <c r="AS35" s="187">
        <v>0</v>
      </c>
      <c r="AT35" s="187">
        <v>0</v>
      </c>
      <c r="AU35" s="187">
        <v>0</v>
      </c>
      <c r="AV35" s="187">
        <v>0</v>
      </c>
      <c r="AW35" s="187">
        <v>90.4</v>
      </c>
    </row>
    <row r="36" spans="3:49" x14ac:dyDescent="0.3">
      <c r="C36" s="187">
        <v>43</v>
      </c>
      <c r="D36" s="187">
        <v>8</v>
      </c>
      <c r="E36" s="187">
        <v>6</v>
      </c>
      <c r="F36" s="187">
        <v>119528</v>
      </c>
      <c r="G36" s="187">
        <v>0</v>
      </c>
      <c r="H36" s="187">
        <v>0</v>
      </c>
      <c r="I36" s="187">
        <v>53997</v>
      </c>
      <c r="J36" s="187">
        <v>0</v>
      </c>
      <c r="K36" s="187">
        <v>51188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87">
        <v>0</v>
      </c>
      <c r="AA36" s="187">
        <v>0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2310</v>
      </c>
      <c r="AK36" s="187">
        <v>0</v>
      </c>
      <c r="AL36" s="187">
        <v>0</v>
      </c>
      <c r="AM36" s="187">
        <v>0</v>
      </c>
      <c r="AN36" s="187">
        <v>0</v>
      </c>
      <c r="AO36" s="187">
        <v>0</v>
      </c>
      <c r="AP36" s="187">
        <v>0</v>
      </c>
      <c r="AQ36" s="187">
        <v>0</v>
      </c>
      <c r="AR36" s="187">
        <v>0</v>
      </c>
      <c r="AS36" s="187">
        <v>0</v>
      </c>
      <c r="AT36" s="187">
        <v>0</v>
      </c>
      <c r="AU36" s="187">
        <v>0</v>
      </c>
      <c r="AV36" s="187">
        <v>0</v>
      </c>
      <c r="AW36" s="187">
        <v>12033</v>
      </c>
    </row>
    <row r="37" spans="3:49" x14ac:dyDescent="0.3">
      <c r="C37" s="187">
        <v>43</v>
      </c>
      <c r="D37" s="187">
        <v>8</v>
      </c>
      <c r="E37" s="187">
        <v>11</v>
      </c>
      <c r="F37" s="187">
        <v>572.51908396946567</v>
      </c>
      <c r="G37" s="187">
        <v>0</v>
      </c>
      <c r="H37" s="187">
        <v>0</v>
      </c>
      <c r="I37" s="187">
        <v>0</v>
      </c>
      <c r="J37" s="187">
        <v>572.51908396946567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  <c r="AA37" s="187">
        <v>0</v>
      </c>
      <c r="AB37" s="187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87">
        <v>0</v>
      </c>
      <c r="AI37" s="187">
        <v>0</v>
      </c>
      <c r="AJ37" s="187">
        <v>0</v>
      </c>
      <c r="AK37" s="187">
        <v>0</v>
      </c>
      <c r="AL37" s="187">
        <v>0</v>
      </c>
      <c r="AM37" s="187">
        <v>0</v>
      </c>
      <c r="AN37" s="187">
        <v>0</v>
      </c>
      <c r="AO37" s="187">
        <v>0</v>
      </c>
      <c r="AP37" s="187">
        <v>0</v>
      </c>
      <c r="AQ37" s="187">
        <v>0</v>
      </c>
      <c r="AR37" s="187">
        <v>0</v>
      </c>
      <c r="AS37" s="187">
        <v>0</v>
      </c>
      <c r="AT37" s="187">
        <v>0</v>
      </c>
      <c r="AU37" s="187">
        <v>0</v>
      </c>
      <c r="AV37" s="187">
        <v>0</v>
      </c>
      <c r="AW37" s="187">
        <v>0</v>
      </c>
    </row>
    <row r="38" spans="3:49" x14ac:dyDescent="0.3">
      <c r="C38" s="187">
        <v>43</v>
      </c>
      <c r="D38" s="187">
        <v>9</v>
      </c>
      <c r="E38" s="187">
        <v>1</v>
      </c>
      <c r="F38" s="187">
        <v>2.65</v>
      </c>
      <c r="G38" s="187">
        <v>0</v>
      </c>
      <c r="H38" s="187">
        <v>0</v>
      </c>
      <c r="I38" s="187">
        <v>1</v>
      </c>
      <c r="J38" s="187">
        <v>0</v>
      </c>
      <c r="K38" s="187">
        <v>1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187">
        <v>0</v>
      </c>
      <c r="AF38" s="187">
        <v>0</v>
      </c>
      <c r="AG38" s="187">
        <v>0</v>
      </c>
      <c r="AH38" s="187">
        <v>0</v>
      </c>
      <c r="AI38" s="187">
        <v>0</v>
      </c>
      <c r="AJ38" s="187">
        <v>0.05</v>
      </c>
      <c r="AK38" s="187">
        <v>0</v>
      </c>
      <c r="AL38" s="187">
        <v>0</v>
      </c>
      <c r="AM38" s="187">
        <v>0</v>
      </c>
      <c r="AN38" s="187">
        <v>0</v>
      </c>
      <c r="AO38" s="187">
        <v>0</v>
      </c>
      <c r="AP38" s="187">
        <v>0</v>
      </c>
      <c r="AQ38" s="187">
        <v>0</v>
      </c>
      <c r="AR38" s="187">
        <v>0</v>
      </c>
      <c r="AS38" s="187">
        <v>0</v>
      </c>
      <c r="AT38" s="187">
        <v>0</v>
      </c>
      <c r="AU38" s="187">
        <v>0</v>
      </c>
      <c r="AV38" s="187">
        <v>0</v>
      </c>
      <c r="AW38" s="187">
        <v>0.6</v>
      </c>
    </row>
    <row r="39" spans="3:49" x14ac:dyDescent="0.3">
      <c r="C39" s="187">
        <v>43</v>
      </c>
      <c r="D39" s="187">
        <v>9</v>
      </c>
      <c r="E39" s="187">
        <v>2</v>
      </c>
      <c r="F39" s="187">
        <v>466.4</v>
      </c>
      <c r="G39" s="187">
        <v>0</v>
      </c>
      <c r="H39" s="187">
        <v>0</v>
      </c>
      <c r="I39" s="187">
        <v>176</v>
      </c>
      <c r="J39" s="187">
        <v>0</v>
      </c>
      <c r="K39" s="187">
        <v>176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  <c r="X39" s="187">
        <v>0</v>
      </c>
      <c r="Y39" s="187">
        <v>0</v>
      </c>
      <c r="Z39" s="187">
        <v>0</v>
      </c>
      <c r="AA39" s="187">
        <v>0</v>
      </c>
      <c r="AB39" s="187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87">
        <v>0</v>
      </c>
      <c r="AI39" s="187">
        <v>0</v>
      </c>
      <c r="AJ39" s="187">
        <v>8.8000000000000007</v>
      </c>
      <c r="AK39" s="187">
        <v>0</v>
      </c>
      <c r="AL39" s="187">
        <v>0</v>
      </c>
      <c r="AM39" s="187">
        <v>0</v>
      </c>
      <c r="AN39" s="187">
        <v>0</v>
      </c>
      <c r="AO39" s="187">
        <v>0</v>
      </c>
      <c r="AP39" s="187">
        <v>0</v>
      </c>
      <c r="AQ39" s="187">
        <v>0</v>
      </c>
      <c r="AR39" s="187">
        <v>0</v>
      </c>
      <c r="AS39" s="187">
        <v>0</v>
      </c>
      <c r="AT39" s="187">
        <v>0</v>
      </c>
      <c r="AU39" s="187">
        <v>0</v>
      </c>
      <c r="AV39" s="187">
        <v>0</v>
      </c>
      <c r="AW39" s="187">
        <v>105.6</v>
      </c>
    </row>
    <row r="40" spans="3:49" x14ac:dyDescent="0.3">
      <c r="C40" s="187">
        <v>43</v>
      </c>
      <c r="D40" s="187">
        <v>9</v>
      </c>
      <c r="E40" s="187">
        <v>6</v>
      </c>
      <c r="F40" s="187">
        <v>93698</v>
      </c>
      <c r="G40" s="187">
        <v>0</v>
      </c>
      <c r="H40" s="187">
        <v>0</v>
      </c>
      <c r="I40" s="187">
        <v>29540</v>
      </c>
      <c r="J40" s="187">
        <v>0</v>
      </c>
      <c r="K40" s="187">
        <v>50005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7">
        <v>0</v>
      </c>
      <c r="V40" s="187">
        <v>0</v>
      </c>
      <c r="W40" s="187">
        <v>0</v>
      </c>
      <c r="X40" s="187">
        <v>0</v>
      </c>
      <c r="Y40" s="187">
        <v>0</v>
      </c>
      <c r="Z40" s="187">
        <v>0</v>
      </c>
      <c r="AA40" s="187">
        <v>0</v>
      </c>
      <c r="AB40" s="187">
        <v>0</v>
      </c>
      <c r="AC40" s="187">
        <v>0</v>
      </c>
      <c r="AD40" s="187">
        <v>0</v>
      </c>
      <c r="AE40" s="187">
        <v>0</v>
      </c>
      <c r="AF40" s="187">
        <v>0</v>
      </c>
      <c r="AG40" s="187">
        <v>0</v>
      </c>
      <c r="AH40" s="187">
        <v>0</v>
      </c>
      <c r="AI40" s="187">
        <v>0</v>
      </c>
      <c r="AJ40" s="187">
        <v>2250</v>
      </c>
      <c r="AK40" s="187">
        <v>0</v>
      </c>
      <c r="AL40" s="187">
        <v>0</v>
      </c>
      <c r="AM40" s="187">
        <v>0</v>
      </c>
      <c r="AN40" s="187">
        <v>0</v>
      </c>
      <c r="AO40" s="187">
        <v>0</v>
      </c>
      <c r="AP40" s="187">
        <v>0</v>
      </c>
      <c r="AQ40" s="187">
        <v>0</v>
      </c>
      <c r="AR40" s="187">
        <v>0</v>
      </c>
      <c r="AS40" s="187">
        <v>0</v>
      </c>
      <c r="AT40" s="187">
        <v>0</v>
      </c>
      <c r="AU40" s="187">
        <v>0</v>
      </c>
      <c r="AV40" s="187">
        <v>0</v>
      </c>
      <c r="AW40" s="187">
        <v>11903</v>
      </c>
    </row>
    <row r="41" spans="3:49" x14ac:dyDescent="0.3">
      <c r="C41" s="187">
        <v>43</v>
      </c>
      <c r="D41" s="187">
        <v>9</v>
      </c>
      <c r="E41" s="187">
        <v>10</v>
      </c>
      <c r="F41" s="187">
        <v>4000</v>
      </c>
      <c r="G41" s="187">
        <v>0</v>
      </c>
      <c r="H41" s="187">
        <v>0</v>
      </c>
      <c r="I41" s="187">
        <v>0</v>
      </c>
      <c r="J41" s="187">
        <v>4000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  <c r="X41" s="187">
        <v>0</v>
      </c>
      <c r="Y41" s="187">
        <v>0</v>
      </c>
      <c r="Z41" s="187">
        <v>0</v>
      </c>
      <c r="AA41" s="187">
        <v>0</v>
      </c>
      <c r="AB41" s="187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87">
        <v>0</v>
      </c>
      <c r="AI41" s="187">
        <v>0</v>
      </c>
      <c r="AJ41" s="187">
        <v>0</v>
      </c>
      <c r="AK41" s="187">
        <v>0</v>
      </c>
      <c r="AL41" s="187">
        <v>0</v>
      </c>
      <c r="AM41" s="187">
        <v>0</v>
      </c>
      <c r="AN41" s="187">
        <v>0</v>
      </c>
      <c r="AO41" s="187">
        <v>0</v>
      </c>
      <c r="AP41" s="187">
        <v>0</v>
      </c>
      <c r="AQ41" s="187">
        <v>0</v>
      </c>
      <c r="AR41" s="187">
        <v>0</v>
      </c>
      <c r="AS41" s="187">
        <v>0</v>
      </c>
      <c r="AT41" s="187">
        <v>0</v>
      </c>
      <c r="AU41" s="187">
        <v>0</v>
      </c>
      <c r="AV41" s="187">
        <v>0</v>
      </c>
      <c r="AW41" s="187">
        <v>0</v>
      </c>
    </row>
    <row r="42" spans="3:49" x14ac:dyDescent="0.3">
      <c r="C42" s="187">
        <v>43</v>
      </c>
      <c r="D42" s="187">
        <v>9</v>
      </c>
      <c r="E42" s="187">
        <v>11</v>
      </c>
      <c r="F42" s="187">
        <v>572.51908396946567</v>
      </c>
      <c r="G42" s="187">
        <v>0</v>
      </c>
      <c r="H42" s="187">
        <v>0</v>
      </c>
      <c r="I42" s="187">
        <v>0</v>
      </c>
      <c r="J42" s="187">
        <v>572.51908396946567</v>
      </c>
      <c r="K42" s="187">
        <v>0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  <c r="X42" s="187">
        <v>0</v>
      </c>
      <c r="Y42" s="187">
        <v>0</v>
      </c>
      <c r="Z42" s="187">
        <v>0</v>
      </c>
      <c r="AA42" s="187">
        <v>0</v>
      </c>
      <c r="AB42" s="187">
        <v>0</v>
      </c>
      <c r="AC42" s="187">
        <v>0</v>
      </c>
      <c r="AD42" s="187">
        <v>0</v>
      </c>
      <c r="AE42" s="187">
        <v>0</v>
      </c>
      <c r="AF42" s="187">
        <v>0</v>
      </c>
      <c r="AG42" s="187">
        <v>0</v>
      </c>
      <c r="AH42" s="187">
        <v>0</v>
      </c>
      <c r="AI42" s="187">
        <v>0</v>
      </c>
      <c r="AJ42" s="187">
        <v>0</v>
      </c>
      <c r="AK42" s="187">
        <v>0</v>
      </c>
      <c r="AL42" s="187">
        <v>0</v>
      </c>
      <c r="AM42" s="187">
        <v>0</v>
      </c>
      <c r="AN42" s="187">
        <v>0</v>
      </c>
      <c r="AO42" s="187">
        <v>0</v>
      </c>
      <c r="AP42" s="187">
        <v>0</v>
      </c>
      <c r="AQ42" s="187">
        <v>0</v>
      </c>
      <c r="AR42" s="187">
        <v>0</v>
      </c>
      <c r="AS42" s="187">
        <v>0</v>
      </c>
      <c r="AT42" s="187">
        <v>0</v>
      </c>
      <c r="AU42" s="187">
        <v>0</v>
      </c>
      <c r="AV42" s="187">
        <v>0</v>
      </c>
      <c r="AW42" s="187">
        <v>0</v>
      </c>
    </row>
    <row r="43" spans="3:49" x14ac:dyDescent="0.3">
      <c r="C43" s="187">
        <v>43</v>
      </c>
      <c r="D43" s="187">
        <v>10</v>
      </c>
      <c r="E43" s="187">
        <v>1</v>
      </c>
      <c r="F43" s="187">
        <v>2.65</v>
      </c>
      <c r="G43" s="187">
        <v>0</v>
      </c>
      <c r="H43" s="187">
        <v>0</v>
      </c>
      <c r="I43" s="187">
        <v>1</v>
      </c>
      <c r="J43" s="187">
        <v>0</v>
      </c>
      <c r="K43" s="187">
        <v>1</v>
      </c>
      <c r="L43" s="187">
        <v>0</v>
      </c>
      <c r="M43" s="187">
        <v>0</v>
      </c>
      <c r="N43" s="187">
        <v>0</v>
      </c>
      <c r="O43" s="187">
        <v>0</v>
      </c>
      <c r="P43" s="187">
        <v>0</v>
      </c>
      <c r="Q43" s="187">
        <v>0</v>
      </c>
      <c r="R43" s="187">
        <v>0</v>
      </c>
      <c r="S43" s="187">
        <v>0</v>
      </c>
      <c r="T43" s="187">
        <v>0</v>
      </c>
      <c r="U43" s="187">
        <v>0</v>
      </c>
      <c r="V43" s="187">
        <v>0</v>
      </c>
      <c r="W43" s="187">
        <v>0</v>
      </c>
      <c r="X43" s="187">
        <v>0</v>
      </c>
      <c r="Y43" s="187">
        <v>0</v>
      </c>
      <c r="Z43" s="187">
        <v>0</v>
      </c>
      <c r="AA43" s="187">
        <v>0</v>
      </c>
      <c r="AB43" s="187">
        <v>0</v>
      </c>
      <c r="AC43" s="187">
        <v>0</v>
      </c>
      <c r="AD43" s="187">
        <v>0</v>
      </c>
      <c r="AE43" s="187">
        <v>0</v>
      </c>
      <c r="AF43" s="187">
        <v>0</v>
      </c>
      <c r="AG43" s="187">
        <v>0</v>
      </c>
      <c r="AH43" s="187">
        <v>0</v>
      </c>
      <c r="AI43" s="187">
        <v>0</v>
      </c>
      <c r="AJ43" s="187">
        <v>0.05</v>
      </c>
      <c r="AK43" s="187">
        <v>0</v>
      </c>
      <c r="AL43" s="187">
        <v>0</v>
      </c>
      <c r="AM43" s="187">
        <v>0</v>
      </c>
      <c r="AN43" s="187">
        <v>0</v>
      </c>
      <c r="AO43" s="187">
        <v>0</v>
      </c>
      <c r="AP43" s="187">
        <v>0</v>
      </c>
      <c r="AQ43" s="187">
        <v>0</v>
      </c>
      <c r="AR43" s="187">
        <v>0</v>
      </c>
      <c r="AS43" s="187">
        <v>0</v>
      </c>
      <c r="AT43" s="187">
        <v>0</v>
      </c>
      <c r="AU43" s="187">
        <v>0</v>
      </c>
      <c r="AV43" s="187">
        <v>0</v>
      </c>
      <c r="AW43" s="187">
        <v>0.6</v>
      </c>
    </row>
    <row r="44" spans="3:49" x14ac:dyDescent="0.3">
      <c r="C44" s="187">
        <v>43</v>
      </c>
      <c r="D44" s="187">
        <v>10</v>
      </c>
      <c r="E44" s="187">
        <v>2</v>
      </c>
      <c r="F44" s="187">
        <v>439.6</v>
      </c>
      <c r="G44" s="187">
        <v>0</v>
      </c>
      <c r="H44" s="187">
        <v>0</v>
      </c>
      <c r="I44" s="187">
        <v>168</v>
      </c>
      <c r="J44" s="187">
        <v>0</v>
      </c>
      <c r="K44" s="187">
        <v>168</v>
      </c>
      <c r="L44" s="187">
        <v>0</v>
      </c>
      <c r="M44" s="187">
        <v>0</v>
      </c>
      <c r="N44" s="187">
        <v>0</v>
      </c>
      <c r="O44" s="187">
        <v>0</v>
      </c>
      <c r="P44" s="187">
        <v>0</v>
      </c>
      <c r="Q44" s="187">
        <v>0</v>
      </c>
      <c r="R44" s="187">
        <v>0</v>
      </c>
      <c r="S44" s="187">
        <v>0</v>
      </c>
      <c r="T44" s="187">
        <v>0</v>
      </c>
      <c r="U44" s="187">
        <v>0</v>
      </c>
      <c r="V44" s="187">
        <v>0</v>
      </c>
      <c r="W44" s="187">
        <v>0</v>
      </c>
      <c r="X44" s="187">
        <v>0</v>
      </c>
      <c r="Y44" s="187">
        <v>0</v>
      </c>
      <c r="Z44" s="187">
        <v>0</v>
      </c>
      <c r="AA44" s="187">
        <v>0</v>
      </c>
      <c r="AB44" s="187">
        <v>0</v>
      </c>
      <c r="AC44" s="187">
        <v>0</v>
      </c>
      <c r="AD44" s="187">
        <v>0</v>
      </c>
      <c r="AE44" s="187">
        <v>0</v>
      </c>
      <c r="AF44" s="187">
        <v>0</v>
      </c>
      <c r="AG44" s="187">
        <v>0</v>
      </c>
      <c r="AH44" s="187">
        <v>0</v>
      </c>
      <c r="AI44" s="187">
        <v>0</v>
      </c>
      <c r="AJ44" s="187">
        <v>8.4</v>
      </c>
      <c r="AK44" s="187">
        <v>0</v>
      </c>
      <c r="AL44" s="187">
        <v>0</v>
      </c>
      <c r="AM44" s="187">
        <v>0</v>
      </c>
      <c r="AN44" s="187">
        <v>0</v>
      </c>
      <c r="AO44" s="187">
        <v>0</v>
      </c>
      <c r="AP44" s="187">
        <v>0</v>
      </c>
      <c r="AQ44" s="187">
        <v>0</v>
      </c>
      <c r="AR44" s="187">
        <v>0</v>
      </c>
      <c r="AS44" s="187">
        <v>0</v>
      </c>
      <c r="AT44" s="187">
        <v>0</v>
      </c>
      <c r="AU44" s="187">
        <v>0</v>
      </c>
      <c r="AV44" s="187">
        <v>0</v>
      </c>
      <c r="AW44" s="187">
        <v>95.2</v>
      </c>
    </row>
    <row r="45" spans="3:49" x14ac:dyDescent="0.3">
      <c r="C45" s="187">
        <v>43</v>
      </c>
      <c r="D45" s="187">
        <v>10</v>
      </c>
      <c r="E45" s="187">
        <v>6</v>
      </c>
      <c r="F45" s="187">
        <v>93696</v>
      </c>
      <c r="G45" s="187">
        <v>0</v>
      </c>
      <c r="H45" s="187">
        <v>0</v>
      </c>
      <c r="I45" s="187">
        <v>29540</v>
      </c>
      <c r="J45" s="187">
        <v>0</v>
      </c>
      <c r="K45" s="187">
        <v>50005</v>
      </c>
      <c r="L45" s="187">
        <v>0</v>
      </c>
      <c r="M45" s="187">
        <v>0</v>
      </c>
      <c r="N45" s="187">
        <v>0</v>
      </c>
      <c r="O45" s="187">
        <v>0</v>
      </c>
      <c r="P45" s="187">
        <v>0</v>
      </c>
      <c r="Q45" s="187">
        <v>0</v>
      </c>
      <c r="R45" s="187">
        <v>0</v>
      </c>
      <c r="S45" s="187">
        <v>0</v>
      </c>
      <c r="T45" s="187">
        <v>0</v>
      </c>
      <c r="U45" s="187">
        <v>0</v>
      </c>
      <c r="V45" s="187">
        <v>0</v>
      </c>
      <c r="W45" s="187">
        <v>0</v>
      </c>
      <c r="X45" s="187">
        <v>0</v>
      </c>
      <c r="Y45" s="187">
        <v>0</v>
      </c>
      <c r="Z45" s="187">
        <v>0</v>
      </c>
      <c r="AA45" s="187">
        <v>0</v>
      </c>
      <c r="AB45" s="187">
        <v>0</v>
      </c>
      <c r="AC45" s="187">
        <v>0</v>
      </c>
      <c r="AD45" s="187">
        <v>0</v>
      </c>
      <c r="AE45" s="187">
        <v>0</v>
      </c>
      <c r="AF45" s="187">
        <v>0</v>
      </c>
      <c r="AG45" s="187">
        <v>0</v>
      </c>
      <c r="AH45" s="187">
        <v>0</v>
      </c>
      <c r="AI45" s="187">
        <v>0</v>
      </c>
      <c r="AJ45" s="187">
        <v>2250</v>
      </c>
      <c r="AK45" s="187">
        <v>0</v>
      </c>
      <c r="AL45" s="187">
        <v>0</v>
      </c>
      <c r="AM45" s="187">
        <v>0</v>
      </c>
      <c r="AN45" s="187">
        <v>0</v>
      </c>
      <c r="AO45" s="187">
        <v>0</v>
      </c>
      <c r="AP45" s="187">
        <v>0</v>
      </c>
      <c r="AQ45" s="187">
        <v>0</v>
      </c>
      <c r="AR45" s="187">
        <v>0</v>
      </c>
      <c r="AS45" s="187">
        <v>0</v>
      </c>
      <c r="AT45" s="187">
        <v>0</v>
      </c>
      <c r="AU45" s="187">
        <v>0</v>
      </c>
      <c r="AV45" s="187">
        <v>0</v>
      </c>
      <c r="AW45" s="187">
        <v>11901</v>
      </c>
    </row>
    <row r="46" spans="3:49" x14ac:dyDescent="0.3">
      <c r="C46" s="187">
        <v>43</v>
      </c>
      <c r="D46" s="187">
        <v>10</v>
      </c>
      <c r="E46" s="187">
        <v>11</v>
      </c>
      <c r="F46" s="187">
        <v>572.51908396946567</v>
      </c>
      <c r="G46" s="187">
        <v>0</v>
      </c>
      <c r="H46" s="187">
        <v>0</v>
      </c>
      <c r="I46" s="187">
        <v>0</v>
      </c>
      <c r="J46" s="187">
        <v>572.51908396946567</v>
      </c>
      <c r="K46" s="187">
        <v>0</v>
      </c>
      <c r="L46" s="187">
        <v>0</v>
      </c>
      <c r="M46" s="187">
        <v>0</v>
      </c>
      <c r="N46" s="187">
        <v>0</v>
      </c>
      <c r="O46" s="187">
        <v>0</v>
      </c>
      <c r="P46" s="187">
        <v>0</v>
      </c>
      <c r="Q46" s="187">
        <v>0</v>
      </c>
      <c r="R46" s="187">
        <v>0</v>
      </c>
      <c r="S46" s="187">
        <v>0</v>
      </c>
      <c r="T46" s="187">
        <v>0</v>
      </c>
      <c r="U46" s="187">
        <v>0</v>
      </c>
      <c r="V46" s="187">
        <v>0</v>
      </c>
      <c r="W46" s="187">
        <v>0</v>
      </c>
      <c r="X46" s="187">
        <v>0</v>
      </c>
      <c r="Y46" s="187">
        <v>0</v>
      </c>
      <c r="Z46" s="187">
        <v>0</v>
      </c>
      <c r="AA46" s="187">
        <v>0</v>
      </c>
      <c r="AB46" s="187">
        <v>0</v>
      </c>
      <c r="AC46" s="187">
        <v>0</v>
      </c>
      <c r="AD46" s="187">
        <v>0</v>
      </c>
      <c r="AE46" s="187">
        <v>0</v>
      </c>
      <c r="AF46" s="187">
        <v>0</v>
      </c>
      <c r="AG46" s="187">
        <v>0</v>
      </c>
      <c r="AH46" s="187">
        <v>0</v>
      </c>
      <c r="AI46" s="187">
        <v>0</v>
      </c>
      <c r="AJ46" s="187">
        <v>0</v>
      </c>
      <c r="AK46" s="187">
        <v>0</v>
      </c>
      <c r="AL46" s="187">
        <v>0</v>
      </c>
      <c r="AM46" s="187">
        <v>0</v>
      </c>
      <c r="AN46" s="187">
        <v>0</v>
      </c>
      <c r="AO46" s="187">
        <v>0</v>
      </c>
      <c r="AP46" s="187">
        <v>0</v>
      </c>
      <c r="AQ46" s="187">
        <v>0</v>
      </c>
      <c r="AR46" s="187">
        <v>0</v>
      </c>
      <c r="AS46" s="187">
        <v>0</v>
      </c>
      <c r="AT46" s="187">
        <v>0</v>
      </c>
      <c r="AU46" s="187">
        <v>0</v>
      </c>
      <c r="AV46" s="187">
        <v>0</v>
      </c>
      <c r="AW46" s="187">
        <v>0</v>
      </c>
    </row>
    <row r="47" spans="3:49" x14ac:dyDescent="0.3">
      <c r="C47" s="187">
        <v>43</v>
      </c>
      <c r="D47" s="187">
        <v>11</v>
      </c>
      <c r="E47" s="187">
        <v>1</v>
      </c>
      <c r="F47" s="187">
        <v>2.65</v>
      </c>
      <c r="G47" s="187">
        <v>0</v>
      </c>
      <c r="H47" s="187">
        <v>0</v>
      </c>
      <c r="I47" s="187">
        <v>1</v>
      </c>
      <c r="J47" s="187">
        <v>0</v>
      </c>
      <c r="K47" s="187">
        <v>1</v>
      </c>
      <c r="L47" s="187">
        <v>0</v>
      </c>
      <c r="M47" s="187">
        <v>0</v>
      </c>
      <c r="N47" s="187">
        <v>0</v>
      </c>
      <c r="O47" s="187">
        <v>0</v>
      </c>
      <c r="P47" s="187">
        <v>0</v>
      </c>
      <c r="Q47" s="187">
        <v>0</v>
      </c>
      <c r="R47" s="187">
        <v>0</v>
      </c>
      <c r="S47" s="187">
        <v>0</v>
      </c>
      <c r="T47" s="187">
        <v>0</v>
      </c>
      <c r="U47" s="187">
        <v>0</v>
      </c>
      <c r="V47" s="187">
        <v>0</v>
      </c>
      <c r="W47" s="187">
        <v>0</v>
      </c>
      <c r="X47" s="187">
        <v>0</v>
      </c>
      <c r="Y47" s="187">
        <v>0</v>
      </c>
      <c r="Z47" s="187">
        <v>0</v>
      </c>
      <c r="AA47" s="187">
        <v>0</v>
      </c>
      <c r="AB47" s="187">
        <v>0</v>
      </c>
      <c r="AC47" s="187">
        <v>0</v>
      </c>
      <c r="AD47" s="187">
        <v>0</v>
      </c>
      <c r="AE47" s="187">
        <v>0</v>
      </c>
      <c r="AF47" s="187">
        <v>0</v>
      </c>
      <c r="AG47" s="187">
        <v>0</v>
      </c>
      <c r="AH47" s="187">
        <v>0</v>
      </c>
      <c r="AI47" s="187">
        <v>0</v>
      </c>
      <c r="AJ47" s="187">
        <v>0.05</v>
      </c>
      <c r="AK47" s="187">
        <v>0</v>
      </c>
      <c r="AL47" s="187">
        <v>0</v>
      </c>
      <c r="AM47" s="187">
        <v>0</v>
      </c>
      <c r="AN47" s="187">
        <v>0</v>
      </c>
      <c r="AO47" s="187">
        <v>0</v>
      </c>
      <c r="AP47" s="187">
        <v>0</v>
      </c>
      <c r="AQ47" s="187">
        <v>0</v>
      </c>
      <c r="AR47" s="187">
        <v>0</v>
      </c>
      <c r="AS47" s="187">
        <v>0</v>
      </c>
      <c r="AT47" s="187">
        <v>0</v>
      </c>
      <c r="AU47" s="187">
        <v>0</v>
      </c>
      <c r="AV47" s="187">
        <v>0</v>
      </c>
      <c r="AW47" s="187">
        <v>0.6</v>
      </c>
    </row>
    <row r="48" spans="3:49" x14ac:dyDescent="0.3">
      <c r="C48" s="187">
        <v>43</v>
      </c>
      <c r="D48" s="187">
        <v>11</v>
      </c>
      <c r="E48" s="187">
        <v>2</v>
      </c>
      <c r="F48" s="187">
        <v>441.6</v>
      </c>
      <c r="G48" s="187">
        <v>0</v>
      </c>
      <c r="H48" s="187">
        <v>0</v>
      </c>
      <c r="I48" s="187">
        <v>176</v>
      </c>
      <c r="J48" s="187">
        <v>0</v>
      </c>
      <c r="K48" s="187">
        <v>160</v>
      </c>
      <c r="L48" s="187">
        <v>0</v>
      </c>
      <c r="M48" s="187">
        <v>0</v>
      </c>
      <c r="N48" s="187">
        <v>0</v>
      </c>
      <c r="O48" s="187">
        <v>0</v>
      </c>
      <c r="P48" s="187">
        <v>0</v>
      </c>
      <c r="Q48" s="187">
        <v>0</v>
      </c>
      <c r="R48" s="187">
        <v>0</v>
      </c>
      <c r="S48" s="187">
        <v>0</v>
      </c>
      <c r="T48" s="187">
        <v>0</v>
      </c>
      <c r="U48" s="187">
        <v>0</v>
      </c>
      <c r="V48" s="187">
        <v>0</v>
      </c>
      <c r="W48" s="187">
        <v>0</v>
      </c>
      <c r="X48" s="187">
        <v>0</v>
      </c>
      <c r="Y48" s="187">
        <v>0</v>
      </c>
      <c r="Z48" s="187">
        <v>0</v>
      </c>
      <c r="AA48" s="187">
        <v>0</v>
      </c>
      <c r="AB48" s="187">
        <v>0</v>
      </c>
      <c r="AC48" s="187">
        <v>0</v>
      </c>
      <c r="AD48" s="187">
        <v>0</v>
      </c>
      <c r="AE48" s="187">
        <v>0</v>
      </c>
      <c r="AF48" s="187">
        <v>0</v>
      </c>
      <c r="AG48" s="187">
        <v>0</v>
      </c>
      <c r="AH48" s="187">
        <v>0</v>
      </c>
      <c r="AI48" s="187">
        <v>0</v>
      </c>
      <c r="AJ48" s="187">
        <v>8.8000000000000007</v>
      </c>
      <c r="AK48" s="187">
        <v>0</v>
      </c>
      <c r="AL48" s="187">
        <v>0</v>
      </c>
      <c r="AM48" s="187">
        <v>0</v>
      </c>
      <c r="AN48" s="187">
        <v>0</v>
      </c>
      <c r="AO48" s="187">
        <v>0</v>
      </c>
      <c r="AP48" s="187">
        <v>0</v>
      </c>
      <c r="AQ48" s="187">
        <v>0</v>
      </c>
      <c r="AR48" s="187">
        <v>0</v>
      </c>
      <c r="AS48" s="187">
        <v>0</v>
      </c>
      <c r="AT48" s="187">
        <v>0</v>
      </c>
      <c r="AU48" s="187">
        <v>0</v>
      </c>
      <c r="AV48" s="187">
        <v>0</v>
      </c>
      <c r="AW48" s="187">
        <v>96.8</v>
      </c>
    </row>
    <row r="49" spans="3:49" x14ac:dyDescent="0.3">
      <c r="C49" s="187">
        <v>43</v>
      </c>
      <c r="D49" s="187">
        <v>11</v>
      </c>
      <c r="E49" s="187">
        <v>6</v>
      </c>
      <c r="F49" s="187">
        <v>114700</v>
      </c>
      <c r="G49" s="187">
        <v>0</v>
      </c>
      <c r="H49" s="187">
        <v>0</v>
      </c>
      <c r="I49" s="187">
        <v>40509</v>
      </c>
      <c r="J49" s="187">
        <v>0</v>
      </c>
      <c r="K49" s="187">
        <v>55823</v>
      </c>
      <c r="L49" s="187">
        <v>0</v>
      </c>
      <c r="M49" s="187">
        <v>0</v>
      </c>
      <c r="N49" s="187">
        <v>0</v>
      </c>
      <c r="O49" s="187">
        <v>0</v>
      </c>
      <c r="P49" s="187">
        <v>0</v>
      </c>
      <c r="Q49" s="187">
        <v>0</v>
      </c>
      <c r="R49" s="187">
        <v>0</v>
      </c>
      <c r="S49" s="187">
        <v>0</v>
      </c>
      <c r="T49" s="187">
        <v>0</v>
      </c>
      <c r="U49" s="187">
        <v>0</v>
      </c>
      <c r="V49" s="187">
        <v>0</v>
      </c>
      <c r="W49" s="187">
        <v>0</v>
      </c>
      <c r="X49" s="187">
        <v>0</v>
      </c>
      <c r="Y49" s="187">
        <v>0</v>
      </c>
      <c r="Z49" s="187"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0</v>
      </c>
      <c r="AF49" s="187">
        <v>0</v>
      </c>
      <c r="AG49" s="187">
        <v>0</v>
      </c>
      <c r="AH49" s="187">
        <v>0</v>
      </c>
      <c r="AI49" s="187">
        <v>0</v>
      </c>
      <c r="AJ49" s="187">
        <v>2869</v>
      </c>
      <c r="AK49" s="187">
        <v>0</v>
      </c>
      <c r="AL49" s="187">
        <v>0</v>
      </c>
      <c r="AM49" s="187">
        <v>0</v>
      </c>
      <c r="AN49" s="187">
        <v>0</v>
      </c>
      <c r="AO49" s="187">
        <v>0</v>
      </c>
      <c r="AP49" s="187">
        <v>0</v>
      </c>
      <c r="AQ49" s="187">
        <v>0</v>
      </c>
      <c r="AR49" s="187">
        <v>0</v>
      </c>
      <c r="AS49" s="187">
        <v>0</v>
      </c>
      <c r="AT49" s="187">
        <v>0</v>
      </c>
      <c r="AU49" s="187">
        <v>0</v>
      </c>
      <c r="AV49" s="187">
        <v>0</v>
      </c>
      <c r="AW49" s="187">
        <v>15499</v>
      </c>
    </row>
    <row r="50" spans="3:49" x14ac:dyDescent="0.3">
      <c r="C50" s="187">
        <v>43</v>
      </c>
      <c r="D50" s="187">
        <v>11</v>
      </c>
      <c r="E50" s="187">
        <v>9</v>
      </c>
      <c r="F50" s="187">
        <v>20941</v>
      </c>
      <c r="G50" s="187">
        <v>0</v>
      </c>
      <c r="H50" s="187">
        <v>0</v>
      </c>
      <c r="I50" s="187">
        <v>10969</v>
      </c>
      <c r="J50" s="187">
        <v>0</v>
      </c>
      <c r="K50" s="187">
        <v>5668</v>
      </c>
      <c r="L50" s="187">
        <v>0</v>
      </c>
      <c r="M50" s="187">
        <v>0</v>
      </c>
      <c r="N50" s="187">
        <v>0</v>
      </c>
      <c r="O50" s="187">
        <v>0</v>
      </c>
      <c r="P50" s="187">
        <v>0</v>
      </c>
      <c r="Q50" s="187">
        <v>0</v>
      </c>
      <c r="R50" s="187">
        <v>0</v>
      </c>
      <c r="S50" s="187">
        <v>0</v>
      </c>
      <c r="T50" s="187">
        <v>0</v>
      </c>
      <c r="U50" s="187">
        <v>0</v>
      </c>
      <c r="V50" s="187">
        <v>0</v>
      </c>
      <c r="W50" s="187">
        <v>0</v>
      </c>
      <c r="X50" s="187">
        <v>0</v>
      </c>
      <c r="Y50" s="187">
        <v>0</v>
      </c>
      <c r="Z50" s="187">
        <v>0</v>
      </c>
      <c r="AA50" s="187">
        <v>0</v>
      </c>
      <c r="AB50" s="187">
        <v>0</v>
      </c>
      <c r="AC50" s="187">
        <v>0</v>
      </c>
      <c r="AD50" s="187">
        <v>0</v>
      </c>
      <c r="AE50" s="187">
        <v>0</v>
      </c>
      <c r="AF50" s="187">
        <v>0</v>
      </c>
      <c r="AG50" s="187">
        <v>0</v>
      </c>
      <c r="AH50" s="187">
        <v>0</v>
      </c>
      <c r="AI50" s="187">
        <v>0</v>
      </c>
      <c r="AJ50" s="187">
        <v>1000</v>
      </c>
      <c r="AK50" s="187">
        <v>0</v>
      </c>
      <c r="AL50" s="187">
        <v>0</v>
      </c>
      <c r="AM50" s="187">
        <v>0</v>
      </c>
      <c r="AN50" s="187">
        <v>0</v>
      </c>
      <c r="AO50" s="187">
        <v>0</v>
      </c>
      <c r="AP50" s="187">
        <v>0</v>
      </c>
      <c r="AQ50" s="187">
        <v>0</v>
      </c>
      <c r="AR50" s="187">
        <v>0</v>
      </c>
      <c r="AS50" s="187">
        <v>0</v>
      </c>
      <c r="AT50" s="187">
        <v>0</v>
      </c>
      <c r="AU50" s="187">
        <v>0</v>
      </c>
      <c r="AV50" s="187">
        <v>0</v>
      </c>
      <c r="AW50" s="187">
        <v>3304</v>
      </c>
    </row>
    <row r="51" spans="3:49" x14ac:dyDescent="0.3">
      <c r="C51" s="187">
        <v>43</v>
      </c>
      <c r="D51" s="187">
        <v>11</v>
      </c>
      <c r="E51" s="187">
        <v>10</v>
      </c>
      <c r="F51" s="187">
        <v>2950</v>
      </c>
      <c r="G51" s="187">
        <v>0</v>
      </c>
      <c r="H51" s="187">
        <v>0</v>
      </c>
      <c r="I51" s="187">
        <v>0</v>
      </c>
      <c r="J51" s="187">
        <v>2950</v>
      </c>
      <c r="K51" s="187">
        <v>0</v>
      </c>
      <c r="L51" s="187">
        <v>0</v>
      </c>
      <c r="M51" s="187">
        <v>0</v>
      </c>
      <c r="N51" s="187">
        <v>0</v>
      </c>
      <c r="O51" s="187">
        <v>0</v>
      </c>
      <c r="P51" s="187">
        <v>0</v>
      </c>
      <c r="Q51" s="187">
        <v>0</v>
      </c>
      <c r="R51" s="187">
        <v>0</v>
      </c>
      <c r="S51" s="187">
        <v>0</v>
      </c>
      <c r="T51" s="187">
        <v>0</v>
      </c>
      <c r="U51" s="187">
        <v>0</v>
      </c>
      <c r="V51" s="187">
        <v>0</v>
      </c>
      <c r="W51" s="187">
        <v>0</v>
      </c>
      <c r="X51" s="187">
        <v>0</v>
      </c>
      <c r="Y51" s="187">
        <v>0</v>
      </c>
      <c r="Z51" s="187">
        <v>0</v>
      </c>
      <c r="AA51" s="187">
        <v>0</v>
      </c>
      <c r="AB51" s="187">
        <v>0</v>
      </c>
      <c r="AC51" s="187">
        <v>0</v>
      </c>
      <c r="AD51" s="187">
        <v>0</v>
      </c>
      <c r="AE51" s="187">
        <v>0</v>
      </c>
      <c r="AF51" s="187">
        <v>0</v>
      </c>
      <c r="AG51" s="187">
        <v>0</v>
      </c>
      <c r="AH51" s="187">
        <v>0</v>
      </c>
      <c r="AI51" s="187">
        <v>0</v>
      </c>
      <c r="AJ51" s="187">
        <v>0</v>
      </c>
      <c r="AK51" s="187">
        <v>0</v>
      </c>
      <c r="AL51" s="187">
        <v>0</v>
      </c>
      <c r="AM51" s="187">
        <v>0</v>
      </c>
      <c r="AN51" s="187">
        <v>0</v>
      </c>
      <c r="AO51" s="187">
        <v>0</v>
      </c>
      <c r="AP51" s="187">
        <v>0</v>
      </c>
      <c r="AQ51" s="187">
        <v>0</v>
      </c>
      <c r="AR51" s="187">
        <v>0</v>
      </c>
      <c r="AS51" s="187">
        <v>0</v>
      </c>
      <c r="AT51" s="187">
        <v>0</v>
      </c>
      <c r="AU51" s="187">
        <v>0</v>
      </c>
      <c r="AV51" s="187">
        <v>0</v>
      </c>
      <c r="AW51" s="187">
        <v>0</v>
      </c>
    </row>
    <row r="52" spans="3:49" x14ac:dyDescent="0.3">
      <c r="C52" s="187">
        <v>43</v>
      </c>
      <c r="D52" s="187">
        <v>11</v>
      </c>
      <c r="E52" s="187">
        <v>11</v>
      </c>
      <c r="F52" s="187">
        <v>572.51908396946567</v>
      </c>
      <c r="G52" s="187">
        <v>0</v>
      </c>
      <c r="H52" s="187">
        <v>0</v>
      </c>
      <c r="I52" s="187">
        <v>0</v>
      </c>
      <c r="J52" s="187">
        <v>572.51908396946567</v>
      </c>
      <c r="K52" s="187">
        <v>0</v>
      </c>
      <c r="L52" s="187">
        <v>0</v>
      </c>
      <c r="M52" s="187">
        <v>0</v>
      </c>
      <c r="N52" s="187">
        <v>0</v>
      </c>
      <c r="O52" s="187">
        <v>0</v>
      </c>
      <c r="P52" s="187">
        <v>0</v>
      </c>
      <c r="Q52" s="187">
        <v>0</v>
      </c>
      <c r="R52" s="187">
        <v>0</v>
      </c>
      <c r="S52" s="187">
        <v>0</v>
      </c>
      <c r="T52" s="187">
        <v>0</v>
      </c>
      <c r="U52" s="187">
        <v>0</v>
      </c>
      <c r="V52" s="187">
        <v>0</v>
      </c>
      <c r="W52" s="187">
        <v>0</v>
      </c>
      <c r="X52" s="187">
        <v>0</v>
      </c>
      <c r="Y52" s="187">
        <v>0</v>
      </c>
      <c r="Z52" s="187">
        <v>0</v>
      </c>
      <c r="AA52" s="187">
        <v>0</v>
      </c>
      <c r="AB52" s="187">
        <v>0</v>
      </c>
      <c r="AC52" s="187">
        <v>0</v>
      </c>
      <c r="AD52" s="187">
        <v>0</v>
      </c>
      <c r="AE52" s="187">
        <v>0</v>
      </c>
      <c r="AF52" s="187">
        <v>0</v>
      </c>
      <c r="AG52" s="187">
        <v>0</v>
      </c>
      <c r="AH52" s="187">
        <v>0</v>
      </c>
      <c r="AI52" s="187">
        <v>0</v>
      </c>
      <c r="AJ52" s="187">
        <v>0</v>
      </c>
      <c r="AK52" s="187">
        <v>0</v>
      </c>
      <c r="AL52" s="187">
        <v>0</v>
      </c>
      <c r="AM52" s="187">
        <v>0</v>
      </c>
      <c r="AN52" s="187">
        <v>0</v>
      </c>
      <c r="AO52" s="187">
        <v>0</v>
      </c>
      <c r="AP52" s="187">
        <v>0</v>
      </c>
      <c r="AQ52" s="187">
        <v>0</v>
      </c>
      <c r="AR52" s="187">
        <v>0</v>
      </c>
      <c r="AS52" s="187">
        <v>0</v>
      </c>
      <c r="AT52" s="187">
        <v>0</v>
      </c>
      <c r="AU52" s="187">
        <v>0</v>
      </c>
      <c r="AV52" s="187">
        <v>0</v>
      </c>
      <c r="AW52" s="187">
        <v>0</v>
      </c>
    </row>
    <row r="53" spans="3:49" x14ac:dyDescent="0.3">
      <c r="C53" s="187">
        <v>43</v>
      </c>
      <c r="D53" s="187">
        <v>12</v>
      </c>
      <c r="E53" s="187">
        <v>1</v>
      </c>
      <c r="F53" s="187">
        <v>2.65</v>
      </c>
      <c r="G53" s="187">
        <v>0</v>
      </c>
      <c r="H53" s="187">
        <v>0</v>
      </c>
      <c r="I53" s="187">
        <v>1</v>
      </c>
      <c r="J53" s="187">
        <v>0</v>
      </c>
      <c r="K53" s="187">
        <v>1</v>
      </c>
      <c r="L53" s="187">
        <v>0</v>
      </c>
      <c r="M53" s="187">
        <v>0</v>
      </c>
      <c r="N53" s="187">
        <v>0</v>
      </c>
      <c r="O53" s="187">
        <v>0</v>
      </c>
      <c r="P53" s="187">
        <v>0</v>
      </c>
      <c r="Q53" s="187">
        <v>0</v>
      </c>
      <c r="R53" s="187">
        <v>0</v>
      </c>
      <c r="S53" s="187">
        <v>0</v>
      </c>
      <c r="T53" s="187">
        <v>0</v>
      </c>
      <c r="U53" s="187">
        <v>0</v>
      </c>
      <c r="V53" s="187">
        <v>0</v>
      </c>
      <c r="W53" s="187">
        <v>0</v>
      </c>
      <c r="X53" s="187">
        <v>0</v>
      </c>
      <c r="Y53" s="187">
        <v>0</v>
      </c>
      <c r="Z53" s="187">
        <v>0</v>
      </c>
      <c r="AA53" s="187">
        <v>0</v>
      </c>
      <c r="AB53" s="187">
        <v>0</v>
      </c>
      <c r="AC53" s="187">
        <v>0</v>
      </c>
      <c r="AD53" s="187">
        <v>0</v>
      </c>
      <c r="AE53" s="187">
        <v>0</v>
      </c>
      <c r="AF53" s="187">
        <v>0</v>
      </c>
      <c r="AG53" s="187">
        <v>0</v>
      </c>
      <c r="AH53" s="187">
        <v>0</v>
      </c>
      <c r="AI53" s="187">
        <v>0</v>
      </c>
      <c r="AJ53" s="187">
        <v>0.05</v>
      </c>
      <c r="AK53" s="187">
        <v>0</v>
      </c>
      <c r="AL53" s="187">
        <v>0</v>
      </c>
      <c r="AM53" s="187">
        <v>0</v>
      </c>
      <c r="AN53" s="187">
        <v>0</v>
      </c>
      <c r="AO53" s="187">
        <v>0</v>
      </c>
      <c r="AP53" s="187">
        <v>0</v>
      </c>
      <c r="AQ53" s="187">
        <v>0</v>
      </c>
      <c r="AR53" s="187">
        <v>0</v>
      </c>
      <c r="AS53" s="187">
        <v>0</v>
      </c>
      <c r="AT53" s="187">
        <v>0</v>
      </c>
      <c r="AU53" s="187">
        <v>0</v>
      </c>
      <c r="AV53" s="187">
        <v>0</v>
      </c>
      <c r="AW53" s="187">
        <v>0.6</v>
      </c>
    </row>
    <row r="54" spans="3:49" x14ac:dyDescent="0.3">
      <c r="C54" s="187">
        <v>43</v>
      </c>
      <c r="D54" s="187">
        <v>12</v>
      </c>
      <c r="E54" s="187">
        <v>2</v>
      </c>
      <c r="F54" s="187">
        <v>364.8</v>
      </c>
      <c r="G54" s="187">
        <v>0</v>
      </c>
      <c r="H54" s="187">
        <v>0</v>
      </c>
      <c r="I54" s="187">
        <v>144</v>
      </c>
      <c r="J54" s="187">
        <v>0</v>
      </c>
      <c r="K54" s="187">
        <v>144</v>
      </c>
      <c r="L54" s="187">
        <v>0</v>
      </c>
      <c r="M54" s="187">
        <v>0</v>
      </c>
      <c r="N54" s="187">
        <v>0</v>
      </c>
      <c r="O54" s="187">
        <v>0</v>
      </c>
      <c r="P54" s="187">
        <v>0</v>
      </c>
      <c r="Q54" s="187">
        <v>0</v>
      </c>
      <c r="R54" s="187">
        <v>0</v>
      </c>
      <c r="S54" s="187">
        <v>0</v>
      </c>
      <c r="T54" s="187">
        <v>0</v>
      </c>
      <c r="U54" s="187">
        <v>0</v>
      </c>
      <c r="V54" s="187">
        <v>0</v>
      </c>
      <c r="W54" s="187">
        <v>0</v>
      </c>
      <c r="X54" s="187">
        <v>0</v>
      </c>
      <c r="Y54" s="187">
        <v>0</v>
      </c>
      <c r="Z54" s="187">
        <v>0</v>
      </c>
      <c r="AA54" s="187">
        <v>0</v>
      </c>
      <c r="AB54" s="187">
        <v>0</v>
      </c>
      <c r="AC54" s="187">
        <v>0</v>
      </c>
      <c r="AD54" s="187">
        <v>0</v>
      </c>
      <c r="AE54" s="187">
        <v>0</v>
      </c>
      <c r="AF54" s="187">
        <v>0</v>
      </c>
      <c r="AG54" s="187">
        <v>0</v>
      </c>
      <c r="AH54" s="187">
        <v>0</v>
      </c>
      <c r="AI54" s="187">
        <v>0</v>
      </c>
      <c r="AJ54" s="187">
        <v>7.2</v>
      </c>
      <c r="AK54" s="187">
        <v>0</v>
      </c>
      <c r="AL54" s="187">
        <v>0</v>
      </c>
      <c r="AM54" s="187">
        <v>0</v>
      </c>
      <c r="AN54" s="187">
        <v>0</v>
      </c>
      <c r="AO54" s="187">
        <v>0</v>
      </c>
      <c r="AP54" s="187">
        <v>0</v>
      </c>
      <c r="AQ54" s="187">
        <v>0</v>
      </c>
      <c r="AR54" s="187">
        <v>0</v>
      </c>
      <c r="AS54" s="187">
        <v>0</v>
      </c>
      <c r="AT54" s="187">
        <v>0</v>
      </c>
      <c r="AU54" s="187">
        <v>0</v>
      </c>
      <c r="AV54" s="187">
        <v>0</v>
      </c>
      <c r="AW54" s="187">
        <v>69.599999999999994</v>
      </c>
    </row>
    <row r="55" spans="3:49" x14ac:dyDescent="0.3">
      <c r="C55" s="187">
        <v>43</v>
      </c>
      <c r="D55" s="187">
        <v>12</v>
      </c>
      <c r="E55" s="187">
        <v>6</v>
      </c>
      <c r="F55" s="187">
        <v>166001</v>
      </c>
      <c r="G55" s="187">
        <v>0</v>
      </c>
      <c r="H55" s="187">
        <v>0</v>
      </c>
      <c r="I55" s="187">
        <v>35913</v>
      </c>
      <c r="J55" s="187">
        <v>0</v>
      </c>
      <c r="K55" s="187">
        <v>111422</v>
      </c>
      <c r="L55" s="187">
        <v>0</v>
      </c>
      <c r="M55" s="187">
        <v>0</v>
      </c>
      <c r="N55" s="187">
        <v>0</v>
      </c>
      <c r="O55" s="187">
        <v>0</v>
      </c>
      <c r="P55" s="187">
        <v>0</v>
      </c>
      <c r="Q55" s="187">
        <v>0</v>
      </c>
      <c r="R55" s="187">
        <v>0</v>
      </c>
      <c r="S55" s="187">
        <v>0</v>
      </c>
      <c r="T55" s="187">
        <v>0</v>
      </c>
      <c r="U55" s="187">
        <v>0</v>
      </c>
      <c r="V55" s="187">
        <v>0</v>
      </c>
      <c r="W55" s="187">
        <v>0</v>
      </c>
      <c r="X55" s="187">
        <v>0</v>
      </c>
      <c r="Y55" s="187">
        <v>0</v>
      </c>
      <c r="Z55" s="187">
        <v>0</v>
      </c>
      <c r="AA55" s="187">
        <v>0</v>
      </c>
      <c r="AB55" s="187">
        <v>0</v>
      </c>
      <c r="AC55" s="187">
        <v>0</v>
      </c>
      <c r="AD55" s="187">
        <v>0</v>
      </c>
      <c r="AE55" s="187">
        <v>0</v>
      </c>
      <c r="AF55" s="187">
        <v>0</v>
      </c>
      <c r="AG55" s="187">
        <v>0</v>
      </c>
      <c r="AH55" s="187">
        <v>0</v>
      </c>
      <c r="AI55" s="187">
        <v>0</v>
      </c>
      <c r="AJ55" s="187">
        <v>2829</v>
      </c>
      <c r="AK55" s="187">
        <v>0</v>
      </c>
      <c r="AL55" s="187">
        <v>0</v>
      </c>
      <c r="AM55" s="187">
        <v>0</v>
      </c>
      <c r="AN55" s="187">
        <v>0</v>
      </c>
      <c r="AO55" s="187">
        <v>0</v>
      </c>
      <c r="AP55" s="187">
        <v>0</v>
      </c>
      <c r="AQ55" s="187">
        <v>0</v>
      </c>
      <c r="AR55" s="187">
        <v>0</v>
      </c>
      <c r="AS55" s="187">
        <v>0</v>
      </c>
      <c r="AT55" s="187">
        <v>0</v>
      </c>
      <c r="AU55" s="187">
        <v>0</v>
      </c>
      <c r="AV55" s="187">
        <v>0</v>
      </c>
      <c r="AW55" s="187">
        <v>15837</v>
      </c>
    </row>
    <row r="56" spans="3:49" x14ac:dyDescent="0.3">
      <c r="C56" s="187">
        <v>43</v>
      </c>
      <c r="D56" s="187">
        <v>12</v>
      </c>
      <c r="E56" s="187">
        <v>9</v>
      </c>
      <c r="F56" s="187">
        <v>69712</v>
      </c>
      <c r="G56" s="187">
        <v>0</v>
      </c>
      <c r="H56" s="187">
        <v>0</v>
      </c>
      <c r="I56" s="187">
        <v>6000</v>
      </c>
      <c r="J56" s="187">
        <v>0</v>
      </c>
      <c r="K56" s="187">
        <v>59612</v>
      </c>
      <c r="L56" s="187">
        <v>0</v>
      </c>
      <c r="M56" s="187">
        <v>0</v>
      </c>
      <c r="N56" s="187">
        <v>0</v>
      </c>
      <c r="O56" s="187">
        <v>0</v>
      </c>
      <c r="P56" s="187">
        <v>0</v>
      </c>
      <c r="Q56" s="187">
        <v>0</v>
      </c>
      <c r="R56" s="187">
        <v>0</v>
      </c>
      <c r="S56" s="187">
        <v>0</v>
      </c>
      <c r="T56" s="187">
        <v>0</v>
      </c>
      <c r="U56" s="187">
        <v>0</v>
      </c>
      <c r="V56" s="187">
        <v>0</v>
      </c>
      <c r="W56" s="187">
        <v>0</v>
      </c>
      <c r="X56" s="187">
        <v>0</v>
      </c>
      <c r="Y56" s="187">
        <v>0</v>
      </c>
      <c r="Z56" s="187">
        <v>0</v>
      </c>
      <c r="AA56" s="187">
        <v>0</v>
      </c>
      <c r="AB56" s="187">
        <v>0</v>
      </c>
      <c r="AC56" s="187">
        <v>0</v>
      </c>
      <c r="AD56" s="187">
        <v>0</v>
      </c>
      <c r="AE56" s="187">
        <v>0</v>
      </c>
      <c r="AF56" s="187">
        <v>0</v>
      </c>
      <c r="AG56" s="187">
        <v>0</v>
      </c>
      <c r="AH56" s="187">
        <v>0</v>
      </c>
      <c r="AI56" s="187">
        <v>0</v>
      </c>
      <c r="AJ56" s="187">
        <v>500</v>
      </c>
      <c r="AK56" s="187">
        <v>0</v>
      </c>
      <c r="AL56" s="187">
        <v>0</v>
      </c>
      <c r="AM56" s="187">
        <v>0</v>
      </c>
      <c r="AN56" s="187">
        <v>0</v>
      </c>
      <c r="AO56" s="187">
        <v>0</v>
      </c>
      <c r="AP56" s="187">
        <v>0</v>
      </c>
      <c r="AQ56" s="187">
        <v>0</v>
      </c>
      <c r="AR56" s="187">
        <v>0</v>
      </c>
      <c r="AS56" s="187">
        <v>0</v>
      </c>
      <c r="AT56" s="187">
        <v>0</v>
      </c>
      <c r="AU56" s="187">
        <v>0</v>
      </c>
      <c r="AV56" s="187">
        <v>0</v>
      </c>
      <c r="AW56" s="187">
        <v>3600</v>
      </c>
    </row>
    <row r="57" spans="3:49" x14ac:dyDescent="0.3">
      <c r="C57" s="187">
        <v>43</v>
      </c>
      <c r="D57" s="187">
        <v>12</v>
      </c>
      <c r="E57" s="187">
        <v>11</v>
      </c>
      <c r="F57" s="187">
        <v>572.51908396946567</v>
      </c>
      <c r="G57" s="187">
        <v>0</v>
      </c>
      <c r="H57" s="187">
        <v>0</v>
      </c>
      <c r="I57" s="187">
        <v>0</v>
      </c>
      <c r="J57" s="187">
        <v>572.51908396946567</v>
      </c>
      <c r="K57" s="187">
        <v>0</v>
      </c>
      <c r="L57" s="187">
        <v>0</v>
      </c>
      <c r="M57" s="187">
        <v>0</v>
      </c>
      <c r="N57" s="187">
        <v>0</v>
      </c>
      <c r="O57" s="187">
        <v>0</v>
      </c>
      <c r="P57" s="187">
        <v>0</v>
      </c>
      <c r="Q57" s="187">
        <v>0</v>
      </c>
      <c r="R57" s="187">
        <v>0</v>
      </c>
      <c r="S57" s="187">
        <v>0</v>
      </c>
      <c r="T57" s="187">
        <v>0</v>
      </c>
      <c r="U57" s="187">
        <v>0</v>
      </c>
      <c r="V57" s="187">
        <v>0</v>
      </c>
      <c r="W57" s="187">
        <v>0</v>
      </c>
      <c r="X57" s="187">
        <v>0</v>
      </c>
      <c r="Y57" s="187">
        <v>0</v>
      </c>
      <c r="Z57" s="187">
        <v>0</v>
      </c>
      <c r="AA57" s="187">
        <v>0</v>
      </c>
      <c r="AB57" s="187">
        <v>0</v>
      </c>
      <c r="AC57" s="187">
        <v>0</v>
      </c>
      <c r="AD57" s="187">
        <v>0</v>
      </c>
      <c r="AE57" s="187">
        <v>0</v>
      </c>
      <c r="AF57" s="187">
        <v>0</v>
      </c>
      <c r="AG57" s="187">
        <v>0</v>
      </c>
      <c r="AH57" s="187">
        <v>0</v>
      </c>
      <c r="AI57" s="187">
        <v>0</v>
      </c>
      <c r="AJ57" s="187">
        <v>0</v>
      </c>
      <c r="AK57" s="187">
        <v>0</v>
      </c>
      <c r="AL57" s="187">
        <v>0</v>
      </c>
      <c r="AM57" s="187">
        <v>0</v>
      </c>
      <c r="AN57" s="187">
        <v>0</v>
      </c>
      <c r="AO57" s="187">
        <v>0</v>
      </c>
      <c r="AP57" s="187">
        <v>0</v>
      </c>
      <c r="AQ57" s="187">
        <v>0</v>
      </c>
      <c r="AR57" s="187">
        <v>0</v>
      </c>
      <c r="AS57" s="187">
        <v>0</v>
      </c>
      <c r="AT57" s="187">
        <v>0</v>
      </c>
      <c r="AU57" s="187">
        <v>0</v>
      </c>
      <c r="AV57" s="187">
        <v>0</v>
      </c>
      <c r="AW57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9" t="s">
        <v>242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364.33</v>
      </c>
      <c r="E3" s="179">
        <f t="shared" si="0"/>
        <v>2.2283180428134557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157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thickBot="1" x14ac:dyDescent="0.35">
      <c r="A6" s="365" t="s">
        <v>241</v>
      </c>
      <c r="B6" s="363">
        <v>327</v>
      </c>
      <c r="C6" s="364">
        <v>1</v>
      </c>
      <c r="D6" s="363">
        <v>364.33</v>
      </c>
      <c r="E6" s="364">
        <v>1.1141590214067278</v>
      </c>
      <c r="F6" s="363"/>
      <c r="G6" s="237"/>
      <c r="H6" s="363"/>
      <c r="I6" s="364"/>
      <c r="J6" s="363"/>
      <c r="K6" s="364"/>
      <c r="L6" s="363"/>
      <c r="M6" s="237"/>
      <c r="N6" s="363"/>
      <c r="O6" s="364"/>
      <c r="P6" s="363"/>
      <c r="Q6" s="364"/>
      <c r="R6" s="363"/>
      <c r="S6" s="238"/>
    </row>
    <row r="7" spans="1:19" ht="14.4" customHeight="1" thickBot="1" x14ac:dyDescent="0.35"/>
    <row r="8" spans="1:19" ht="14.4" customHeight="1" thickBot="1" x14ac:dyDescent="0.35">
      <c r="A8" s="365" t="s">
        <v>243</v>
      </c>
      <c r="B8" s="363">
        <v>327</v>
      </c>
      <c r="C8" s="364">
        <v>1</v>
      </c>
      <c r="D8" s="363">
        <v>364.33</v>
      </c>
      <c r="E8" s="364">
        <v>1.1141590214067278</v>
      </c>
      <c r="F8" s="363"/>
      <c r="G8" s="237"/>
      <c r="H8" s="363"/>
      <c r="I8" s="364"/>
      <c r="J8" s="363"/>
      <c r="K8" s="364"/>
      <c r="L8" s="363"/>
      <c r="M8" s="237"/>
      <c r="N8" s="363"/>
      <c r="O8" s="364"/>
      <c r="P8" s="363"/>
      <c r="Q8" s="364"/>
      <c r="R8" s="363"/>
      <c r="S8" s="238"/>
    </row>
    <row r="9" spans="1:19" ht="14.4" customHeight="1" x14ac:dyDescent="0.3">
      <c r="A9" s="366" t="s">
        <v>244</v>
      </c>
    </row>
    <row r="10" spans="1:19" ht="14.4" customHeight="1" x14ac:dyDescent="0.3">
      <c r="A10" s="367" t="s">
        <v>245</v>
      </c>
    </row>
    <row r="11" spans="1:19" ht="14.4" customHeight="1" x14ac:dyDescent="0.3">
      <c r="A11" s="366" t="s">
        <v>246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2017-01-31T12:01:38Z</dcterms:modified>
</cp:coreProperties>
</file>