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Osobní náklady" sheetId="419" r:id="rId6"/>
    <sheet name="ON Data" sheetId="418" state="hidden" r:id="rId7"/>
    <sheet name="ZV Vykáz.-H" sheetId="410" r:id="rId8"/>
    <sheet name="ZV Vykáz.-H Detail" sheetId="377" r:id="rId9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8" hidden="1">'ZV Vykáz.-H Detail'!$A$5:$Q$5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F20" i="419" l="1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E18" i="419" l="1"/>
  <c r="C18" i="419"/>
  <c r="D18" i="419"/>
  <c r="F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7" i="414"/>
  <c r="F21" i="419" l="1"/>
  <c r="F23" i="419" l="1"/>
  <c r="F22" i="419"/>
  <c r="N3" i="418"/>
  <c r="E21" i="419" l="1"/>
  <c r="E22" i="419" s="1"/>
  <c r="D21" i="419"/>
  <c r="D23" i="419" l="1"/>
  <c r="E23" i="419"/>
  <c r="D22" i="419"/>
  <c r="B21" i="419"/>
  <c r="B22" i="419" l="1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C6" i="419"/>
  <c r="F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16" i="414"/>
  <c r="B11" i="339"/>
  <c r="J11" i="339" s="1"/>
  <c r="I11" i="339" l="1"/>
  <c r="F11" i="339"/>
  <c r="H11" i="339" l="1"/>
  <c r="G11" i="339"/>
  <c r="A16" i="414"/>
  <c r="A11" i="414"/>
  <c r="A12" i="414"/>
  <c r="A4" i="414"/>
  <c r="A6" i="339" l="1"/>
  <c r="A5" i="339"/>
  <c r="C15" i="414"/>
  <c r="C12" i="414"/>
  <c r="D12" i="414"/>
  <c r="D4" i="414"/>
  <c r="D15" i="414"/>
  <c r="C11" i="414" l="1"/>
  <c r="C7" i="414"/>
  <c r="E16" i="414" l="1"/>
  <c r="E11" i="414"/>
  <c r="E7" i="414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C17" i="414"/>
  <c r="D17" i="414"/>
  <c r="I12" i="339" l="1"/>
  <c r="I13" i="339" s="1"/>
  <c r="F13" i="339"/>
  <c r="E13" i="339"/>
  <c r="E15" i="339" s="1"/>
  <c r="H12" i="339"/>
  <c r="G12" i="339"/>
  <c r="A4" i="383"/>
  <c r="A14" i="383"/>
  <c r="A13" i="383"/>
  <c r="A10" i="383"/>
  <c r="A7" i="383"/>
  <c r="A6" i="383"/>
  <c r="A5" i="383"/>
  <c r="C13" i="339"/>
  <c r="C15" i="339" s="1"/>
  <c r="B13" i="339"/>
  <c r="C4" i="414"/>
  <c r="D14" i="414"/>
  <c r="J13" i="339" l="1"/>
  <c r="B15" i="339"/>
  <c r="H13" i="339"/>
  <c r="F15" i="339"/>
  <c r="E12" i="414"/>
  <c r="E4" i="414"/>
  <c r="G13" i="339"/>
  <c r="G15" i="339" l="1"/>
  <c r="H15" i="339"/>
  <c r="E15" i="414"/>
  <c r="E17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<sst xmlns="http://schemas.openxmlformats.org/spreadsheetml/2006/main" count="469" uniqueCount="255">
  <si>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</si>
  <si>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</si>
  <si>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</si>
  <si>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</si>
  <si>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</si>
  <si>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</si>
  <si>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</si>
  <si>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</si>
  <si>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</si>
  <si>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</si>
  <si>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</si>
  <si>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</si>
  <si>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</si>
  <si>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</si>
  <si>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</si>
  <si>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</si>
  <si>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</si>
  <si>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</si>
  <si>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</si>
  <si>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</si>
  <si>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</si>
  <si>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</si>
  <si>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</si>
  <si>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</si>
  <si>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</si>
  <si>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</si>
  <si>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</si>
  <si>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</si>
  <si>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</si>
  <si>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</si>
  <si>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</si>
  <si>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</si>
  <si>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</si>
  <si>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</si>
  <si>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</si>
  <si>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</si>
  <si>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</si>
  <si>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</si>
  <si>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</si>
  <si>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</si>
  <si>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</si>
  <si>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</si>
  <si>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</si>
  <si>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</si>
  <si>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</si>
  <si>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</si>
  <si>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Počet</t>
  </si>
  <si>
    <t>Skutečnost</t>
  </si>
  <si>
    <t>Rozpočet</t>
  </si>
  <si>
    <t>Plnění</t>
  </si>
  <si>
    <t>Ostatní (Kč)</t>
  </si>
  <si>
    <t>Náklady celkem</t>
  </si>
  <si>
    <t>Výnosy celkem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</si>
  <si>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</si>
  <si>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</si>
  <si>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</si>
  <si>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</si>
  <si>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</si>
  <si>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</si>
  <si>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</si>
  <si>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</si>
  <si>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</si>
  <si>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</si>
  <si>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</si>
  <si>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</si>
  <si>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</si>
  <si>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</si>
  <si>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</si>
  <si>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Osobní náklady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</si>
  <si>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</si>
  <si>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</si>
  <si>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</si>
  <si>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</si>
  <si>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</si>
  <si>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</si>
  <si>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</si>
  <si>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</si>
  <si>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</si>
  <si>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</si>
  <si>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</si>
  <si>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</si>
  <si>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</si>
  <si>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</si>
  <si>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</si>
  <si>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</si>
  <si>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</si>
  <si>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</si>
  <si>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</si>
  <si>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</si>
  <si>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</si>
  <si>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</si>
  <si>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</si>
  <si>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</si>
  <si>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</si>
  <si>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</si>
  <si>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</si>
  <si>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</si>
  <si>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</si>
  <si>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</si>
  <si>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</si>
  <si>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</si>
  <si>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</si>
  <si>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</si>
  <si>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</si>
  <si>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</si>
  <si>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</si>
  <si>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</si>
  <si>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</si>
  <si>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</si>
  <si>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</si>
  <si>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</si>
  <si>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</si>
  <si>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</si>
  <si>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</si>
  <si>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</si>
  <si>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</si>
  <si>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</si>
  <si>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</si>
  <si>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</si>
  <si>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</si>
  <si>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</si>
  <si>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</si>
  <si>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</si>
  <si>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</si>
  <si>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</si>
  <si>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</si>
  <si>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</si>
  <si>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</si>
  <si>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</si>
  <si>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</si>
  <si>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</si>
  <si>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</si>
  <si>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</si>
  <si>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</si>
  <si>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</si>
  <si>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</si>
  <si>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</si>
  <si>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</si>
  <si>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</si>
  <si>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</si>
  <si>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</si>
  <si>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</si>
  <si>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</si>
  <si>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</si>
  <si>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</si>
  <si>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</si>
  <si>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</si>
  <si>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</si>
  <si>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</si>
  <si>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</si>
  <si>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</si>
  <si>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</si>
  <si>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</si>
  <si>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</si>
  <si>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</si>
  <si>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</si>
  <si>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</si>
  <si>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</si>
  <si>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</si>
  <si>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</si>
  <si>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</si>
  <si>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</si>
  <si>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</si>
  <si>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</si>
  <si>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</si>
  <si>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</si>
  <si>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</si>
  <si>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</si>
  <si>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</si>
  <si>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</si>
  <si>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</si>
  <si>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51     Služby</t>
  </si>
  <si>
    <t>51102     Technika a stavby</t>
  </si>
  <si>
    <t>51102025     opravy - hl.energetik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</si>
  <si>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</si>
  <si>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</si>
  <si>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</si>
  <si>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</si>
  <si>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</si>
  <si>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</si>
  <si>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</si>
  <si>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</si>
  <si>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</si>
  <si>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</si>
  <si>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</si>
  <si>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</si>
  <si>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</si>
  <si>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</si>
  <si>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</si>
  <si>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</si>
  <si>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--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</si>
  <si>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</si>
  <si>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</si>
  <si>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</si>
  <si>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</si>
  <si>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</si>
  <si>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</si>
  <si>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</si>
  <si>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</si>
  <si>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</si>
  <si>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</si>
  <si>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</si>
  <si>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</si>
  <si>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</si>
  <si>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</si>
  <si>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</si>
  <si>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</si>
  <si>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</si>
  <si>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</si>
  <si>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</si>
  <si>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</si>
  <si>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</si>
  <si>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</si>
  <si>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</si>
  <si>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</si>
  <si>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</si>
  <si>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</si>
  <si>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</si>
  <si>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</si>
  <si>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</si>
  <si>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</si>
  <si>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</si>
  <si>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</si>
  <si>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</si>
  <si>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</si>
  <si>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</si>
  <si>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</si>
  <si>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</si>
  <si>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</si>
  <si>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</si>
  <si>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</si>
  <si>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</si>
  <si>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</si>
  <si>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</si>
  <si>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</si>
  <si>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</si>
  <si>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</si>
  <si>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</si>
  <si>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</si>
  <si>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</si>
  <si>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</si>
  <si>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</si>
  <si>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</si>
  <si>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</si>
  <si>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11</t>
  </si>
  <si>
    <t>14</t>
  </si>
  <si>
    <t>16</t>
  </si>
  <si>
    <t>17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</si>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</sst>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6" formatCode="#,##0.0"/>
    <numFmt numFmtId="169" formatCode="#,##0,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3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9" fontId="3" fillId="0" borderId="56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3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9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9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8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78" applyFont="1" applyFill="1"/>
    <xf numFmtId="0" fontId="49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5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3" xfId="0" applyNumberFormat="1" applyFont="1" applyFill="1" applyBorder="1" applyAlignment="1"/>
    <xf numFmtId="9" fontId="32" fillId="0" borderId="43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1" fillId="8" borderId="60" xfId="0" applyNumberFormat="1" applyFont="1" applyFill="1" applyBorder="1"/>
    <xf numFmtId="3" fontId="51" fillId="8" borderId="59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4" xfId="0" applyFont="1" applyFill="1" applyBorder="1" applyAlignment="1">
      <alignment horizontal="center" vertical="center"/>
    </xf>
    <xf numFmtId="0" fontId="53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4" xfId="0" applyNumberFormat="1" applyFont="1" applyBorder="1"/>
    <xf numFmtId="173" fontId="39" fillId="0" borderId="80" xfId="0" applyNumberFormat="1" applyFont="1" applyBorder="1"/>
    <xf numFmtId="173" fontId="32" fillId="0" borderId="67" xfId="0" applyNumberFormat="1" applyFont="1" applyBorder="1"/>
    <xf numFmtId="173" fontId="39" fillId="2" borderId="82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7" xfId="0" applyNumberFormat="1" applyFont="1" applyBorder="1"/>
    <xf numFmtId="173" fontId="32" fillId="0" borderId="78" xfId="0" applyNumberFormat="1" applyFont="1" applyBorder="1"/>
    <xf numFmtId="174" fontId="39" fillId="2" borderId="70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4" xfId="0" applyNumberFormat="1" applyFont="1" applyBorder="1"/>
    <xf numFmtId="174" fontId="39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25" fillId="2" borderId="33" xfId="1" applyFill="1" applyBorder="1" applyAlignment="1">
      <alignment horizontal="left" indent="4"/>
    </xf>
    <xf numFmtId="9" fontId="32" fillId="0" borderId="74" xfId="0" applyNumberFormat="1" applyFont="1" applyBorder="1"/>
    <xf numFmtId="49" fontId="37" fillId="2" borderId="74" xfId="0" quotePrefix="1" applyNumberFormat="1" applyFont="1" applyFill="1" applyBorder="1" applyAlignment="1">
      <alignment horizontal="center" vertical="center"/>
    </xf>
    <xf numFmtId="0" fontId="32" fillId="0" borderId="73" xfId="0" applyFont="1" applyBorder="1"/>
    <xf numFmtId="0" fontId="31" fillId="2" borderId="37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0" fillId="0" borderId="0" xfId="0" applyBorder="1"/>
    <xf numFmtId="173" fontId="32" fillId="0" borderId="86" xfId="0" applyNumberFormat="1" applyFont="1" applyBorder="1"/>
    <xf numFmtId="3" fontId="32" fillId="0" borderId="0" xfId="0" applyNumberFormat="1" applyFont="1" applyBorder="1"/>
    <xf numFmtId="173" fontId="32" fillId="0" borderId="73" xfId="0" applyNumberFormat="1" applyFont="1" applyBorder="1" applyAlignment="1"/>
    <xf numFmtId="173" fontId="32" fillId="0" borderId="74" xfId="0" applyNumberFormat="1" applyFont="1" applyBorder="1" applyAlignment="1"/>
    <xf numFmtId="173" fontId="32" fillId="0" borderId="75" xfId="0" applyNumberFormat="1" applyFont="1" applyBorder="1" applyAlignment="1"/>
    <xf numFmtId="175" fontId="32" fillId="0" borderId="73" xfId="0" applyNumberFormat="1" applyFont="1" applyBorder="1" applyAlignment="1"/>
    <xf numFmtId="175" fontId="32" fillId="0" borderId="74" xfId="0" applyNumberFormat="1" applyFont="1" applyBorder="1" applyAlignment="1"/>
    <xf numFmtId="175" fontId="32" fillId="0" borderId="75" xfId="0" applyNumberFormat="1" applyFont="1" applyBorder="1" applyAlignment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87" xfId="0" applyNumberFormat="1" applyFont="1" applyBorder="1"/>
    <xf numFmtId="9" fontId="32" fillId="0" borderId="71" xfId="0" applyNumberFormat="1" applyFont="1" applyBorder="1"/>
    <xf numFmtId="173" fontId="32" fillId="0" borderId="79" xfId="0" applyNumberFormat="1" applyFont="1" applyBorder="1"/>
    <xf numFmtId="0" fontId="0" fillId="0" borderId="1" xfId="0" applyBorder="1" applyAlignment="1"/>
    <xf numFmtId="173" fontId="39" fillId="0" borderId="17" xfId="0" applyNumberFormat="1" applyFont="1" applyBorder="1"/>
    <xf numFmtId="173" fontId="39" fillId="0" borderId="2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78" applyFont="1" applyFill="1" applyBorder="1" applyAlignment="1">
      <alignment horizontal="center"/>
    </xf>
    <xf numFmtId="0" fontId="31" fillId="2" borderId="42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0" fontId="31" fillId="2" borderId="58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85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0" fontId="31" fillId="2" borderId="29" xfId="0" applyFont="1" applyFill="1" applyBorder="1" applyAlignment="1">
      <alignment horizontal="center" vertical="top" wrapText="1"/>
    </xf>
    <xf numFmtId="3" fontId="31" fillId="2" borderId="44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4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2" fillId="2" borderId="44" xfId="0" applyNumberFormat="1" applyFont="1" applyFill="1" applyBorder="1" applyAlignment="1">
      <alignment horizontal="center" vertical="top"/>
    </xf>
    <xf numFmtId="3" fontId="33" fillId="9" borderId="89" xfId="0" applyNumberFormat="1" applyFont="1" applyFill="1" applyBorder="1" applyAlignment="1">
      <alignment horizontal="right" vertical="top"/>
    </xf>
    <xf numFmtId="3" fontId="33" fillId="9" borderId="90" xfId="0" applyNumberFormat="1" applyFont="1" applyFill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3" fillId="0" borderId="89" xfId="0" applyNumberFormat="1" applyFont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176" fontId="35" fillId="9" borderId="101" xfId="0" applyNumberFormat="1" applyFont="1" applyFill="1" applyBorder="1" applyAlignment="1">
      <alignment horizontal="right" vertical="top"/>
    </xf>
    <xf numFmtId="0" fontId="37" fillId="10" borderId="88" xfId="0" applyFont="1" applyFill="1" applyBorder="1" applyAlignment="1">
      <alignment vertical="top"/>
    </xf>
    <xf numFmtId="0" fontId="37" fillId="10" borderId="88" xfId="0" applyFont="1" applyFill="1" applyBorder="1" applyAlignment="1">
      <alignment vertical="top" indent="2"/>
    </xf>
    <xf numFmtId="0" fontId="37" fillId="10" borderId="88" xfId="0" applyFont="1" applyFill="1" applyBorder="1" applyAlignment="1">
      <alignment vertical="top" indent="4"/>
    </xf>
    <xf numFmtId="0" fontId="38" fillId="10" borderId="93" xfId="0" applyFont="1" applyFill="1" applyBorder="1" applyAlignment="1">
      <alignment vertical="top" indent="6"/>
    </xf>
    <xf numFmtId="0" fontId="37" fillId="10" borderId="88" xfId="0" applyFont="1" applyFill="1" applyBorder="1" applyAlignment="1">
      <alignment vertical="top" indent="8"/>
    </xf>
    <xf numFmtId="0" fontId="38" fillId="10" borderId="93" xfId="0" applyFont="1" applyFill="1" applyBorder="1" applyAlignment="1">
      <alignment vertical="top" indent="2"/>
    </xf>
    <xf numFmtId="0" fontId="37" fillId="10" borderId="88" xfId="0" applyFont="1" applyFill="1" applyBorder="1" applyAlignment="1">
      <alignment vertical="top" indent="6"/>
    </xf>
    <xf numFmtId="0" fontId="38" fillId="10" borderId="93" xfId="0" applyFont="1" applyFill="1" applyBorder="1" applyAlignment="1">
      <alignment vertical="top" indent="4"/>
    </xf>
    <xf numFmtId="0" fontId="32" fillId="10" borderId="88" xfId="0" applyFont="1" applyFill="1" applyBorder="1"/>
    <xf numFmtId="0" fontId="38" fillId="10" borderId="17" xfId="0" applyFont="1" applyFill="1" applyBorder="1" applyAlignment="1">
      <alignment vertical="top"/>
    </xf>
    <xf numFmtId="0" fontId="32" fillId="2" borderId="53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63" xfId="0" applyFont="1" applyFill="1" applyBorder="1"/>
    <xf numFmtId="169" fontId="32" fillId="0" borderId="64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0" fontId="32" fillId="0" borderId="73" xfId="0" applyFont="1" applyFill="1" applyBorder="1"/>
    <xf numFmtId="169" fontId="32" fillId="0" borderId="74" xfId="0" applyNumberFormat="1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2" fillId="0" borderId="66" xfId="0" applyFont="1" applyFill="1" applyBorder="1"/>
    <xf numFmtId="169" fontId="32" fillId="0" borderId="67" xfId="0" applyNumberFormat="1" applyFont="1" applyFill="1" applyBorder="1"/>
    <xf numFmtId="0" fontId="32" fillId="0" borderId="67" xfId="0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1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3" fontId="32" fillId="0" borderId="67" xfId="0" applyNumberFormat="1" applyFont="1" applyFill="1" applyBorder="1"/>
    <xf numFmtId="3" fontId="32" fillId="0" borderId="68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3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9" bestFit="1" customWidth="1"/>
    <col min="2" max="2" width="102.21875" style="99" bestFit="1" customWidth="1"/>
    <col min="3" max="3" width="16.109375" style="42" hidden="1" customWidth="1"/>
    <col min="4" max="16384" width="8.88671875" style="99"/>
  </cols>
  <sheetData>
    <row r="1" spans="1:3" ht="18.600000000000001" customHeight="1" thickBot="1" x14ac:dyDescent="0.4">
      <c r="A1" s="256" t="s">
        <v>63</v>
      </c>
      <c r="B1" s="256"/>
    </row>
    <row r="2" spans="1:3" ht="14.4" customHeight="1" thickBot="1" x14ac:dyDescent="0.35">
      <c r="A2" s="181" t="s">
        <v>160</v>
      </c>
      <c r="B2" s="41"/>
    </row>
    <row r="3" spans="1:3" ht="14.4" customHeight="1" thickBot="1" x14ac:dyDescent="0.35">
      <c r="A3" s="252" t="s">
        <v>76</v>
      </c>
      <c r="B3" s="253"/>
    </row>
    <row r="4" spans="1:3" ht="14.4" customHeight="1" x14ac:dyDescent="0.3">
      <c r="A4" s="111" t="str">
        <f t="shared" ref="A4:A7" si="0">HYPERLINK("#'"&amp;C4&amp;"'!A1",C4)</f>
        <v>Motivace</v>
      </c>
      <c r="B4" s="62" t="s">
        <v>69</v>
      </c>
      <c r="C4" s="42" t="s">
        <v>70</v>
      </c>
    </row>
    <row r="5" spans="1:3" ht="14.4" customHeight="1" x14ac:dyDescent="0.3">
      <c r="A5" s="112" t="str">
        <f t="shared" si="0"/>
        <v>HI</v>
      </c>
      <c r="B5" s="63" t="s">
        <v>75</v>
      </c>
      <c r="C5" s="42" t="s">
        <v>66</v>
      </c>
    </row>
    <row r="6" spans="1:3" ht="14.4" customHeight="1" x14ac:dyDescent="0.3">
      <c r="A6" s="113" t="str">
        <f t="shared" si="0"/>
        <v>Man Tab</v>
      </c>
      <c r="B6" s="64" t="s">
        <v>162</v>
      </c>
      <c r="C6" s="42" t="s">
        <v>67</v>
      </c>
    </row>
    <row r="7" spans="1:3" ht="14.4" customHeight="1" thickBot="1" x14ac:dyDescent="0.35">
      <c r="A7" s="114" t="str">
        <f t="shared" si="0"/>
        <v>HV</v>
      </c>
      <c r="B7" s="65" t="s">
        <v>36</v>
      </c>
      <c r="C7" s="42" t="s">
        <v>41</v>
      </c>
    </row>
    <row r="8" spans="1:3" ht="14.4" customHeight="1" thickBot="1" x14ac:dyDescent="0.35">
      <c r="A8" s="66"/>
      <c r="B8" s="66"/>
    </row>
    <row r="9" spans="1:3" ht="14.4" customHeight="1" thickBot="1" x14ac:dyDescent="0.35">
      <c r="A9" s="254" t="s">
        <v>64</v>
      </c>
      <c r="B9" s="253"/>
    </row>
    <row r="10" spans="1:3" ht="14.4" customHeight="1" thickBot="1" x14ac:dyDescent="0.35">
      <c r="A10" s="115" t="str">
        <f t="shared" ref="A10" si="1">HYPERLINK("#'"&amp;C10&amp;"'!A1",C10)</f>
        <v>Osobní náklady</v>
      </c>
      <c r="B10" s="64" t="s">
        <v>61</v>
      </c>
      <c r="C10" s="42" t="s">
        <v>68</v>
      </c>
    </row>
    <row r="11" spans="1:3" ht="14.4" customHeight="1" thickBot="1" x14ac:dyDescent="0.35">
      <c r="A11" s="67"/>
      <c r="B11" s="67"/>
    </row>
    <row r="12" spans="1:3" ht="14.4" customHeight="1" thickBot="1" x14ac:dyDescent="0.35">
      <c r="A12" s="255" t="s">
        <v>65</v>
      </c>
      <c r="B12" s="253"/>
    </row>
    <row r="13" spans="1:3" ht="14.4" customHeight="1" x14ac:dyDescent="0.3">
      <c r="A13" s="113" t="str">
        <f t="shared" ref="A13:A14" si="2">HYPERLINK("#'"&amp;C13&amp;"'!A1",C13)</f>
        <v>ZV Vykáz.-H</v>
      </c>
      <c r="B13" s="64" t="s">
        <v>73</v>
      </c>
      <c r="C13" s="42" t="s">
        <v>71</v>
      </c>
    </row>
    <row r="14" spans="1:3" ht="14.4" customHeight="1" x14ac:dyDescent="0.3">
      <c r="A14" s="113" t="str">
        <f t="shared" si="2"/>
        <v>ZV Vykáz.-H Detail</v>
      </c>
      <c r="B14" s="64" t="s">
        <v>254</v>
      </c>
      <c r="C14" s="42" t="s">
        <v>72</v>
      </c>
    </row>
  </sheetData>
  <mergeCells count="4">
    <mergeCell ref="A3:B3"/>
    <mergeCell ref="A9:B9"/>
    <mergeCell ref="A12:B1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6" bestFit="1" customWidth="1"/>
    <col min="2" max="2" width="11.6640625" style="116" hidden="1" customWidth="1"/>
    <col min="3" max="4" width="11" style="118" customWidth="1"/>
    <col min="5" max="5" width="11" style="119" customWidth="1"/>
    <col min="6" max="16384" width="8.88671875" style="116"/>
  </cols>
  <sheetData>
    <row r="1" spans="1:5" ht="18.600000000000001" thickBot="1" x14ac:dyDescent="0.4">
      <c r="A1" s="256" t="s">
        <v>69</v>
      </c>
      <c r="B1" s="256"/>
      <c r="C1" s="257"/>
      <c r="D1" s="257"/>
      <c r="E1" s="257"/>
    </row>
    <row r="2" spans="1:5" ht="14.4" customHeight="1" thickBot="1" x14ac:dyDescent="0.35">
      <c r="A2" s="181" t="s">
        <v>160</v>
      </c>
      <c r="B2" s="117"/>
    </row>
    <row r="3" spans="1:5" ht="14.4" customHeight="1" thickBot="1" x14ac:dyDescent="0.35">
      <c r="A3" s="120"/>
      <c r="C3" s="121" t="s">
        <v>62</v>
      </c>
      <c r="D3" s="122" t="s">
        <v>47</v>
      </c>
      <c r="E3" s="123" t="s">
        <v>49</v>
      </c>
    </row>
    <row r="4" spans="1:5" ht="14.4" customHeight="1" thickBot="1" x14ac:dyDescent="0.35">
      <c r="A4" s="124" t="str">
        <f>HYPERLINK("#HI!A1","NÁKLADY CELKEM (v tisících Kč)")</f>
        <v>NÁKLADY CELKEM (v tisících Kč)</v>
      </c>
      <c r="B4" s="125"/>
      <c r="C4" s="126">
        <f ca="1">IF(ISERROR(VLOOKUP("Náklady celkem",INDIRECT("HI!$A:$G"),6,0)),0,VLOOKUP("Náklady celkem",INDIRECT("HI!$A:$G"),6,0))</f>
        <v>892.26151876759536</v>
      </c>
      <c r="D4" s="126">
        <f ca="1">IF(ISERROR(VLOOKUP("Náklady celkem",INDIRECT("HI!$A:$G"),5,0)),0,VLOOKUP("Náklady celkem",INDIRECT("HI!$A:$G"),5,0))</f>
        <v>830.4929800000001</v>
      </c>
      <c r="E4" s="127">
        <f ca="1">IF(C4=0,0,D4/C4)</f>
        <v>0.93077305535611254</v>
      </c>
    </row>
    <row r="5" spans="1:5" ht="14.4" customHeight="1" x14ac:dyDescent="0.3">
      <c r="A5" s="128" t="s">
        <v>78</v>
      </c>
      <c r="B5" s="129"/>
      <c r="C5" s="130"/>
      <c r="D5" s="130"/>
      <c r="E5" s="131"/>
    </row>
    <row r="6" spans="1:5" ht="14.4" customHeight="1" x14ac:dyDescent="0.3">
      <c r="A6" s="132" t="s">
        <v>83</v>
      </c>
      <c r="B6" s="133"/>
      <c r="C6" s="134"/>
      <c r="D6" s="134"/>
      <c r="E6" s="131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3" t="s">
        <v>66</v>
      </c>
      <c r="C7" s="134">
        <f>IF(ISERROR(HI!F5),"",HI!F5)</f>
        <v>0</v>
      </c>
      <c r="D7" s="134">
        <f>IF(ISERROR(HI!E5),"",HI!E5)</f>
        <v>0</v>
      </c>
      <c r="E7" s="131">
        <f t="shared" ref="E7:E11" si="0">IF(C7=0,0,D7/C7)</f>
        <v>0</v>
      </c>
    </row>
    <row r="8" spans="1:5" ht="14.4" customHeight="1" x14ac:dyDescent="0.3">
      <c r="A8" s="136" t="s">
        <v>79</v>
      </c>
      <c r="B8" s="133"/>
      <c r="C8" s="134"/>
      <c r="D8" s="134"/>
      <c r="E8" s="131"/>
    </row>
    <row r="9" spans="1:5" ht="14.4" customHeight="1" x14ac:dyDescent="0.3">
      <c r="A9" s="136" t="s">
        <v>80</v>
      </c>
      <c r="B9" s="133"/>
      <c r="C9" s="134"/>
      <c r="D9" s="134"/>
      <c r="E9" s="131"/>
    </row>
    <row r="10" spans="1:5" ht="14.4" customHeight="1" x14ac:dyDescent="0.3">
      <c r="A10" s="137" t="s">
        <v>84</v>
      </c>
      <c r="B10" s="133"/>
      <c r="C10" s="130"/>
      <c r="D10" s="130"/>
      <c r="E10" s="131"/>
    </row>
    <row r="11" spans="1:5" ht="14.4" customHeight="1" x14ac:dyDescent="0.3">
      <c r="A11" s="13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3" t="s">
        <v>66</v>
      </c>
      <c r="C11" s="134">
        <f>IF(ISERROR(HI!F6),"",HI!F6)</f>
        <v>0</v>
      </c>
      <c r="D11" s="134">
        <f>IF(ISERROR(HI!E6),"",HI!E6)</f>
        <v>0</v>
      </c>
      <c r="E11" s="131">
        <f t="shared" si="0"/>
        <v>0</v>
      </c>
    </row>
    <row r="12" spans="1:5" ht="14.4" customHeight="1" thickBot="1" x14ac:dyDescent="0.35">
      <c r="A12" s="139" t="str">
        <f>HYPERLINK("#HI!A1","Osobní náklady")</f>
        <v>Osobní náklady</v>
      </c>
      <c r="B12" s="133"/>
      <c r="C12" s="130">
        <f ca="1">IF(ISERROR(VLOOKUP("Osobní náklady (Kč) *",INDIRECT("HI!$A:$G"),6,0)),0,VLOOKUP("Osobní náklady (Kč) *",INDIRECT("HI!$A:$G"),6,0))</f>
        <v>890.5</v>
      </c>
      <c r="D12" s="130">
        <f ca="1">IF(ISERROR(VLOOKUP("Osobní náklady (Kč) *",INDIRECT("HI!$A:$G"),5,0)),0,VLOOKUP("Osobní náklady (Kč) *",INDIRECT("HI!$A:$G"),5,0))</f>
        <v>830.0231</v>
      </c>
      <c r="E12" s="131">
        <f ca="1">IF(C12=0,0,D12/C12)</f>
        <v>0.93208658057271199</v>
      </c>
    </row>
    <row r="13" spans="1:5" ht="14.4" customHeight="1" thickBot="1" x14ac:dyDescent="0.35">
      <c r="A13" s="143"/>
      <c r="B13" s="144"/>
      <c r="C13" s="145"/>
      <c r="D13" s="145"/>
      <c r="E13" s="146"/>
    </row>
    <row r="14" spans="1:5" ht="14.4" customHeight="1" thickBot="1" x14ac:dyDescent="0.35">
      <c r="A14" s="147" t="str">
        <f>HYPERLINK("#HI!A1","VÝNOSY CELKEM (v tisících)")</f>
        <v>VÝNOSY CELKEM (v tisících)</v>
      </c>
      <c r="B14" s="148"/>
      <c r="C14" s="149">
        <f ca="1">IF(ISERROR(VLOOKUP("Výnosy celkem",INDIRECT("HI!$A:$G"),6,0)),0,VLOOKUP("Výnosy celkem",INDIRECT("HI!$A:$G"),6,0))</f>
        <v>0</v>
      </c>
      <c r="D14" s="149">
        <f ca="1">IF(ISERROR(VLOOKUP("Výnosy celkem",INDIRECT("HI!$A:$G"),5,0)),0,VLOOKUP("Výnosy celkem",INDIRECT("HI!$A:$G"),5,0))</f>
        <v>0</v>
      </c>
      <c r="E14" s="150">
        <f t="shared" ref="E14:E16" ca="1" si="1">IF(C14=0,0,D14/C14)</f>
        <v>0</v>
      </c>
    </row>
    <row r="15" spans="1:5" ht="14.4" customHeight="1" x14ac:dyDescent="0.3">
      <c r="A15" s="151" t="str">
        <f>HYPERLINK("#HI!A1","Ambulance (body za výkony + Kč za ZUM a ZULP)")</f>
        <v>Ambulance (body za výkony + Kč za ZUM a ZULP)</v>
      </c>
      <c r="B15" s="129"/>
      <c r="C15" s="130">
        <f ca="1">IF(ISERROR(VLOOKUP("Ambulance *",INDIRECT("HI!$A:$G"),6,0)),0,VLOOKUP("Ambulance *",INDIRECT("HI!$A:$G"),6,0))</f>
        <v>0</v>
      </c>
      <c r="D15" s="130">
        <f ca="1">IF(ISERROR(VLOOKUP("Ambulance *",INDIRECT("HI!$A:$G"),5,0)),0,VLOOKUP("Ambulance *",INDIRECT("HI!$A:$G"),5,0))</f>
        <v>0</v>
      </c>
      <c r="E15" s="131">
        <f t="shared" ca="1" si="1"/>
        <v>0</v>
      </c>
    </row>
    <row r="16" spans="1:5" ht="14.4" customHeight="1" x14ac:dyDescent="0.3">
      <c r="A16" s="152" t="str">
        <f>HYPERLINK("#'ZV Vykáz.-H'!A1","Zdravotní výkony vykázané u hospitalizovaných pacientů (max. 85 %)")</f>
        <v>Zdravotní výkony vykázané u hospitalizovaných pacientů (max. 85 %)</v>
      </c>
      <c r="B16" s="228" t="s">
        <v>71</v>
      </c>
      <c r="C16" s="135">
        <v>0.85</v>
      </c>
      <c r="D16" s="135">
        <f>IF(ISERROR(VLOOKUP("Celkem:",'ZV Vykáz.-H'!$A:$S,7,0)),"",VLOOKUP("Celkem:",'ZV Vykáz.-H'!$A:$S,7,0))</f>
        <v>1.3396172028133286</v>
      </c>
      <c r="E16" s="131">
        <f t="shared" si="1"/>
        <v>1.5760202386039162</v>
      </c>
    </row>
    <row r="17" spans="1:5" ht="14.4" customHeight="1" x14ac:dyDescent="0.3">
      <c r="A17" s="153" t="str">
        <f>HYPERLINK("#HI!A1","Hospitalizace (casemix * 30000)")</f>
        <v>Hospitalizace (casemix * 30000)</v>
      </c>
      <c r="B17" s="133"/>
      <c r="C17" s="130">
        <f ca="1">IF(ISERROR(VLOOKUP("Hospitalizace *",INDIRECT("HI!$A:$G"),6,0)),0,VLOOKUP("Hospitalizace *",INDIRECT("HI!$A:$G"),6,0))</f>
        <v>0</v>
      </c>
      <c r="D17" s="130">
        <f ca="1">IF(ISERROR(VLOOKUP("Hospitalizace *",INDIRECT("HI!$A:$G"),5,0)),0,VLOOKUP("Hospitalizace *",INDIRECT("HI!$A:$G"),5,0))</f>
        <v>0</v>
      </c>
      <c r="E17" s="131">
        <f ca="1">IF(C17=0,0,D17/C17)</f>
        <v>0</v>
      </c>
    </row>
    <row r="18" spans="1:5" ht="14.4" customHeight="1" thickBot="1" x14ac:dyDescent="0.35">
      <c r="A18" s="154" t="s">
        <v>81</v>
      </c>
      <c r="B18" s="140"/>
      <c r="C18" s="141"/>
      <c r="D18" s="141"/>
      <c r="E18" s="142"/>
    </row>
    <row r="19" spans="1:5" ht="14.4" customHeight="1" thickBot="1" x14ac:dyDescent="0.35">
      <c r="A19" s="155"/>
      <c r="B19" s="156"/>
      <c r="C19" s="157"/>
      <c r="D19" s="157"/>
      <c r="E19" s="158"/>
    </row>
    <row r="20" spans="1:5" ht="14.4" customHeight="1" thickBot="1" x14ac:dyDescent="0.35">
      <c r="A20" s="159" t="s">
        <v>82</v>
      </c>
      <c r="B20" s="160"/>
      <c r="C20" s="161"/>
      <c r="D20" s="161"/>
      <c r="E20" s="162"/>
    </row>
  </sheetData>
  <mergeCells count="1">
    <mergeCell ref="A1:E1"/>
  </mergeCells>
  <conditionalFormatting sqref="E5">
    <cfRule type="cellIs" dxfId="2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1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1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6">
    <cfRule type="cellIs" dxfId="1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9" bestFit="1" customWidth="1"/>
    <col min="2" max="2" width="9.5546875" style="99" hidden="1" customWidth="1" outlineLevel="1"/>
    <col min="3" max="3" width="9.5546875" style="99" customWidth="1" collapsed="1"/>
    <col min="4" max="4" width="2.21875" style="99" customWidth="1"/>
    <col min="5" max="8" width="9.5546875" style="99" customWidth="1"/>
    <col min="9" max="10" width="9.77734375" style="99" hidden="1" customWidth="1" outlineLevel="1"/>
    <col min="11" max="11" width="8.88671875" style="99" collapsed="1"/>
    <col min="12" max="16384" width="8.88671875" style="99"/>
  </cols>
  <sheetData>
    <row r="1" spans="1:10" ht="18.600000000000001" customHeight="1" thickBot="1" x14ac:dyDescent="0.4">
      <c r="A1" s="267" t="s">
        <v>75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4.4" customHeight="1" thickBot="1" x14ac:dyDescent="0.35">
      <c r="A2" s="181" t="s">
        <v>160</v>
      </c>
      <c r="B2" s="81"/>
      <c r="C2" s="81"/>
      <c r="D2" s="81"/>
      <c r="E2" s="81"/>
      <c r="F2" s="81"/>
    </row>
    <row r="3" spans="1:10" ht="14.4" customHeight="1" x14ac:dyDescent="0.3">
      <c r="A3" s="258"/>
      <c r="B3" s="77">
        <v>2015</v>
      </c>
      <c r="C3" s="40">
        <v>2016</v>
      </c>
      <c r="D3" s="7"/>
      <c r="E3" s="262">
        <v>2017</v>
      </c>
      <c r="F3" s="263"/>
      <c r="G3" s="263"/>
      <c r="H3" s="264"/>
      <c r="I3" s="265">
        <v>2017</v>
      </c>
      <c r="J3" s="266"/>
    </row>
    <row r="4" spans="1:10" ht="14.4" customHeight="1" thickBot="1" x14ac:dyDescent="0.35">
      <c r="A4" s="259"/>
      <c r="B4" s="260" t="s">
        <v>47</v>
      </c>
      <c r="C4" s="261"/>
      <c r="D4" s="7"/>
      <c r="E4" s="98" t="s">
        <v>47</v>
      </c>
      <c r="F4" s="79" t="s">
        <v>48</v>
      </c>
      <c r="G4" s="79" t="s">
        <v>43</v>
      </c>
      <c r="H4" s="80" t="s">
        <v>49</v>
      </c>
      <c r="I4" s="229" t="s">
        <v>151</v>
      </c>
      <c r="J4" s="230" t="s">
        <v>152</v>
      </c>
    </row>
    <row r="5" spans="1:10" ht="14.4" customHeight="1" x14ac:dyDescent="0.3">
      <c r="A5" s="82" t="str">
        <f>HYPERLINK("#'Léky Žádanky'!A1","Léky (Kč)")</f>
        <v>Léky (Kč)</v>
      </c>
      <c r="B5" s="27">
        <v>0</v>
      </c>
      <c r="C5" s="29">
        <v>0</v>
      </c>
      <c r="D5" s="8"/>
      <c r="E5" s="87">
        <v>0</v>
      </c>
      <c r="F5" s="28">
        <v>0</v>
      </c>
      <c r="G5" s="86">
        <f>E5-F5</f>
        <v>0</v>
      </c>
      <c r="H5" s="92" t="str">
        <f>IF(F5&lt;0.00000001,"",E5/F5)</f>
        <v/>
      </c>
    </row>
    <row r="6" spans="1:10" ht="14.4" customHeight="1" x14ac:dyDescent="0.3">
      <c r="A6" s="82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8">
        <v>0</v>
      </c>
      <c r="F6" s="30">
        <v>0</v>
      </c>
      <c r="G6" s="89">
        <f>E6-F6</f>
        <v>0</v>
      </c>
      <c r="H6" s="93" t="str">
        <f>IF(F6&lt;0.00000001,"",E6/F6)</f>
        <v/>
      </c>
    </row>
    <row r="7" spans="1:10" ht="14.4" customHeight="1" x14ac:dyDescent="0.3">
      <c r="A7" s="82" t="str">
        <f>HYPERLINK("#'Osobní náklady'!A1","Osobní náklady (Kč) *")</f>
        <v>Osobní náklady (Kč) *</v>
      </c>
      <c r="B7" s="10">
        <v>712.37086999999997</v>
      </c>
      <c r="C7" s="31">
        <v>827.92875000000004</v>
      </c>
      <c r="D7" s="8"/>
      <c r="E7" s="88">
        <v>830.0231</v>
      </c>
      <c r="F7" s="30">
        <v>890.5</v>
      </c>
      <c r="G7" s="89">
        <f>E7-F7</f>
        <v>-60.476900000000001</v>
      </c>
      <c r="H7" s="93">
        <f>IF(F7&lt;0.00000001,"",E7/F7)</f>
        <v>0.93208658057271199</v>
      </c>
    </row>
    <row r="8" spans="1:10" ht="14.4" customHeight="1" thickBot="1" x14ac:dyDescent="0.35">
      <c r="A8" s="1" t="s">
        <v>50</v>
      </c>
      <c r="B8" s="11">
        <v>1.9369699999999739</v>
      </c>
      <c r="C8" s="33">
        <v>0.70174999999994725</v>
      </c>
      <c r="D8" s="8"/>
      <c r="E8" s="90">
        <v>0.46988000000010288</v>
      </c>
      <c r="F8" s="32">
        <v>1.7615187675953621</v>
      </c>
      <c r="G8" s="91">
        <f>E8-F8</f>
        <v>-1.2916387675952592</v>
      </c>
      <c r="H8" s="94">
        <f>IF(F8&lt;0.00000001,"",E8/F8)</f>
        <v>0.26674708702736843</v>
      </c>
    </row>
    <row r="9" spans="1:10" ht="14.4" customHeight="1" thickBot="1" x14ac:dyDescent="0.35">
      <c r="A9" s="2" t="s">
        <v>51</v>
      </c>
      <c r="B9" s="3">
        <v>714.30783999999994</v>
      </c>
      <c r="C9" s="35">
        <v>828.63049999999998</v>
      </c>
      <c r="D9" s="8"/>
      <c r="E9" s="3">
        <v>830.4929800000001</v>
      </c>
      <c r="F9" s="34">
        <v>892.26151876759536</v>
      </c>
      <c r="G9" s="34">
        <f>E9-F9</f>
        <v>-61.76853876759526</v>
      </c>
      <c r="H9" s="95">
        <f>IF(F9&lt;0.00000001,"",E9/F9)</f>
        <v>0.93077305535611254</v>
      </c>
    </row>
    <row r="10" spans="1:10" ht="14.4" customHeight="1" thickBot="1" x14ac:dyDescent="0.35">
      <c r="A10" s="12"/>
      <c r="B10" s="12"/>
      <c r="C10" s="78"/>
      <c r="D10" s="8"/>
      <c r="E10" s="12"/>
      <c r="F10" s="13"/>
    </row>
    <row r="11" spans="1:10" ht="14.4" customHeight="1" x14ac:dyDescent="0.3">
      <c r="A11" s="102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7">
        <f>IF(ISERROR(VLOOKUP("Celkem:",#REF!,8,0)),0,VLOOKUP("Celkem:",#REF!,8,0)/1000)</f>
        <v>0</v>
      </c>
      <c r="F11" s="28">
        <f>C11</f>
        <v>0</v>
      </c>
      <c r="G11" s="86">
        <f>E11-F11</f>
        <v>0</v>
      </c>
      <c r="H11" s="92" t="str">
        <f>IF(F11&lt;0.00000001,"",E11/F11)</f>
        <v/>
      </c>
      <c r="I11" s="86">
        <f>E11-B11</f>
        <v>0</v>
      </c>
      <c r="J11" s="92" t="str">
        <f>IF(B11&lt;0.00000001,"",E11/B11)</f>
        <v/>
      </c>
    </row>
    <row r="12" spans="1:10" ht="14.4" customHeight="1" thickBot="1" x14ac:dyDescent="0.35">
      <c r="A12" s="10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0">
        <f>IF(ISERROR(VLOOKUP("Celkem",#REF!,4,0)),0,VLOOKUP("Celkem",#REF!,4,0)*30)</f>
        <v>0</v>
      </c>
      <c r="F12" s="32">
        <f>C12</f>
        <v>0</v>
      </c>
      <c r="G12" s="91">
        <f>E12-F12</f>
        <v>0</v>
      </c>
      <c r="H12" s="94" t="str">
        <f>IF(F12&lt;0.00000001,"",E12/F12)</f>
        <v/>
      </c>
      <c r="I12" s="91">
        <f>E12-B12</f>
        <v>0</v>
      </c>
      <c r="J12" s="94" t="str">
        <f>IF(B12&lt;0.00000001,"",E12/B12)</f>
        <v/>
      </c>
    </row>
    <row r="13" spans="1:10" ht="14.4" customHeight="1" thickBot="1" x14ac:dyDescent="0.35">
      <c r="A13" s="4" t="s">
        <v>52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6" t="str">
        <f>IF(F13&lt;0.00000001,"",E13/F13)</f>
        <v/>
      </c>
      <c r="I13" s="36">
        <f>SUM(I11:I12)</f>
        <v>0</v>
      </c>
      <c r="J13" s="96" t="str">
        <f>IF(B13&lt;0.00000001,"",E13/B13)</f>
        <v/>
      </c>
    </row>
    <row r="14" spans="1:10" ht="14.4" customHeight="1" thickBot="1" x14ac:dyDescent="0.35">
      <c r="A14" s="12"/>
      <c r="B14" s="12"/>
      <c r="C14" s="78"/>
      <c r="D14" s="8"/>
      <c r="E14" s="12"/>
      <c r="F14" s="13"/>
    </row>
    <row r="15" spans="1:10" ht="14.4" customHeight="1" thickBot="1" x14ac:dyDescent="0.35">
      <c r="A15" s="104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7" t="str">
        <f>IF(ISERROR(F15-E15),"",IF(F15&lt;0.00000001,"",E15/F15))</f>
        <v/>
      </c>
    </row>
    <row r="17" spans="1:8" ht="14.4" customHeight="1" x14ac:dyDescent="0.3">
      <c r="A17" s="83" t="s">
        <v>85</v>
      </c>
    </row>
    <row r="18" spans="1:8" ht="14.4" customHeight="1" x14ac:dyDescent="0.3">
      <c r="A18" s="220" t="s">
        <v>116</v>
      </c>
      <c r="B18" s="221"/>
      <c r="C18" s="221"/>
      <c r="D18" s="221"/>
      <c r="E18" s="221"/>
      <c r="F18" s="221"/>
      <c r="G18" s="221"/>
      <c r="H18" s="221"/>
    </row>
    <row r="19" spans="1:8" x14ac:dyDescent="0.3">
      <c r="A19" s="219" t="s">
        <v>115</v>
      </c>
      <c r="B19" s="221"/>
      <c r="C19" s="221"/>
      <c r="D19" s="221"/>
      <c r="E19" s="221"/>
      <c r="F19" s="221"/>
      <c r="G19" s="221"/>
      <c r="H19" s="221"/>
    </row>
    <row r="20" spans="1:8" ht="14.4" customHeight="1" x14ac:dyDescent="0.3">
      <c r="A20" s="84" t="s">
        <v>127</v>
      </c>
    </row>
    <row r="21" spans="1:8" ht="14.4" customHeight="1" x14ac:dyDescent="0.3">
      <c r="A21" s="84" t="s">
        <v>86</v>
      </c>
    </row>
    <row r="22" spans="1:8" ht="14.4" customHeight="1" x14ac:dyDescent="0.3">
      <c r="A22" s="85" t="s">
        <v>150</v>
      </c>
    </row>
    <row r="23" spans="1:8" ht="14.4" customHeight="1" x14ac:dyDescent="0.3">
      <c r="A23" s="85" t="s">
        <v>87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5" priority="8" operator="greaterThan">
      <formula>0</formula>
    </cfRule>
  </conditionalFormatting>
  <conditionalFormatting sqref="G11:G13 G15">
    <cfRule type="cellIs" dxfId="14" priority="7" operator="lessThan">
      <formula>0</formula>
    </cfRule>
  </conditionalFormatting>
  <conditionalFormatting sqref="H5:H9">
    <cfRule type="cellIs" dxfId="13" priority="6" operator="greaterThan">
      <formula>1</formula>
    </cfRule>
  </conditionalFormatting>
  <conditionalFormatting sqref="H11:H13 H15">
    <cfRule type="cellIs" dxfId="12" priority="5" operator="lessThan">
      <formula>1</formula>
    </cfRule>
  </conditionalFormatting>
  <conditionalFormatting sqref="I11:I13">
    <cfRule type="cellIs" dxfId="11" priority="4" operator="lessThan">
      <formula>0</formula>
    </cfRule>
  </conditionalFormatting>
  <conditionalFormatting sqref="J11:J13">
    <cfRule type="cellIs" dxfId="1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9" bestFit="1" customWidth="1"/>
    <col min="2" max="2" width="12.77734375" style="99" bestFit="1" customWidth="1"/>
    <col min="3" max="3" width="13.6640625" style="99" bestFit="1" customWidth="1"/>
    <col min="4" max="15" width="7.77734375" style="99" bestFit="1" customWidth="1"/>
    <col min="16" max="16" width="8.88671875" style="99" customWidth="1"/>
    <col min="17" max="17" width="6.6640625" style="99" bestFit="1" customWidth="1"/>
    <col min="18" max="16384" width="8.88671875" style="99"/>
  </cols>
  <sheetData>
    <row r="1" spans="1:17" s="163" customFormat="1" ht="18.600000000000001" customHeight="1" thickBot="1" x14ac:dyDescent="0.4">
      <c r="A1" s="268" t="s">
        <v>162</v>
      </c>
      <c r="B1" s="268"/>
      <c r="C1" s="268"/>
      <c r="D1" s="268"/>
      <c r="E1" s="268"/>
      <c r="F1" s="268"/>
      <c r="G1" s="268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s="163" customFormat="1" ht="14.4" customHeight="1" thickBot="1" x14ac:dyDescent="0.3">
      <c r="A2" s="181" t="s">
        <v>160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4.4" customHeight="1" x14ac:dyDescent="0.3">
      <c r="A3" s="58"/>
      <c r="B3" s="269" t="s">
        <v>4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107"/>
      <c r="Q3" s="109"/>
    </row>
    <row r="4" spans="1:17" ht="14.4" customHeight="1" x14ac:dyDescent="0.3">
      <c r="A4" s="59"/>
      <c r="B4" s="20">
        <v>2017</v>
      </c>
      <c r="C4" s="108" t="s">
        <v>5</v>
      </c>
      <c r="D4" s="227" t="s">
        <v>129</v>
      </c>
      <c r="E4" s="227" t="s">
        <v>130</v>
      </c>
      <c r="F4" s="227" t="s">
        <v>131</v>
      </c>
      <c r="G4" s="227" t="s">
        <v>132</v>
      </c>
      <c r="H4" s="227" t="s">
        <v>133</v>
      </c>
      <c r="I4" s="227" t="s">
        <v>134</v>
      </c>
      <c r="J4" s="227" t="s">
        <v>135</v>
      </c>
      <c r="K4" s="227" t="s">
        <v>136</v>
      </c>
      <c r="L4" s="227" t="s">
        <v>137</v>
      </c>
      <c r="M4" s="227" t="s">
        <v>138</v>
      </c>
      <c r="N4" s="227" t="s">
        <v>139</v>
      </c>
      <c r="O4" s="227" t="s">
        <v>140</v>
      </c>
      <c r="P4" s="271" t="s">
        <v>1</v>
      </c>
      <c r="Q4" s="272"/>
    </row>
    <row r="5" spans="1:17" ht="14.4" customHeight="1" thickBot="1" x14ac:dyDescent="0.35">
      <c r="A5" s="60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8" t="s">
        <v>161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9" t="s">
        <v>161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9" t="s">
        <v>161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9" t="s">
        <v>161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9" t="s">
        <v>161</v>
      </c>
    </row>
    <row r="11" spans="1:17" ht="14.4" customHeight="1" x14ac:dyDescent="0.3">
      <c r="A11" s="15" t="s">
        <v>14</v>
      </c>
      <c r="B11" s="46">
        <v>2.5258086728019999</v>
      </c>
      <c r="C11" s="47">
        <v>0.21048405606600001</v>
      </c>
      <c r="D11" s="47">
        <v>0.19919999999999999</v>
      </c>
      <c r="E11" s="47">
        <v>0</v>
      </c>
      <c r="F11" s="47">
        <v>0</v>
      </c>
      <c r="G11" s="47">
        <v>0</v>
      </c>
      <c r="H11" s="47">
        <v>0.24056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0.43975999999999998</v>
      </c>
      <c r="Q11" s="69">
        <v>0.34821323145700001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9" t="s">
        <v>161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9" t="s">
        <v>161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69" t="s">
        <v>161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9" t="s">
        <v>161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9" t="s">
        <v>161</v>
      </c>
    </row>
    <row r="17" spans="1:17" ht="14.4" customHeight="1" x14ac:dyDescent="0.3">
      <c r="A17" s="15" t="s">
        <v>20</v>
      </c>
      <c r="B17" s="46">
        <v>0.99999999999900002</v>
      </c>
      <c r="C17" s="47">
        <v>8.3333333332999998E-2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9">
        <v>0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9" t="s">
        <v>161</v>
      </c>
    </row>
    <row r="19" spans="1:17" ht="14.4" customHeight="1" x14ac:dyDescent="0.3">
      <c r="A19" s="15" t="s">
        <v>22</v>
      </c>
      <c r="B19" s="46">
        <v>-2.7711471149999998E-3</v>
      </c>
      <c r="C19" s="47">
        <v>-2.30928926E-4</v>
      </c>
      <c r="D19" s="47">
        <v>-5.5999999999999999E-3</v>
      </c>
      <c r="E19" s="47">
        <v>0</v>
      </c>
      <c r="F19" s="47">
        <v>3.5720000000000002E-2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3.0120000000000001E-2</v>
      </c>
      <c r="Q19" s="69">
        <v>-21.738290135528</v>
      </c>
    </row>
    <row r="20" spans="1:17" ht="14.4" customHeight="1" x14ac:dyDescent="0.3">
      <c r="A20" s="15" t="s">
        <v>23</v>
      </c>
      <c r="B20" s="46">
        <v>1781</v>
      </c>
      <c r="C20" s="47">
        <v>148.416666666667</v>
      </c>
      <c r="D20" s="47">
        <v>138.12601000000001</v>
      </c>
      <c r="E20" s="47">
        <v>137.98177000000001</v>
      </c>
      <c r="F20" s="47">
        <v>138.09486000000001</v>
      </c>
      <c r="G20" s="47">
        <v>138.08590000000001</v>
      </c>
      <c r="H20" s="47">
        <v>138.16920999999999</v>
      </c>
      <c r="I20" s="47">
        <v>139.56535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830.0231</v>
      </c>
      <c r="Q20" s="69">
        <v>0.932086580572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69" t="s">
        <v>161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9" t="s">
        <v>161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9"/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69"/>
    </row>
    <row r="25" spans="1:17" ht="14.4" customHeight="1" x14ac:dyDescent="0.3">
      <c r="A25" s="17" t="s">
        <v>28</v>
      </c>
      <c r="B25" s="49">
        <v>1784.5230375256899</v>
      </c>
      <c r="C25" s="50">
        <v>148.71025312714099</v>
      </c>
      <c r="D25" s="50">
        <v>138.31961000000001</v>
      </c>
      <c r="E25" s="50">
        <v>137.98177000000001</v>
      </c>
      <c r="F25" s="50">
        <v>138.13058000000001</v>
      </c>
      <c r="G25" s="50">
        <v>138.08590000000001</v>
      </c>
      <c r="H25" s="50">
        <v>138.40977000000001</v>
      </c>
      <c r="I25" s="50">
        <v>139.56535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830.49297999999999</v>
      </c>
      <c r="Q25" s="70">
        <v>0.93077305536099997</v>
      </c>
    </row>
    <row r="26" spans="1:17" ht="14.4" customHeight="1" x14ac:dyDescent="0.3">
      <c r="A26" s="15" t="s">
        <v>29</v>
      </c>
      <c r="B26" s="46">
        <v>278.85684610689401</v>
      </c>
      <c r="C26" s="47">
        <v>23.238070508907001</v>
      </c>
      <c r="D26" s="47">
        <v>19.483979999999999</v>
      </c>
      <c r="E26" s="47">
        <v>18.917190000000002</v>
      </c>
      <c r="F26" s="47">
        <v>23.650780000000001</v>
      </c>
      <c r="G26" s="47">
        <v>22.349070000000001</v>
      </c>
      <c r="H26" s="47">
        <v>22.922720000000002</v>
      </c>
      <c r="I26" s="47">
        <v>25.73395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133.05769000000001</v>
      </c>
      <c r="Q26" s="69">
        <v>0.954308218411</v>
      </c>
    </row>
    <row r="27" spans="1:17" ht="14.4" customHeight="1" x14ac:dyDescent="0.3">
      <c r="A27" s="18" t="s">
        <v>30</v>
      </c>
      <c r="B27" s="49">
        <v>2063.37988363258</v>
      </c>
      <c r="C27" s="50">
        <v>171.948323636048</v>
      </c>
      <c r="D27" s="50">
        <v>157.80359000000001</v>
      </c>
      <c r="E27" s="50">
        <v>156.89895999999999</v>
      </c>
      <c r="F27" s="50">
        <v>161.78136000000001</v>
      </c>
      <c r="G27" s="50">
        <v>160.43496999999999</v>
      </c>
      <c r="H27" s="50">
        <v>161.33249000000001</v>
      </c>
      <c r="I27" s="50">
        <v>165.29929999999999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963.55066999999997</v>
      </c>
      <c r="Q27" s="70">
        <v>0.93395373061700004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9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9" t="s">
        <v>161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9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1" t="s">
        <v>161</v>
      </c>
    </row>
    <row r="32" spans="1:17" ht="14.4" customHeight="1" x14ac:dyDescent="0.3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  <row r="33" spans="1:17" ht="14.4" customHeight="1" x14ac:dyDescent="0.3">
      <c r="A33" s="83" t="s">
        <v>85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ht="14.4" customHeight="1" x14ac:dyDescent="0.3">
      <c r="A34" s="105" t="s">
        <v>141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ht="14.4" customHeight="1" x14ac:dyDescent="0.3">
      <c r="A35" s="106" t="s">
        <v>35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9" customWidth="1"/>
    <col min="2" max="11" width="10" style="99" customWidth="1"/>
    <col min="12" max="16384" width="8.88671875" style="99"/>
  </cols>
  <sheetData>
    <row r="1" spans="1:11" s="55" customFormat="1" ht="18.600000000000001" customHeight="1" thickBot="1" x14ac:dyDescent="0.4">
      <c r="A1" s="268" t="s">
        <v>36</v>
      </c>
      <c r="B1" s="268"/>
      <c r="C1" s="268"/>
      <c r="D1" s="268"/>
      <c r="E1" s="268"/>
      <c r="F1" s="268"/>
      <c r="G1" s="268"/>
      <c r="H1" s="273"/>
      <c r="I1" s="273"/>
      <c r="J1" s="273"/>
      <c r="K1" s="273"/>
    </row>
    <row r="2" spans="1:11" s="55" customFormat="1" ht="14.4" customHeight="1" thickBot="1" x14ac:dyDescent="0.35">
      <c r="A2" s="181" t="s">
        <v>160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9" t="s">
        <v>37</v>
      </c>
      <c r="C3" s="270"/>
      <c r="D3" s="270"/>
      <c r="E3" s="270"/>
      <c r="F3" s="276" t="s">
        <v>38</v>
      </c>
      <c r="G3" s="270"/>
      <c r="H3" s="270"/>
      <c r="I3" s="270"/>
      <c r="J3" s="270"/>
      <c r="K3" s="277"/>
    </row>
    <row r="4" spans="1:11" ht="14.4" customHeight="1" x14ac:dyDescent="0.3">
      <c r="A4" s="59"/>
      <c r="B4" s="274"/>
      <c r="C4" s="275"/>
      <c r="D4" s="275"/>
      <c r="E4" s="275"/>
      <c r="F4" s="278" t="s">
        <v>142</v>
      </c>
      <c r="G4" s="280" t="s">
        <v>39</v>
      </c>
      <c r="H4" s="110" t="s">
        <v>77</v>
      </c>
      <c r="I4" s="278" t="s">
        <v>40</v>
      </c>
      <c r="J4" s="280" t="s">
        <v>149</v>
      </c>
      <c r="K4" s="281" t="s">
        <v>143</v>
      </c>
    </row>
    <row r="5" spans="1:11" ht="42" thickBot="1" x14ac:dyDescent="0.35">
      <c r="A5" s="60"/>
      <c r="B5" s="24" t="s">
        <v>145</v>
      </c>
      <c r="C5" s="25" t="s">
        <v>146</v>
      </c>
      <c r="D5" s="26" t="s">
        <v>147</v>
      </c>
      <c r="E5" s="26" t="s">
        <v>148</v>
      </c>
      <c r="F5" s="279"/>
      <c r="G5" s="279"/>
      <c r="H5" s="25" t="s">
        <v>144</v>
      </c>
      <c r="I5" s="279"/>
      <c r="J5" s="279"/>
      <c r="K5" s="282"/>
    </row>
    <row r="6" spans="1:11" ht="14.4" customHeight="1" thickBot="1" x14ac:dyDescent="0.35">
      <c r="A6" s="316" t="s">
        <v>163</v>
      </c>
      <c r="B6" s="298">
        <v>1770.98852630384</v>
      </c>
      <c r="C6" s="298">
        <v>1895.83347</v>
      </c>
      <c r="D6" s="299">
        <v>124.844943696165</v>
      </c>
      <c r="E6" s="300">
        <v>1.0704944960630001</v>
      </c>
      <c r="F6" s="298">
        <v>1784.5230375256899</v>
      </c>
      <c r="G6" s="299">
        <v>892.26151876284405</v>
      </c>
      <c r="H6" s="301">
        <v>139.56535</v>
      </c>
      <c r="I6" s="298">
        <v>830.49297999999999</v>
      </c>
      <c r="J6" s="299">
        <v>-61.768538762843001</v>
      </c>
      <c r="K6" s="302">
        <v>0.46538652768</v>
      </c>
    </row>
    <row r="7" spans="1:11" ht="14.4" customHeight="1" thickBot="1" x14ac:dyDescent="0.35">
      <c r="A7" s="317" t="s">
        <v>164</v>
      </c>
      <c r="B7" s="298">
        <v>4.8075692549740001</v>
      </c>
      <c r="C7" s="298">
        <v>0.9375</v>
      </c>
      <c r="D7" s="299">
        <v>-3.8700692549740001</v>
      </c>
      <c r="E7" s="300">
        <v>0.19500499114600001</v>
      </c>
      <c r="F7" s="298">
        <v>2.5258086728019999</v>
      </c>
      <c r="G7" s="299">
        <v>1.262904336401</v>
      </c>
      <c r="H7" s="301">
        <v>0</v>
      </c>
      <c r="I7" s="298">
        <v>0.43975999999999998</v>
      </c>
      <c r="J7" s="299">
        <v>-0.82314433640100004</v>
      </c>
      <c r="K7" s="302">
        <v>0.17410661572800001</v>
      </c>
    </row>
    <row r="8" spans="1:11" ht="14.4" customHeight="1" thickBot="1" x14ac:dyDescent="0.35">
      <c r="A8" s="318" t="s">
        <v>165</v>
      </c>
      <c r="B8" s="298">
        <v>4.8075692549740001</v>
      </c>
      <c r="C8" s="298">
        <v>0.9375</v>
      </c>
      <c r="D8" s="299">
        <v>-3.8700692549740001</v>
      </c>
      <c r="E8" s="300">
        <v>0.19500499114600001</v>
      </c>
      <c r="F8" s="298">
        <v>2.5258086728019999</v>
      </c>
      <c r="G8" s="299">
        <v>1.262904336401</v>
      </c>
      <c r="H8" s="301">
        <v>0</v>
      </c>
      <c r="I8" s="298">
        <v>0.43975999999999998</v>
      </c>
      <c r="J8" s="299">
        <v>-0.82314433640100004</v>
      </c>
      <c r="K8" s="302">
        <v>0.17410661572800001</v>
      </c>
    </row>
    <row r="9" spans="1:11" ht="14.4" customHeight="1" thickBot="1" x14ac:dyDescent="0.35">
      <c r="A9" s="319" t="s">
        <v>166</v>
      </c>
      <c r="B9" s="303">
        <v>4.8075692549740001</v>
      </c>
      <c r="C9" s="303">
        <v>0.9375</v>
      </c>
      <c r="D9" s="304">
        <v>-3.8700692549740001</v>
      </c>
      <c r="E9" s="305">
        <v>0.19500499114600001</v>
      </c>
      <c r="F9" s="303">
        <v>2.5258086728019999</v>
      </c>
      <c r="G9" s="304">
        <v>1.262904336401</v>
      </c>
      <c r="H9" s="306">
        <v>0</v>
      </c>
      <c r="I9" s="303">
        <v>0.43975999999999998</v>
      </c>
      <c r="J9" s="304">
        <v>-0.82314433640100004</v>
      </c>
      <c r="K9" s="307">
        <v>0.17410661572800001</v>
      </c>
    </row>
    <row r="10" spans="1:11" ht="14.4" customHeight="1" thickBot="1" x14ac:dyDescent="0.35">
      <c r="A10" s="320" t="s">
        <v>167</v>
      </c>
      <c r="B10" s="298">
        <v>0.78661042967600003</v>
      </c>
      <c r="C10" s="298">
        <v>0</v>
      </c>
      <c r="D10" s="299">
        <v>-0.78661042967600003</v>
      </c>
      <c r="E10" s="300">
        <v>0</v>
      </c>
      <c r="F10" s="298">
        <v>0</v>
      </c>
      <c r="G10" s="299">
        <v>0</v>
      </c>
      <c r="H10" s="301">
        <v>0</v>
      </c>
      <c r="I10" s="298">
        <v>0</v>
      </c>
      <c r="J10" s="299">
        <v>0</v>
      </c>
      <c r="K10" s="302">
        <v>0</v>
      </c>
    </row>
    <row r="11" spans="1:11" ht="14.4" customHeight="1" thickBot="1" x14ac:dyDescent="0.35">
      <c r="A11" s="320" t="s">
        <v>168</v>
      </c>
      <c r="B11" s="298">
        <v>2.4606536317060002</v>
      </c>
      <c r="C11" s="298">
        <v>0.52049999999999996</v>
      </c>
      <c r="D11" s="299">
        <v>-1.940153631706</v>
      </c>
      <c r="E11" s="300">
        <v>0.21152916172</v>
      </c>
      <c r="F11" s="298">
        <v>2</v>
      </c>
      <c r="G11" s="299">
        <v>1</v>
      </c>
      <c r="H11" s="301">
        <v>0</v>
      </c>
      <c r="I11" s="298">
        <v>0.24056</v>
      </c>
      <c r="J11" s="299">
        <v>-0.75944</v>
      </c>
      <c r="K11" s="302">
        <v>0.12028</v>
      </c>
    </row>
    <row r="12" spans="1:11" ht="14.4" customHeight="1" thickBot="1" x14ac:dyDescent="0.35">
      <c r="A12" s="320" t="s">
        <v>169</v>
      </c>
      <c r="B12" s="298">
        <v>1.196238191592</v>
      </c>
      <c r="C12" s="298">
        <v>0.41699999999999998</v>
      </c>
      <c r="D12" s="299">
        <v>-0.77923819159200003</v>
      </c>
      <c r="E12" s="300">
        <v>0.348592782717</v>
      </c>
      <c r="F12" s="298">
        <v>0.52580867280200005</v>
      </c>
      <c r="G12" s="299">
        <v>0.26290433640100003</v>
      </c>
      <c r="H12" s="301">
        <v>0</v>
      </c>
      <c r="I12" s="298">
        <v>0.19919999999999999</v>
      </c>
      <c r="J12" s="299">
        <v>-6.3704336400999997E-2</v>
      </c>
      <c r="K12" s="302">
        <v>0.37884502539300002</v>
      </c>
    </row>
    <row r="13" spans="1:11" ht="14.4" customHeight="1" thickBot="1" x14ac:dyDescent="0.35">
      <c r="A13" s="320" t="s">
        <v>170</v>
      </c>
      <c r="B13" s="298">
        <v>0.364067001999</v>
      </c>
      <c r="C13" s="298">
        <v>0</v>
      </c>
      <c r="D13" s="299">
        <v>-0.364067001999</v>
      </c>
      <c r="E13" s="300">
        <v>0</v>
      </c>
      <c r="F13" s="298">
        <v>0</v>
      </c>
      <c r="G13" s="299">
        <v>0</v>
      </c>
      <c r="H13" s="301">
        <v>0</v>
      </c>
      <c r="I13" s="298">
        <v>0</v>
      </c>
      <c r="J13" s="299">
        <v>0</v>
      </c>
      <c r="K13" s="302">
        <v>0</v>
      </c>
    </row>
    <row r="14" spans="1:11" ht="14.4" customHeight="1" thickBot="1" x14ac:dyDescent="0.35">
      <c r="A14" s="321" t="s">
        <v>171</v>
      </c>
      <c r="B14" s="303">
        <v>3.5093178678999998E-2</v>
      </c>
      <c r="C14" s="303">
        <v>-2.4299999989999999E-3</v>
      </c>
      <c r="D14" s="304">
        <v>-3.7523178678999999E-2</v>
      </c>
      <c r="E14" s="305">
        <v>-6.9244226125999994E-2</v>
      </c>
      <c r="F14" s="303">
        <v>0.99722885288399998</v>
      </c>
      <c r="G14" s="304">
        <v>0.49861442644199999</v>
      </c>
      <c r="H14" s="306">
        <v>0</v>
      </c>
      <c r="I14" s="303">
        <v>3.0120000000000001E-2</v>
      </c>
      <c r="J14" s="304">
        <v>-0.46849442644200001</v>
      </c>
      <c r="K14" s="307">
        <v>3.0203698893000001E-2</v>
      </c>
    </row>
    <row r="15" spans="1:11" ht="14.4" customHeight="1" thickBot="1" x14ac:dyDescent="0.35">
      <c r="A15" s="318" t="s">
        <v>20</v>
      </c>
      <c r="B15" s="298">
        <v>0</v>
      </c>
      <c r="C15" s="298">
        <v>0</v>
      </c>
      <c r="D15" s="299">
        <v>0</v>
      </c>
      <c r="E15" s="300">
        <v>1</v>
      </c>
      <c r="F15" s="298">
        <v>0.99999999999900002</v>
      </c>
      <c r="G15" s="299">
        <v>0.49999999999900002</v>
      </c>
      <c r="H15" s="301">
        <v>0</v>
      </c>
      <c r="I15" s="298">
        <v>0</v>
      </c>
      <c r="J15" s="299">
        <v>-0.49999999999900002</v>
      </c>
      <c r="K15" s="302">
        <v>0</v>
      </c>
    </row>
    <row r="16" spans="1:11" ht="14.4" customHeight="1" thickBot="1" x14ac:dyDescent="0.35">
      <c r="A16" s="322" t="s">
        <v>172</v>
      </c>
      <c r="B16" s="298">
        <v>0</v>
      </c>
      <c r="C16" s="298">
        <v>0</v>
      </c>
      <c r="D16" s="299">
        <v>0</v>
      </c>
      <c r="E16" s="300">
        <v>1</v>
      </c>
      <c r="F16" s="298">
        <v>0.99999999999900002</v>
      </c>
      <c r="G16" s="299">
        <v>0.49999999999900002</v>
      </c>
      <c r="H16" s="301">
        <v>0</v>
      </c>
      <c r="I16" s="298">
        <v>0</v>
      </c>
      <c r="J16" s="299">
        <v>-0.49999999999900002</v>
      </c>
      <c r="K16" s="302">
        <v>0</v>
      </c>
    </row>
    <row r="17" spans="1:11" ht="14.4" customHeight="1" thickBot="1" x14ac:dyDescent="0.35">
      <c r="A17" s="320" t="s">
        <v>173</v>
      </c>
      <c r="B17" s="298">
        <v>0</v>
      </c>
      <c r="C17" s="298">
        <v>0</v>
      </c>
      <c r="D17" s="299">
        <v>0</v>
      </c>
      <c r="E17" s="300">
        <v>1</v>
      </c>
      <c r="F17" s="298">
        <v>0.99999999999900002</v>
      </c>
      <c r="G17" s="299">
        <v>0.49999999999900002</v>
      </c>
      <c r="H17" s="301">
        <v>0</v>
      </c>
      <c r="I17" s="298">
        <v>0</v>
      </c>
      <c r="J17" s="299">
        <v>-0.49999999999900002</v>
      </c>
      <c r="K17" s="302">
        <v>0</v>
      </c>
    </row>
    <row r="18" spans="1:11" ht="14.4" customHeight="1" thickBot="1" x14ac:dyDescent="0.35">
      <c r="A18" s="318" t="s">
        <v>22</v>
      </c>
      <c r="B18" s="298">
        <v>3.5093178678999998E-2</v>
      </c>
      <c r="C18" s="298">
        <v>-2.4299999989999999E-3</v>
      </c>
      <c r="D18" s="299">
        <v>-3.7523178678999999E-2</v>
      </c>
      <c r="E18" s="300">
        <v>-6.9244226125999994E-2</v>
      </c>
      <c r="F18" s="298">
        <v>-2.7711471149999998E-3</v>
      </c>
      <c r="G18" s="299">
        <v>-1.3855735569999999E-3</v>
      </c>
      <c r="H18" s="301">
        <v>0</v>
      </c>
      <c r="I18" s="298">
        <v>3.0120000000000001E-2</v>
      </c>
      <c r="J18" s="299">
        <v>3.1505573556999997E-2</v>
      </c>
      <c r="K18" s="302">
        <v>0</v>
      </c>
    </row>
    <row r="19" spans="1:11" ht="14.4" customHeight="1" thickBot="1" x14ac:dyDescent="0.35">
      <c r="A19" s="319" t="s">
        <v>174</v>
      </c>
      <c r="B19" s="303">
        <v>3.5093178678999998E-2</v>
      </c>
      <c r="C19" s="303">
        <v>-2.4299999989999999E-3</v>
      </c>
      <c r="D19" s="304">
        <v>-3.7523178678999999E-2</v>
      </c>
      <c r="E19" s="305">
        <v>-6.9244226125999994E-2</v>
      </c>
      <c r="F19" s="303">
        <v>-2.7711471149999998E-3</v>
      </c>
      <c r="G19" s="304">
        <v>-1.3855735569999999E-3</v>
      </c>
      <c r="H19" s="306">
        <v>0</v>
      </c>
      <c r="I19" s="303">
        <v>3.0120000000000001E-2</v>
      </c>
      <c r="J19" s="304">
        <v>3.1505573556999997E-2</v>
      </c>
      <c r="K19" s="307">
        <v>0</v>
      </c>
    </row>
    <row r="20" spans="1:11" ht="14.4" customHeight="1" thickBot="1" x14ac:dyDescent="0.35">
      <c r="A20" s="320" t="s">
        <v>175</v>
      </c>
      <c r="B20" s="298">
        <v>3.5093178678999998E-2</v>
      </c>
      <c r="C20" s="298">
        <v>-2.4299999989999999E-3</v>
      </c>
      <c r="D20" s="299">
        <v>-3.7523178678999999E-2</v>
      </c>
      <c r="E20" s="300">
        <v>-6.9244226125999994E-2</v>
      </c>
      <c r="F20" s="298">
        <v>-2.7711471149999998E-3</v>
      </c>
      <c r="G20" s="299">
        <v>-1.3855735569999999E-3</v>
      </c>
      <c r="H20" s="301">
        <v>0</v>
      </c>
      <c r="I20" s="298">
        <v>3.0120000000000001E-2</v>
      </c>
      <c r="J20" s="299">
        <v>3.1505573556999997E-2</v>
      </c>
      <c r="K20" s="302">
        <v>0</v>
      </c>
    </row>
    <row r="21" spans="1:11" ht="14.4" customHeight="1" thickBot="1" x14ac:dyDescent="0.35">
      <c r="A21" s="317" t="s">
        <v>23</v>
      </c>
      <c r="B21" s="298">
        <v>1766.1458638701799</v>
      </c>
      <c r="C21" s="298">
        <v>1887.9484</v>
      </c>
      <c r="D21" s="299">
        <v>121.80253612981799</v>
      </c>
      <c r="E21" s="300">
        <v>1.06896516229</v>
      </c>
      <c r="F21" s="298">
        <v>1781</v>
      </c>
      <c r="G21" s="299">
        <v>890.5</v>
      </c>
      <c r="H21" s="301">
        <v>139.56535</v>
      </c>
      <c r="I21" s="298">
        <v>830.0231</v>
      </c>
      <c r="J21" s="299">
        <v>-60.476899999998999</v>
      </c>
      <c r="K21" s="302">
        <v>0.466043290286</v>
      </c>
    </row>
    <row r="22" spans="1:11" ht="14.4" customHeight="1" thickBot="1" x14ac:dyDescent="0.35">
      <c r="A22" s="323" t="s">
        <v>176</v>
      </c>
      <c r="B22" s="303">
        <v>1304.1458221610601</v>
      </c>
      <c r="C22" s="303">
        <v>1401.183</v>
      </c>
      <c r="D22" s="304">
        <v>97.037177838944004</v>
      </c>
      <c r="E22" s="305">
        <v>1.074406693017</v>
      </c>
      <c r="F22" s="303">
        <v>1310</v>
      </c>
      <c r="G22" s="304">
        <v>655</v>
      </c>
      <c r="H22" s="306">
        <v>103.431</v>
      </c>
      <c r="I22" s="303">
        <v>615.154</v>
      </c>
      <c r="J22" s="304">
        <v>-39.845999999999997</v>
      </c>
      <c r="K22" s="307">
        <v>0.46958320610600002</v>
      </c>
    </row>
    <row r="23" spans="1:11" ht="14.4" customHeight="1" thickBot="1" x14ac:dyDescent="0.35">
      <c r="A23" s="319" t="s">
        <v>177</v>
      </c>
      <c r="B23" s="303">
        <v>1300.00011736334</v>
      </c>
      <c r="C23" s="303">
        <v>1401.5640000000001</v>
      </c>
      <c r="D23" s="304">
        <v>101.563882636659</v>
      </c>
      <c r="E23" s="305">
        <v>1.078126056513</v>
      </c>
      <c r="F23" s="303">
        <v>1306</v>
      </c>
      <c r="G23" s="304">
        <v>653</v>
      </c>
      <c r="H23" s="306">
        <v>103.431</v>
      </c>
      <c r="I23" s="303">
        <v>615.154</v>
      </c>
      <c r="J23" s="304">
        <v>-37.845999999999997</v>
      </c>
      <c r="K23" s="307">
        <v>0.471021439509</v>
      </c>
    </row>
    <row r="24" spans="1:11" ht="14.4" customHeight="1" thickBot="1" x14ac:dyDescent="0.35">
      <c r="A24" s="320" t="s">
        <v>178</v>
      </c>
      <c r="B24" s="298">
        <v>1300.00011736334</v>
      </c>
      <c r="C24" s="298">
        <v>1401.5640000000001</v>
      </c>
      <c r="D24" s="299">
        <v>101.563882636659</v>
      </c>
      <c r="E24" s="300">
        <v>1.078126056513</v>
      </c>
      <c r="F24" s="298">
        <v>1306</v>
      </c>
      <c r="G24" s="299">
        <v>653</v>
      </c>
      <c r="H24" s="301">
        <v>103.431</v>
      </c>
      <c r="I24" s="298">
        <v>615.154</v>
      </c>
      <c r="J24" s="299">
        <v>-37.845999999999997</v>
      </c>
      <c r="K24" s="302">
        <v>0.471021439509</v>
      </c>
    </row>
    <row r="25" spans="1:11" ht="14.4" customHeight="1" thickBot="1" x14ac:dyDescent="0.35">
      <c r="A25" s="319" t="s">
        <v>179</v>
      </c>
      <c r="B25" s="303">
        <v>4.145704797714</v>
      </c>
      <c r="C25" s="303">
        <v>-0.38100000000000001</v>
      </c>
      <c r="D25" s="304">
        <v>-4.5267047977140003</v>
      </c>
      <c r="E25" s="305">
        <v>-9.1902346787000003E-2</v>
      </c>
      <c r="F25" s="303">
        <v>4</v>
      </c>
      <c r="G25" s="304">
        <v>2</v>
      </c>
      <c r="H25" s="306">
        <v>0</v>
      </c>
      <c r="I25" s="303">
        <v>0</v>
      </c>
      <c r="J25" s="304">
        <v>-2</v>
      </c>
      <c r="K25" s="307">
        <v>0</v>
      </c>
    </row>
    <row r="26" spans="1:11" ht="14.4" customHeight="1" thickBot="1" x14ac:dyDescent="0.35">
      <c r="A26" s="320" t="s">
        <v>180</v>
      </c>
      <c r="B26" s="298">
        <v>4.145704797714</v>
      </c>
      <c r="C26" s="298">
        <v>-0.38100000000000001</v>
      </c>
      <c r="D26" s="299">
        <v>-4.5267047977140003</v>
      </c>
      <c r="E26" s="300">
        <v>-9.1902346787000003E-2</v>
      </c>
      <c r="F26" s="298">
        <v>4</v>
      </c>
      <c r="G26" s="299">
        <v>2</v>
      </c>
      <c r="H26" s="301">
        <v>0</v>
      </c>
      <c r="I26" s="298">
        <v>0</v>
      </c>
      <c r="J26" s="299">
        <v>-2</v>
      </c>
      <c r="K26" s="302">
        <v>0</v>
      </c>
    </row>
    <row r="27" spans="1:11" ht="14.4" customHeight="1" thickBot="1" x14ac:dyDescent="0.35">
      <c r="A27" s="318" t="s">
        <v>181</v>
      </c>
      <c r="B27" s="298">
        <v>442.00003990353599</v>
      </c>
      <c r="C27" s="298">
        <v>465.75099999999998</v>
      </c>
      <c r="D27" s="299">
        <v>23.750960096463999</v>
      </c>
      <c r="E27" s="300">
        <v>1.053735198986</v>
      </c>
      <c r="F27" s="298">
        <v>444.99999999999898</v>
      </c>
      <c r="G27" s="299">
        <v>222.5</v>
      </c>
      <c r="H27" s="301">
        <v>34.065750000000001</v>
      </c>
      <c r="I27" s="298">
        <v>202.56649999999999</v>
      </c>
      <c r="J27" s="299">
        <v>-19.933499999999</v>
      </c>
      <c r="K27" s="302">
        <v>0.45520561797699999</v>
      </c>
    </row>
    <row r="28" spans="1:11" ht="14.4" customHeight="1" thickBot="1" x14ac:dyDescent="0.35">
      <c r="A28" s="319" t="s">
        <v>182</v>
      </c>
      <c r="B28" s="303">
        <v>117.00001056270099</v>
      </c>
      <c r="C28" s="303">
        <v>126.145</v>
      </c>
      <c r="D28" s="304">
        <v>9.1449894372989995</v>
      </c>
      <c r="E28" s="305">
        <v>1.078162295826</v>
      </c>
      <c r="F28" s="303">
        <v>118</v>
      </c>
      <c r="G28" s="304">
        <v>58.999999999998998</v>
      </c>
      <c r="H28" s="306">
        <v>9.3079999999999998</v>
      </c>
      <c r="I28" s="303">
        <v>55.362000000000002</v>
      </c>
      <c r="J28" s="304">
        <v>-3.6379999999989998</v>
      </c>
      <c r="K28" s="307">
        <v>0.46916949152499998</v>
      </c>
    </row>
    <row r="29" spans="1:11" ht="14.4" customHeight="1" thickBot="1" x14ac:dyDescent="0.35">
      <c r="A29" s="320" t="s">
        <v>183</v>
      </c>
      <c r="B29" s="298">
        <v>117.00001056270099</v>
      </c>
      <c r="C29" s="298">
        <v>126.145</v>
      </c>
      <c r="D29" s="299">
        <v>9.1449894372989995</v>
      </c>
      <c r="E29" s="300">
        <v>1.078162295826</v>
      </c>
      <c r="F29" s="298">
        <v>118</v>
      </c>
      <c r="G29" s="299">
        <v>58.999999999998998</v>
      </c>
      <c r="H29" s="301">
        <v>9.3079999999999998</v>
      </c>
      <c r="I29" s="298">
        <v>55.362000000000002</v>
      </c>
      <c r="J29" s="299">
        <v>-3.6379999999989998</v>
      </c>
      <c r="K29" s="302">
        <v>0.46916949152499998</v>
      </c>
    </row>
    <row r="30" spans="1:11" ht="14.4" customHeight="1" thickBot="1" x14ac:dyDescent="0.35">
      <c r="A30" s="319" t="s">
        <v>184</v>
      </c>
      <c r="B30" s="303">
        <v>325.000029340835</v>
      </c>
      <c r="C30" s="303">
        <v>339.60599999999999</v>
      </c>
      <c r="D30" s="304">
        <v>14.605970659164001</v>
      </c>
      <c r="E30" s="305">
        <v>1.0449414441239999</v>
      </c>
      <c r="F30" s="303">
        <v>327</v>
      </c>
      <c r="G30" s="304">
        <v>163.5</v>
      </c>
      <c r="H30" s="306">
        <v>24.757750000000001</v>
      </c>
      <c r="I30" s="303">
        <v>147.2045</v>
      </c>
      <c r="J30" s="304">
        <v>-16.295499999998999</v>
      </c>
      <c r="K30" s="307">
        <v>0.45016666666600003</v>
      </c>
    </row>
    <row r="31" spans="1:11" ht="14.4" customHeight="1" thickBot="1" x14ac:dyDescent="0.35">
      <c r="A31" s="320" t="s">
        <v>185</v>
      </c>
      <c r="B31" s="298">
        <v>325.000029340835</v>
      </c>
      <c r="C31" s="298">
        <v>339.60599999999999</v>
      </c>
      <c r="D31" s="299">
        <v>14.605970659164001</v>
      </c>
      <c r="E31" s="300">
        <v>1.0449414441239999</v>
      </c>
      <c r="F31" s="298">
        <v>327</v>
      </c>
      <c r="G31" s="299">
        <v>163.5</v>
      </c>
      <c r="H31" s="301">
        <v>24.757750000000001</v>
      </c>
      <c r="I31" s="298">
        <v>147.2045</v>
      </c>
      <c r="J31" s="299">
        <v>-16.295499999998999</v>
      </c>
      <c r="K31" s="302">
        <v>0.45016666666600003</v>
      </c>
    </row>
    <row r="32" spans="1:11" ht="14.4" customHeight="1" thickBot="1" x14ac:dyDescent="0.35">
      <c r="A32" s="318" t="s">
        <v>186</v>
      </c>
      <c r="B32" s="298">
        <v>20.000001805589001</v>
      </c>
      <c r="C32" s="298">
        <v>21.014399999999998</v>
      </c>
      <c r="D32" s="299">
        <v>1.01439819441</v>
      </c>
      <c r="E32" s="300">
        <v>1.0507199051410001</v>
      </c>
      <c r="F32" s="298">
        <v>26</v>
      </c>
      <c r="G32" s="299">
        <v>13</v>
      </c>
      <c r="H32" s="301">
        <v>2.0686</v>
      </c>
      <c r="I32" s="298">
        <v>12.3026</v>
      </c>
      <c r="J32" s="299">
        <v>-0.69740000000000002</v>
      </c>
      <c r="K32" s="302">
        <v>0.47317692307600001</v>
      </c>
    </row>
    <row r="33" spans="1:11" ht="14.4" customHeight="1" thickBot="1" x14ac:dyDescent="0.35">
      <c r="A33" s="319" t="s">
        <v>187</v>
      </c>
      <c r="B33" s="303">
        <v>20.000001805589001</v>
      </c>
      <c r="C33" s="303">
        <v>21.014399999999998</v>
      </c>
      <c r="D33" s="304">
        <v>1.01439819441</v>
      </c>
      <c r="E33" s="305">
        <v>1.0507199051410001</v>
      </c>
      <c r="F33" s="303">
        <v>26</v>
      </c>
      <c r="G33" s="304">
        <v>13</v>
      </c>
      <c r="H33" s="306">
        <v>2.0686</v>
      </c>
      <c r="I33" s="303">
        <v>12.3026</v>
      </c>
      <c r="J33" s="304">
        <v>-0.69740000000000002</v>
      </c>
      <c r="K33" s="307">
        <v>0.47317692307600001</v>
      </c>
    </row>
    <row r="34" spans="1:11" ht="14.4" customHeight="1" thickBot="1" x14ac:dyDescent="0.35">
      <c r="A34" s="320" t="s">
        <v>188</v>
      </c>
      <c r="B34" s="298">
        <v>20.000001805589001</v>
      </c>
      <c r="C34" s="298">
        <v>21.014399999999998</v>
      </c>
      <c r="D34" s="299">
        <v>1.01439819441</v>
      </c>
      <c r="E34" s="300">
        <v>1.0507199051410001</v>
      </c>
      <c r="F34" s="298">
        <v>26</v>
      </c>
      <c r="G34" s="299">
        <v>13</v>
      </c>
      <c r="H34" s="301">
        <v>2.0686</v>
      </c>
      <c r="I34" s="298">
        <v>12.3026</v>
      </c>
      <c r="J34" s="299">
        <v>-0.69740000000000002</v>
      </c>
      <c r="K34" s="302">
        <v>0.47317692307600001</v>
      </c>
    </row>
    <row r="35" spans="1:11" ht="14.4" customHeight="1" thickBot="1" x14ac:dyDescent="0.35">
      <c r="A35" s="317" t="s">
        <v>189</v>
      </c>
      <c r="B35" s="298">
        <v>0</v>
      </c>
      <c r="C35" s="298">
        <v>6.95</v>
      </c>
      <c r="D35" s="299">
        <v>6.95</v>
      </c>
      <c r="E35" s="308" t="s">
        <v>190</v>
      </c>
      <c r="F35" s="298">
        <v>0</v>
      </c>
      <c r="G35" s="299">
        <v>0</v>
      </c>
      <c r="H35" s="301">
        <v>0</v>
      </c>
      <c r="I35" s="298">
        <v>0</v>
      </c>
      <c r="J35" s="299">
        <v>0</v>
      </c>
      <c r="K35" s="309" t="s">
        <v>161</v>
      </c>
    </row>
    <row r="36" spans="1:11" ht="14.4" customHeight="1" thickBot="1" x14ac:dyDescent="0.35">
      <c r="A36" s="318" t="s">
        <v>191</v>
      </c>
      <c r="B36" s="298">
        <v>0</v>
      </c>
      <c r="C36" s="298">
        <v>6.95</v>
      </c>
      <c r="D36" s="299">
        <v>6.95</v>
      </c>
      <c r="E36" s="308" t="s">
        <v>190</v>
      </c>
      <c r="F36" s="298">
        <v>0</v>
      </c>
      <c r="G36" s="299">
        <v>0</v>
      </c>
      <c r="H36" s="301">
        <v>0</v>
      </c>
      <c r="I36" s="298">
        <v>0</v>
      </c>
      <c r="J36" s="299">
        <v>0</v>
      </c>
      <c r="K36" s="309" t="s">
        <v>161</v>
      </c>
    </row>
    <row r="37" spans="1:11" ht="14.4" customHeight="1" thickBot="1" x14ac:dyDescent="0.35">
      <c r="A37" s="319" t="s">
        <v>192</v>
      </c>
      <c r="B37" s="303">
        <v>0</v>
      </c>
      <c r="C37" s="303">
        <v>6.95</v>
      </c>
      <c r="D37" s="304">
        <v>6.95</v>
      </c>
      <c r="E37" s="310" t="s">
        <v>190</v>
      </c>
      <c r="F37" s="303">
        <v>0</v>
      </c>
      <c r="G37" s="304">
        <v>0</v>
      </c>
      <c r="H37" s="306">
        <v>0</v>
      </c>
      <c r="I37" s="303">
        <v>0</v>
      </c>
      <c r="J37" s="304">
        <v>0</v>
      </c>
      <c r="K37" s="311" t="s">
        <v>161</v>
      </c>
    </row>
    <row r="38" spans="1:11" ht="14.4" customHeight="1" thickBot="1" x14ac:dyDescent="0.35">
      <c r="A38" s="320" t="s">
        <v>193</v>
      </c>
      <c r="B38" s="298">
        <v>0</v>
      </c>
      <c r="C38" s="298">
        <v>6.95</v>
      </c>
      <c r="D38" s="299">
        <v>6.95</v>
      </c>
      <c r="E38" s="308" t="s">
        <v>190</v>
      </c>
      <c r="F38" s="298">
        <v>0</v>
      </c>
      <c r="G38" s="299">
        <v>0</v>
      </c>
      <c r="H38" s="301">
        <v>0</v>
      </c>
      <c r="I38" s="298">
        <v>0</v>
      </c>
      <c r="J38" s="299">
        <v>0</v>
      </c>
      <c r="K38" s="309" t="s">
        <v>161</v>
      </c>
    </row>
    <row r="39" spans="1:11" ht="14.4" customHeight="1" thickBot="1" x14ac:dyDescent="0.35">
      <c r="A39" s="316" t="s">
        <v>194</v>
      </c>
      <c r="B39" s="298">
        <v>46.162853441007002</v>
      </c>
      <c r="C39" s="298">
        <v>26.43205</v>
      </c>
      <c r="D39" s="299">
        <v>-19.730803441007001</v>
      </c>
      <c r="E39" s="300">
        <v>0.57258267264100005</v>
      </c>
      <c r="F39" s="298">
        <v>48</v>
      </c>
      <c r="G39" s="299">
        <v>24</v>
      </c>
      <c r="H39" s="301">
        <v>4.2746899999999997</v>
      </c>
      <c r="I39" s="298">
        <v>23.513169999999999</v>
      </c>
      <c r="J39" s="299">
        <v>-0.48682999999900001</v>
      </c>
      <c r="K39" s="302">
        <v>0.48985770833300002</v>
      </c>
    </row>
    <row r="40" spans="1:11" ht="14.4" customHeight="1" thickBot="1" x14ac:dyDescent="0.35">
      <c r="A40" s="317" t="s">
        <v>195</v>
      </c>
      <c r="B40" s="298">
        <v>45.000004512088999</v>
      </c>
      <c r="C40" s="298">
        <v>26.43205</v>
      </c>
      <c r="D40" s="299">
        <v>-18.567954512088999</v>
      </c>
      <c r="E40" s="300">
        <v>0.58737882999299995</v>
      </c>
      <c r="F40" s="298">
        <v>48</v>
      </c>
      <c r="G40" s="299">
        <v>24</v>
      </c>
      <c r="H40" s="301">
        <v>4.2746899999999997</v>
      </c>
      <c r="I40" s="298">
        <v>23.513169999999999</v>
      </c>
      <c r="J40" s="299">
        <v>-0.48682999999900001</v>
      </c>
      <c r="K40" s="302">
        <v>0.48985770833300002</v>
      </c>
    </row>
    <row r="41" spans="1:11" ht="14.4" customHeight="1" thickBot="1" x14ac:dyDescent="0.35">
      <c r="A41" s="318" t="s">
        <v>196</v>
      </c>
      <c r="B41" s="298">
        <v>45.000004512088999</v>
      </c>
      <c r="C41" s="298">
        <v>26.43205</v>
      </c>
      <c r="D41" s="299">
        <v>-18.567954512088999</v>
      </c>
      <c r="E41" s="300">
        <v>0.58737882999299995</v>
      </c>
      <c r="F41" s="298">
        <v>48</v>
      </c>
      <c r="G41" s="299">
        <v>24</v>
      </c>
      <c r="H41" s="301">
        <v>4.2746899999999997</v>
      </c>
      <c r="I41" s="298">
        <v>23.513169999999999</v>
      </c>
      <c r="J41" s="299">
        <v>-0.48682999999900001</v>
      </c>
      <c r="K41" s="302">
        <v>0.48985770833300002</v>
      </c>
    </row>
    <row r="42" spans="1:11" ht="14.4" customHeight="1" thickBot="1" x14ac:dyDescent="0.35">
      <c r="A42" s="319" t="s">
        <v>197</v>
      </c>
      <c r="B42" s="303">
        <v>45.000004512088999</v>
      </c>
      <c r="C42" s="303">
        <v>23.608969999999999</v>
      </c>
      <c r="D42" s="304">
        <v>-21.391034512089</v>
      </c>
      <c r="E42" s="305">
        <v>0.52464372517199998</v>
      </c>
      <c r="F42" s="303">
        <v>48</v>
      </c>
      <c r="G42" s="304">
        <v>24</v>
      </c>
      <c r="H42" s="306">
        <v>4.1370800000000001</v>
      </c>
      <c r="I42" s="303">
        <v>22.767959999999999</v>
      </c>
      <c r="J42" s="304">
        <v>-1.2320399999989999</v>
      </c>
      <c r="K42" s="307">
        <v>0.47433249999999999</v>
      </c>
    </row>
    <row r="43" spans="1:11" ht="14.4" customHeight="1" thickBot="1" x14ac:dyDescent="0.35">
      <c r="A43" s="320" t="s">
        <v>198</v>
      </c>
      <c r="B43" s="298">
        <v>22.00000220591</v>
      </c>
      <c r="C43" s="298">
        <v>10.86908</v>
      </c>
      <c r="D43" s="299">
        <v>-11.13092220591</v>
      </c>
      <c r="E43" s="300">
        <v>0.49404904137099998</v>
      </c>
      <c r="F43" s="298">
        <v>23</v>
      </c>
      <c r="G43" s="299">
        <v>11.5</v>
      </c>
      <c r="H43" s="301">
        <v>0.66149999999999998</v>
      </c>
      <c r="I43" s="298">
        <v>8.9664000000000001</v>
      </c>
      <c r="J43" s="299">
        <v>-2.5335999999999999</v>
      </c>
      <c r="K43" s="302">
        <v>0.38984347825999999</v>
      </c>
    </row>
    <row r="44" spans="1:11" ht="14.4" customHeight="1" thickBot="1" x14ac:dyDescent="0.35">
      <c r="A44" s="320" t="s">
        <v>199</v>
      </c>
      <c r="B44" s="298">
        <v>23.000002306178999</v>
      </c>
      <c r="C44" s="298">
        <v>12.739890000000001</v>
      </c>
      <c r="D44" s="299">
        <v>-10.260112306179</v>
      </c>
      <c r="E44" s="300">
        <v>0.55390820532899998</v>
      </c>
      <c r="F44" s="298">
        <v>25</v>
      </c>
      <c r="G44" s="299">
        <v>12.5</v>
      </c>
      <c r="H44" s="301">
        <v>3.4755799999999999</v>
      </c>
      <c r="I44" s="298">
        <v>13.80156</v>
      </c>
      <c r="J44" s="299">
        <v>1.3015600000000001</v>
      </c>
      <c r="K44" s="302">
        <v>0.55206239999999995</v>
      </c>
    </row>
    <row r="45" spans="1:11" ht="14.4" customHeight="1" thickBot="1" x14ac:dyDescent="0.35">
      <c r="A45" s="319" t="s">
        <v>200</v>
      </c>
      <c r="B45" s="303">
        <v>0</v>
      </c>
      <c r="C45" s="303">
        <v>2.82308</v>
      </c>
      <c r="D45" s="304">
        <v>2.82308</v>
      </c>
      <c r="E45" s="310" t="s">
        <v>161</v>
      </c>
      <c r="F45" s="303">
        <v>0</v>
      </c>
      <c r="G45" s="304">
        <v>0</v>
      </c>
      <c r="H45" s="306">
        <v>0.13761000000000001</v>
      </c>
      <c r="I45" s="303">
        <v>0.74521000000000004</v>
      </c>
      <c r="J45" s="304">
        <v>0.74521000000000004</v>
      </c>
      <c r="K45" s="311" t="s">
        <v>161</v>
      </c>
    </row>
    <row r="46" spans="1:11" ht="14.4" customHeight="1" thickBot="1" x14ac:dyDescent="0.35">
      <c r="A46" s="320" t="s">
        <v>201</v>
      </c>
      <c r="B46" s="298">
        <v>0</v>
      </c>
      <c r="C46" s="298">
        <v>0.34787000000000001</v>
      </c>
      <c r="D46" s="299">
        <v>0.34787000000000001</v>
      </c>
      <c r="E46" s="308" t="s">
        <v>161</v>
      </c>
      <c r="F46" s="298">
        <v>0</v>
      </c>
      <c r="G46" s="299">
        <v>0</v>
      </c>
      <c r="H46" s="301">
        <v>0</v>
      </c>
      <c r="I46" s="298">
        <v>0.60794999999999999</v>
      </c>
      <c r="J46" s="299">
        <v>0.60794999999999999</v>
      </c>
      <c r="K46" s="309" t="s">
        <v>161</v>
      </c>
    </row>
    <row r="47" spans="1:11" ht="14.4" customHeight="1" thickBot="1" x14ac:dyDescent="0.35">
      <c r="A47" s="320" t="s">
        <v>202</v>
      </c>
      <c r="B47" s="298">
        <v>0</v>
      </c>
      <c r="C47" s="298">
        <v>2.4752100000000001</v>
      </c>
      <c r="D47" s="299">
        <v>2.4752100000000001</v>
      </c>
      <c r="E47" s="308" t="s">
        <v>161</v>
      </c>
      <c r="F47" s="298">
        <v>0</v>
      </c>
      <c r="G47" s="299">
        <v>0</v>
      </c>
      <c r="H47" s="301">
        <v>0.13761000000000001</v>
      </c>
      <c r="I47" s="298">
        <v>0.13725999999999999</v>
      </c>
      <c r="J47" s="299">
        <v>0.13725999999999999</v>
      </c>
      <c r="K47" s="309" t="s">
        <v>161</v>
      </c>
    </row>
    <row r="48" spans="1:11" ht="14.4" customHeight="1" thickBot="1" x14ac:dyDescent="0.35">
      <c r="A48" s="317" t="s">
        <v>203</v>
      </c>
      <c r="B48" s="298">
        <v>1.1628489289170001</v>
      </c>
      <c r="C48" s="298">
        <v>0</v>
      </c>
      <c r="D48" s="299">
        <v>-1.1628489289170001</v>
      </c>
      <c r="E48" s="300">
        <v>0</v>
      </c>
      <c r="F48" s="298">
        <v>0</v>
      </c>
      <c r="G48" s="299">
        <v>0</v>
      </c>
      <c r="H48" s="301">
        <v>0</v>
      </c>
      <c r="I48" s="298">
        <v>0</v>
      </c>
      <c r="J48" s="299">
        <v>0</v>
      </c>
      <c r="K48" s="309" t="s">
        <v>161</v>
      </c>
    </row>
    <row r="49" spans="1:11" ht="14.4" customHeight="1" thickBot="1" x14ac:dyDescent="0.35">
      <c r="A49" s="323" t="s">
        <v>204</v>
      </c>
      <c r="B49" s="303">
        <v>1.1628489289170001</v>
      </c>
      <c r="C49" s="303">
        <v>0</v>
      </c>
      <c r="D49" s="304">
        <v>-1.1628489289170001</v>
      </c>
      <c r="E49" s="305">
        <v>0</v>
      </c>
      <c r="F49" s="303">
        <v>0</v>
      </c>
      <c r="G49" s="304">
        <v>0</v>
      </c>
      <c r="H49" s="306">
        <v>0</v>
      </c>
      <c r="I49" s="303">
        <v>0</v>
      </c>
      <c r="J49" s="304">
        <v>0</v>
      </c>
      <c r="K49" s="311" t="s">
        <v>161</v>
      </c>
    </row>
    <row r="50" spans="1:11" ht="14.4" customHeight="1" thickBot="1" x14ac:dyDescent="0.35">
      <c r="A50" s="319" t="s">
        <v>205</v>
      </c>
      <c r="B50" s="303">
        <v>1.1628489289170001</v>
      </c>
      <c r="C50" s="303">
        <v>0</v>
      </c>
      <c r="D50" s="304">
        <v>-1.1628489289170001</v>
      </c>
      <c r="E50" s="305">
        <v>0</v>
      </c>
      <c r="F50" s="303">
        <v>0</v>
      </c>
      <c r="G50" s="304">
        <v>0</v>
      </c>
      <c r="H50" s="306">
        <v>0</v>
      </c>
      <c r="I50" s="303">
        <v>0</v>
      </c>
      <c r="J50" s="304">
        <v>0</v>
      </c>
      <c r="K50" s="311" t="s">
        <v>161</v>
      </c>
    </row>
    <row r="51" spans="1:11" ht="14.4" customHeight="1" thickBot="1" x14ac:dyDescent="0.35">
      <c r="A51" s="320" t="s">
        <v>206</v>
      </c>
      <c r="B51" s="298">
        <v>1.1628489289170001</v>
      </c>
      <c r="C51" s="298">
        <v>0</v>
      </c>
      <c r="D51" s="299">
        <v>-1.1628489289170001</v>
      </c>
      <c r="E51" s="300">
        <v>0</v>
      </c>
      <c r="F51" s="298">
        <v>0</v>
      </c>
      <c r="G51" s="299">
        <v>0</v>
      </c>
      <c r="H51" s="301">
        <v>0</v>
      </c>
      <c r="I51" s="298">
        <v>0</v>
      </c>
      <c r="J51" s="299">
        <v>0</v>
      </c>
      <c r="K51" s="302">
        <v>0</v>
      </c>
    </row>
    <row r="52" spans="1:11" ht="14.4" customHeight="1" thickBot="1" x14ac:dyDescent="0.35">
      <c r="A52" s="316" t="s">
        <v>207</v>
      </c>
      <c r="B52" s="298">
        <v>296.33458124706999</v>
      </c>
      <c r="C52" s="298">
        <v>306.84820000000002</v>
      </c>
      <c r="D52" s="299">
        <v>10.513618752929</v>
      </c>
      <c r="E52" s="300">
        <v>1.0354788790039999</v>
      </c>
      <c r="F52" s="298">
        <v>278.85684610689401</v>
      </c>
      <c r="G52" s="299">
        <v>139.42842305344701</v>
      </c>
      <c r="H52" s="301">
        <v>25.73395</v>
      </c>
      <c r="I52" s="298">
        <v>133.05769000000001</v>
      </c>
      <c r="J52" s="299">
        <v>-6.370733053446</v>
      </c>
      <c r="K52" s="302">
        <v>0.47715410920500001</v>
      </c>
    </row>
    <row r="53" spans="1:11" ht="14.4" customHeight="1" thickBot="1" x14ac:dyDescent="0.35">
      <c r="A53" s="321" t="s">
        <v>208</v>
      </c>
      <c r="B53" s="303">
        <v>296.33458124706999</v>
      </c>
      <c r="C53" s="303">
        <v>306.84820000000002</v>
      </c>
      <c r="D53" s="304">
        <v>10.513618752929</v>
      </c>
      <c r="E53" s="305">
        <v>1.0354788790039999</v>
      </c>
      <c r="F53" s="303">
        <v>278.85684610689401</v>
      </c>
      <c r="G53" s="304">
        <v>139.42842305344701</v>
      </c>
      <c r="H53" s="306">
        <v>25.73395</v>
      </c>
      <c r="I53" s="303">
        <v>133.05769000000001</v>
      </c>
      <c r="J53" s="304">
        <v>-6.370733053446</v>
      </c>
      <c r="K53" s="307">
        <v>0.47715410920500001</v>
      </c>
    </row>
    <row r="54" spans="1:11" ht="14.4" customHeight="1" thickBot="1" x14ac:dyDescent="0.35">
      <c r="A54" s="323" t="s">
        <v>29</v>
      </c>
      <c r="B54" s="303">
        <v>296.33458124706999</v>
      </c>
      <c r="C54" s="303">
        <v>306.84820000000002</v>
      </c>
      <c r="D54" s="304">
        <v>10.513618752929</v>
      </c>
      <c r="E54" s="305">
        <v>1.0354788790039999</v>
      </c>
      <c r="F54" s="303">
        <v>278.85684610689401</v>
      </c>
      <c r="G54" s="304">
        <v>139.42842305344701</v>
      </c>
      <c r="H54" s="306">
        <v>25.73395</v>
      </c>
      <c r="I54" s="303">
        <v>133.05769000000001</v>
      </c>
      <c r="J54" s="304">
        <v>-6.370733053446</v>
      </c>
      <c r="K54" s="307">
        <v>0.47715410920500001</v>
      </c>
    </row>
    <row r="55" spans="1:11" ht="14.4" customHeight="1" thickBot="1" x14ac:dyDescent="0.35">
      <c r="A55" s="319" t="s">
        <v>209</v>
      </c>
      <c r="B55" s="303">
        <v>117.687631564019</v>
      </c>
      <c r="C55" s="303">
        <v>112.60208</v>
      </c>
      <c r="D55" s="304">
        <v>-5.0855515640190001</v>
      </c>
      <c r="E55" s="305">
        <v>0.95678771425300002</v>
      </c>
      <c r="F55" s="303">
        <v>119.44878591118599</v>
      </c>
      <c r="G55" s="304">
        <v>59.724392955592997</v>
      </c>
      <c r="H55" s="306">
        <v>9.8752099999999992</v>
      </c>
      <c r="I55" s="303">
        <v>48.113370000000003</v>
      </c>
      <c r="J55" s="304">
        <v>-11.611022955593</v>
      </c>
      <c r="K55" s="307">
        <v>0.402794968847</v>
      </c>
    </row>
    <row r="56" spans="1:11" ht="14.4" customHeight="1" thickBot="1" x14ac:dyDescent="0.35">
      <c r="A56" s="320" t="s">
        <v>210</v>
      </c>
      <c r="B56" s="298">
        <v>117.687631564019</v>
      </c>
      <c r="C56" s="298">
        <v>112.60208</v>
      </c>
      <c r="D56" s="299">
        <v>-5.0855515640190001</v>
      </c>
      <c r="E56" s="300">
        <v>0.95678771425300002</v>
      </c>
      <c r="F56" s="298">
        <v>119.44878591118599</v>
      </c>
      <c r="G56" s="299">
        <v>59.724392955592997</v>
      </c>
      <c r="H56" s="301">
        <v>9.8752099999999992</v>
      </c>
      <c r="I56" s="298">
        <v>48.113370000000003</v>
      </c>
      <c r="J56" s="299">
        <v>-11.611022955593</v>
      </c>
      <c r="K56" s="302">
        <v>0.402794968847</v>
      </c>
    </row>
    <row r="57" spans="1:11" ht="14.4" customHeight="1" thickBot="1" x14ac:dyDescent="0.35">
      <c r="A57" s="319" t="s">
        <v>211</v>
      </c>
      <c r="B57" s="303">
        <v>178.64694968305099</v>
      </c>
      <c r="C57" s="303">
        <v>194.24611999999999</v>
      </c>
      <c r="D57" s="304">
        <v>15.599170316947999</v>
      </c>
      <c r="E57" s="305">
        <v>1.087318425221</v>
      </c>
      <c r="F57" s="303">
        <v>159.40806019570701</v>
      </c>
      <c r="G57" s="304">
        <v>79.704030097853007</v>
      </c>
      <c r="H57" s="306">
        <v>15.858739999999999</v>
      </c>
      <c r="I57" s="303">
        <v>84.944320000000005</v>
      </c>
      <c r="J57" s="304">
        <v>5.2402899021460003</v>
      </c>
      <c r="K57" s="307">
        <v>0.53287343121599995</v>
      </c>
    </row>
    <row r="58" spans="1:11" ht="14.4" customHeight="1" thickBot="1" x14ac:dyDescent="0.35">
      <c r="A58" s="320" t="s">
        <v>212</v>
      </c>
      <c r="B58" s="298">
        <v>178.64694968305099</v>
      </c>
      <c r="C58" s="298">
        <v>194.24611999999999</v>
      </c>
      <c r="D58" s="299">
        <v>15.599170316947999</v>
      </c>
      <c r="E58" s="300">
        <v>1.087318425221</v>
      </c>
      <c r="F58" s="298">
        <v>159.40806019570701</v>
      </c>
      <c r="G58" s="299">
        <v>79.704030097853007</v>
      </c>
      <c r="H58" s="301">
        <v>15.858739999999999</v>
      </c>
      <c r="I58" s="298">
        <v>84.944320000000005</v>
      </c>
      <c r="J58" s="299">
        <v>5.2402899021460003</v>
      </c>
      <c r="K58" s="302">
        <v>0.53287343121599995</v>
      </c>
    </row>
    <row r="59" spans="1:11" ht="14.4" customHeight="1" thickBot="1" x14ac:dyDescent="0.35">
      <c r="A59" s="324"/>
      <c r="B59" s="298">
        <v>-2021.1602541099001</v>
      </c>
      <c r="C59" s="298">
        <v>-2176.24962</v>
      </c>
      <c r="D59" s="299">
        <v>-155.08936589010199</v>
      </c>
      <c r="E59" s="300">
        <v>1.0767328397510001</v>
      </c>
      <c r="F59" s="298">
        <v>-2015.37988363258</v>
      </c>
      <c r="G59" s="299">
        <v>-1007.68994181629</v>
      </c>
      <c r="H59" s="301">
        <v>-161.02461</v>
      </c>
      <c r="I59" s="298">
        <v>-940.03750000000002</v>
      </c>
      <c r="J59" s="299">
        <v>67.652441816289993</v>
      </c>
      <c r="K59" s="302">
        <v>0.46643191570600001</v>
      </c>
    </row>
    <row r="60" spans="1:11" ht="14.4" customHeight="1" thickBot="1" x14ac:dyDescent="0.35">
      <c r="A60" s="325" t="s">
        <v>41</v>
      </c>
      <c r="B60" s="312">
        <v>-2021.1602541099001</v>
      </c>
      <c r="C60" s="312">
        <v>-2176.24962</v>
      </c>
      <c r="D60" s="313">
        <v>-155.08936589010099</v>
      </c>
      <c r="E60" s="314">
        <v>-1.5333907024260001</v>
      </c>
      <c r="F60" s="312">
        <v>-2015.37988363258</v>
      </c>
      <c r="G60" s="313">
        <v>-1007.68994181629</v>
      </c>
      <c r="H60" s="312">
        <v>-161.02461</v>
      </c>
      <c r="I60" s="312">
        <v>-940.03750000000002</v>
      </c>
      <c r="J60" s="313">
        <v>67.652441816289993</v>
      </c>
      <c r="K60" s="315">
        <v>0.46643191570600001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7" ht="18.600000000000001" thickBot="1" x14ac:dyDescent="0.4">
      <c r="A1" s="285" t="s">
        <v>61</v>
      </c>
      <c r="B1" s="285"/>
      <c r="C1" s="249"/>
      <c r="D1" s="249"/>
      <c r="E1" s="249"/>
      <c r="F1" s="249"/>
      <c r="G1" s="231"/>
    </row>
    <row r="2" spans="1:7" ht="15" thickBot="1" x14ac:dyDescent="0.35">
      <c r="A2" s="181" t="s">
        <v>160</v>
      </c>
      <c r="B2" s="182"/>
      <c r="C2" s="182"/>
      <c r="D2" s="182"/>
      <c r="E2" s="182"/>
      <c r="F2" s="182"/>
      <c r="G2" s="231"/>
    </row>
    <row r="3" spans="1:7" x14ac:dyDescent="0.3">
      <c r="A3" s="198" t="s">
        <v>119</v>
      </c>
      <c r="B3" s="283" t="s">
        <v>102</v>
      </c>
      <c r="C3" s="183">
        <v>30</v>
      </c>
      <c r="D3" s="183">
        <v>99</v>
      </c>
      <c r="E3" s="201">
        <v>101</v>
      </c>
      <c r="F3" s="201">
        <v>526</v>
      </c>
      <c r="G3" s="231"/>
    </row>
    <row r="4" spans="1:7" ht="36.6" outlineLevel="1" thickBot="1" x14ac:dyDescent="0.35">
      <c r="A4" s="199">
        <v>2017</v>
      </c>
      <c r="B4" s="284"/>
      <c r="C4" s="184" t="s">
        <v>121</v>
      </c>
      <c r="D4" s="184" t="s">
        <v>103</v>
      </c>
      <c r="E4" s="202" t="s">
        <v>128</v>
      </c>
      <c r="F4" s="202" t="s">
        <v>126</v>
      </c>
      <c r="G4" s="231"/>
    </row>
    <row r="5" spans="1:7" x14ac:dyDescent="0.3">
      <c r="A5" s="185" t="s">
        <v>104</v>
      </c>
      <c r="B5" s="213"/>
      <c r="C5" s="214"/>
      <c r="D5" s="214"/>
      <c r="E5" s="214"/>
      <c r="F5" s="214"/>
      <c r="G5" s="231"/>
    </row>
    <row r="6" spans="1:7" ht="15" collapsed="1" thickBot="1" x14ac:dyDescent="0.35">
      <c r="A6" s="186" t="s">
        <v>47</v>
      </c>
      <c r="B6" s="215">
        <f xml:space="preserve">
TRUNC(IF($A$4&lt;=12,SUMIFS('ON Data'!F:F,'ON Data'!$D:$D,$A$4,'ON Data'!$E:$E,1),SUMIFS('ON Data'!F:F,'ON Data'!$E:$E,1)/'ON Data'!$D$3),1)</f>
        <v>2.6</v>
      </c>
      <c r="C6" s="216">
        <f xml:space="preserve">
TRUNC(IF($A$4&lt;=12,SUMIFS('ON Data'!I:I,'ON Data'!$D:$D,$A$4,'ON Data'!$E:$E,1),SUMIFS('ON Data'!I:I,'ON Data'!$E:$E,1)/'ON Data'!$D$3),1)</f>
        <v>0.6</v>
      </c>
      <c r="D6" s="216">
        <f xml:space="preserve">
TRUNC(IF($A$4&lt;=12,SUMIFS('ON Data'!J:J,'ON Data'!$D:$D,$A$4,'ON Data'!$E:$E,1),SUMIFS('ON Data'!J:J,'ON Data'!$E:$E,1)/'ON Data'!$D$3),1)</f>
        <v>1</v>
      </c>
      <c r="E6" s="216">
        <f xml:space="preserve">
TRUNC(IF($A$4&lt;=12,SUMIFS('ON Data'!L:L,'ON Data'!$D:$D,$A$4,'ON Data'!$E:$E,1),SUMIFS('ON Data'!L:L,'ON Data'!$E:$E,1)/'ON Data'!$D$3),1)</f>
        <v>1</v>
      </c>
      <c r="F6" s="216">
        <f xml:space="preserve">
TRUNC(IF($A$4&lt;=12,SUMIFS('ON Data'!AL:AL,'ON Data'!$D:$D,$A$4,'ON Data'!$E:$E,1),SUMIFS('ON Data'!AL:AL,'ON Data'!$E:$E,1)/'ON Data'!$D$3),1)</f>
        <v>0</v>
      </c>
      <c r="G6" s="231"/>
    </row>
    <row r="7" spans="1:7" ht="15" hidden="1" outlineLevel="1" thickBot="1" x14ac:dyDescent="0.35">
      <c r="A7" s="186" t="s">
        <v>62</v>
      </c>
      <c r="B7" s="215"/>
      <c r="C7" s="216"/>
      <c r="D7" s="216"/>
      <c r="E7" s="216"/>
      <c r="F7" s="216"/>
      <c r="G7" s="231"/>
    </row>
    <row r="8" spans="1:7" ht="15" hidden="1" outlineLevel="1" thickBot="1" x14ac:dyDescent="0.35">
      <c r="A8" s="186" t="s">
        <v>49</v>
      </c>
      <c r="B8" s="215"/>
      <c r="C8" s="216"/>
      <c r="D8" s="216"/>
      <c r="E8" s="216"/>
      <c r="F8" s="216"/>
      <c r="G8" s="231"/>
    </row>
    <row r="9" spans="1:7" ht="15" hidden="1" outlineLevel="1" thickBot="1" x14ac:dyDescent="0.35">
      <c r="A9" s="187" t="s">
        <v>43</v>
      </c>
      <c r="B9" s="217"/>
      <c r="C9" s="218"/>
      <c r="D9" s="218"/>
      <c r="E9" s="218"/>
      <c r="F9" s="218"/>
      <c r="G9" s="231"/>
    </row>
    <row r="10" spans="1:7" x14ac:dyDescent="0.3">
      <c r="A10" s="188" t="s">
        <v>105</v>
      </c>
      <c r="B10" s="203"/>
      <c r="C10" s="204"/>
      <c r="D10" s="204"/>
      <c r="E10" s="204"/>
      <c r="F10" s="204"/>
      <c r="G10" s="231"/>
    </row>
    <row r="11" spans="1:7" x14ac:dyDescent="0.3">
      <c r="A11" s="189" t="s">
        <v>106</v>
      </c>
      <c r="B11" s="205">
        <f xml:space="preserve">
IF($A$4&lt;=12,SUMIFS('ON Data'!F:F,'ON Data'!$D:$D,$A$4,'ON Data'!$E:$E,2),SUMIFS('ON Data'!F:F,'ON Data'!$E:$E,2))</f>
        <v>2712</v>
      </c>
      <c r="C11" s="206">
        <f xml:space="preserve">
IF($A$4&lt;=12,SUMIFS('ON Data'!I:I,'ON Data'!$D:$D,$A$4,'ON Data'!$E:$E,2),SUMIFS('ON Data'!I:I,'ON Data'!$E:$E,2))</f>
        <v>596</v>
      </c>
      <c r="D11" s="206">
        <f xml:space="preserve">
IF($A$4&lt;=12,SUMIFS('ON Data'!J:J,'ON Data'!$D:$D,$A$4,'ON Data'!$E:$E,2),SUMIFS('ON Data'!J:J,'ON Data'!$E:$E,2))</f>
        <v>1040</v>
      </c>
      <c r="E11" s="206">
        <f xml:space="preserve">
IF($A$4&lt;=12,SUMIFS('ON Data'!L:L,'ON Data'!$D:$D,$A$4,'ON Data'!$E:$E,2),SUMIFS('ON Data'!L:L,'ON Data'!$E:$E,2))</f>
        <v>1024</v>
      </c>
      <c r="F11" s="206">
        <f xml:space="preserve">
IF($A$4&lt;=12,SUMIFS('ON Data'!AL:AL,'ON Data'!$D:$D,$A$4,'ON Data'!$E:$E,2),SUMIFS('ON Data'!AL:AL,'ON Data'!$E:$E,2))</f>
        <v>52</v>
      </c>
      <c r="G11" s="231"/>
    </row>
    <row r="12" spans="1:7" x14ac:dyDescent="0.3">
      <c r="A12" s="189" t="s">
        <v>107</v>
      </c>
      <c r="B12" s="205">
        <f xml:space="preserve">
IF($A$4&lt;=12,SUMIFS('ON Data'!F:F,'ON Data'!$D:$D,$A$4,'ON Data'!$E:$E,3),SUMIFS('ON Data'!F:F,'ON Data'!$E:$E,3))</f>
        <v>0</v>
      </c>
      <c r="C12" s="206">
        <f xml:space="preserve">
IF($A$4&lt;=12,SUMIFS('ON Data'!I:I,'ON Data'!$D:$D,$A$4,'ON Data'!$E:$E,3),SUMIFS('ON Data'!I:I,'ON Data'!$E:$E,3))</f>
        <v>0</v>
      </c>
      <c r="D12" s="206">
        <f xml:space="preserve">
IF($A$4&lt;=12,SUMIFS('ON Data'!J:J,'ON Data'!$D:$D,$A$4,'ON Data'!$E:$E,3),SUMIFS('ON Data'!J:J,'ON Data'!$E:$E,3))</f>
        <v>0</v>
      </c>
      <c r="E12" s="206">
        <f xml:space="preserve">
IF($A$4&lt;=12,SUMIFS('ON Data'!L:L,'ON Data'!$D:$D,$A$4,'ON Data'!$E:$E,3),SUMIFS('ON Data'!L:L,'ON Data'!$E:$E,3))</f>
        <v>0</v>
      </c>
      <c r="F12" s="206">
        <f xml:space="preserve">
IF($A$4&lt;=12,SUMIFS('ON Data'!AL:AL,'ON Data'!$D:$D,$A$4,'ON Data'!$E:$E,3),SUMIFS('ON Data'!AL:AL,'ON Data'!$E:$E,3))</f>
        <v>0</v>
      </c>
      <c r="G12" s="231"/>
    </row>
    <row r="13" spans="1:7" x14ac:dyDescent="0.3">
      <c r="A13" s="189" t="s">
        <v>114</v>
      </c>
      <c r="B13" s="205">
        <f xml:space="preserve">
IF($A$4&lt;=12,SUMIFS('ON Data'!F:F,'ON Data'!$D:$D,$A$4,'ON Data'!$E:$E,4),SUMIFS('ON Data'!F:F,'ON Data'!$E:$E,4))</f>
        <v>0</v>
      </c>
      <c r="C13" s="206">
        <f xml:space="preserve">
IF($A$4&lt;=12,SUMIFS('ON Data'!I:I,'ON Data'!$D:$D,$A$4,'ON Data'!$E:$E,4),SUMIFS('ON Data'!I:I,'ON Data'!$E:$E,4))</f>
        <v>0</v>
      </c>
      <c r="D13" s="206">
        <f xml:space="preserve">
IF($A$4&lt;=12,SUMIFS('ON Data'!J:J,'ON Data'!$D:$D,$A$4,'ON Data'!$E:$E,4),SUMIFS('ON Data'!J:J,'ON Data'!$E:$E,4))</f>
        <v>0</v>
      </c>
      <c r="E13" s="206">
        <f xml:space="preserve">
IF($A$4&lt;=12,SUMIFS('ON Data'!L:L,'ON Data'!$D:$D,$A$4,'ON Data'!$E:$E,4),SUMIFS('ON Data'!L:L,'ON Data'!$E:$E,4))</f>
        <v>0</v>
      </c>
      <c r="F13" s="206">
        <f xml:space="preserve">
IF($A$4&lt;=12,SUMIFS('ON Data'!AL:AL,'ON Data'!$D:$D,$A$4,'ON Data'!$E:$E,4),SUMIFS('ON Data'!AL:AL,'ON Data'!$E:$E,4))</f>
        <v>0</v>
      </c>
      <c r="G13" s="231"/>
    </row>
    <row r="14" spans="1:7" ht="15" thickBot="1" x14ac:dyDescent="0.35">
      <c r="A14" s="190" t="s">
        <v>108</v>
      </c>
      <c r="B14" s="207">
        <f xml:space="preserve">
IF($A$4&lt;=12,SUMIFS('ON Data'!F:F,'ON Data'!$D:$D,$A$4,'ON Data'!$E:$E,5),SUMIFS('ON Data'!F:F,'ON Data'!$E:$E,5))</f>
        <v>0</v>
      </c>
      <c r="C14" s="208">
        <f xml:space="preserve">
IF($A$4&lt;=12,SUMIFS('ON Data'!I:I,'ON Data'!$D:$D,$A$4,'ON Data'!$E:$E,5),SUMIFS('ON Data'!I:I,'ON Data'!$E:$E,5))</f>
        <v>0</v>
      </c>
      <c r="D14" s="208">
        <f xml:space="preserve">
IF($A$4&lt;=12,SUMIFS('ON Data'!J:J,'ON Data'!$D:$D,$A$4,'ON Data'!$E:$E,5),SUMIFS('ON Data'!J:J,'ON Data'!$E:$E,5))</f>
        <v>0</v>
      </c>
      <c r="E14" s="208">
        <f xml:space="preserve">
IF($A$4&lt;=12,SUMIFS('ON Data'!L:L,'ON Data'!$D:$D,$A$4,'ON Data'!$E:$E,5),SUMIFS('ON Data'!L:L,'ON Data'!$E:$E,5))</f>
        <v>0</v>
      </c>
      <c r="F14" s="208">
        <f xml:space="preserve">
IF($A$4&lt;=12,SUMIFS('ON Data'!AL:AL,'ON Data'!$D:$D,$A$4,'ON Data'!$E:$E,5),SUMIFS('ON Data'!AL:AL,'ON Data'!$E:$E,5))</f>
        <v>0</v>
      </c>
      <c r="G14" s="231"/>
    </row>
    <row r="15" spans="1:7" x14ac:dyDescent="0.3">
      <c r="A15" s="128" t="s">
        <v>118</v>
      </c>
      <c r="B15" s="209"/>
      <c r="C15" s="210"/>
      <c r="D15" s="210"/>
      <c r="E15" s="210"/>
      <c r="F15" s="210"/>
      <c r="G15" s="231"/>
    </row>
    <row r="16" spans="1:7" x14ac:dyDescent="0.3">
      <c r="A16" s="191" t="s">
        <v>109</v>
      </c>
      <c r="B16" s="205">
        <f xml:space="preserve">
IF($A$4&lt;=12,SUMIFS('ON Data'!F:F,'ON Data'!$D:$D,$A$4,'ON Data'!$E:$E,7),SUMIFS('ON Data'!F:F,'ON Data'!$E:$E,7))</f>
        <v>0</v>
      </c>
      <c r="C16" s="206">
        <f xml:space="preserve">
IF($A$4&lt;=12,SUMIFS('ON Data'!I:I,'ON Data'!$D:$D,$A$4,'ON Data'!$E:$E,7),SUMIFS('ON Data'!I:I,'ON Data'!$E:$E,7))</f>
        <v>0</v>
      </c>
      <c r="D16" s="206">
        <f xml:space="preserve">
IF($A$4&lt;=12,SUMIFS('ON Data'!J:J,'ON Data'!$D:$D,$A$4,'ON Data'!$E:$E,7),SUMIFS('ON Data'!J:J,'ON Data'!$E:$E,7))</f>
        <v>0</v>
      </c>
      <c r="E16" s="206">
        <f xml:space="preserve">
IF($A$4&lt;=12,SUMIFS('ON Data'!L:L,'ON Data'!$D:$D,$A$4,'ON Data'!$E:$E,7),SUMIFS('ON Data'!L:L,'ON Data'!$E:$E,7))</f>
        <v>0</v>
      </c>
      <c r="F16" s="206">
        <f xml:space="preserve">
IF($A$4&lt;=12,SUMIFS('ON Data'!AL:AL,'ON Data'!$D:$D,$A$4,'ON Data'!$E:$E,7),SUMIFS('ON Data'!AL:AL,'ON Data'!$E:$E,7))</f>
        <v>0</v>
      </c>
      <c r="G16" s="231"/>
    </row>
    <row r="17" spans="1:46" x14ac:dyDescent="0.3">
      <c r="A17" s="191" t="s">
        <v>110</v>
      </c>
      <c r="B17" s="205">
        <f xml:space="preserve">
IF($A$4&lt;=12,SUMIFS('ON Data'!F:F,'ON Data'!$D:$D,$A$4,'ON Data'!$E:$E,8),SUMIFS('ON Data'!F:F,'ON Data'!$E:$E,8))</f>
        <v>0</v>
      </c>
      <c r="C17" s="206">
        <f xml:space="preserve">
IF($A$4&lt;=12,SUMIFS('ON Data'!I:I,'ON Data'!$D:$D,$A$4,'ON Data'!$E:$E,8),SUMIFS('ON Data'!I:I,'ON Data'!$E:$E,8))</f>
        <v>0</v>
      </c>
      <c r="D17" s="206">
        <f xml:space="preserve">
IF($A$4&lt;=12,SUMIFS('ON Data'!J:J,'ON Data'!$D:$D,$A$4,'ON Data'!$E:$E,8),SUMIFS('ON Data'!J:J,'ON Data'!$E:$E,8))</f>
        <v>0</v>
      </c>
      <c r="E17" s="206">
        <f xml:space="preserve">
IF($A$4&lt;=12,SUMIFS('ON Data'!L:L,'ON Data'!$D:$D,$A$4,'ON Data'!$E:$E,8),SUMIFS('ON Data'!L:L,'ON Data'!$E:$E,8))</f>
        <v>0</v>
      </c>
      <c r="F17" s="206">
        <f xml:space="preserve">
IF($A$4&lt;=12,SUMIFS('ON Data'!AL:AL,'ON Data'!$D:$D,$A$4,'ON Data'!$E:$E,8),SUMIFS('ON Data'!AL:AL,'ON Data'!$E:$E,8))</f>
        <v>0</v>
      </c>
      <c r="G17" s="231"/>
    </row>
    <row r="18" spans="1:46" x14ac:dyDescent="0.3">
      <c r="A18" s="191" t="s">
        <v>111</v>
      </c>
      <c r="B18" s="205">
        <f xml:space="preserve">
B19-B16-B17</f>
        <v>0</v>
      </c>
      <c r="C18" s="206">
        <f t="shared" ref="C18:F18" si="0" xml:space="preserve">
C19-C16-C17</f>
        <v>0</v>
      </c>
      <c r="D18" s="206">
        <f t="shared" si="0"/>
        <v>0</v>
      </c>
      <c r="E18" s="206">
        <f t="shared" si="0"/>
        <v>0</v>
      </c>
      <c r="F18" s="206">
        <f t="shared" si="0"/>
        <v>0</v>
      </c>
      <c r="G18" s="231"/>
    </row>
    <row r="19" spans="1:46" ht="15" thickBot="1" x14ac:dyDescent="0.35">
      <c r="A19" s="192" t="s">
        <v>112</v>
      </c>
      <c r="B19" s="211">
        <f xml:space="preserve">
IF($A$4&lt;=12,SUMIFS('ON Data'!F:F,'ON Data'!$D:$D,$A$4,'ON Data'!$E:$E,9),SUMIFS('ON Data'!F:F,'ON Data'!$E:$E,9))</f>
        <v>0</v>
      </c>
      <c r="C19" s="212">
        <f xml:space="preserve">
IF($A$4&lt;=12,SUMIFS('ON Data'!I:I,'ON Data'!$D:$D,$A$4,'ON Data'!$E:$E,9),SUMIFS('ON Data'!I:I,'ON Data'!$E:$E,9))</f>
        <v>0</v>
      </c>
      <c r="D19" s="212">
        <f xml:space="preserve">
IF($A$4&lt;=12,SUMIFS('ON Data'!J:J,'ON Data'!$D:$D,$A$4,'ON Data'!$E:$E,9),SUMIFS('ON Data'!J:J,'ON Data'!$E:$E,9))</f>
        <v>0</v>
      </c>
      <c r="E19" s="212">
        <f xml:space="preserve">
IF($A$4&lt;=12,SUMIFS('ON Data'!L:L,'ON Data'!$D:$D,$A$4,'ON Data'!$E:$E,9),SUMIFS('ON Data'!L:L,'ON Data'!$E:$E,9))</f>
        <v>0</v>
      </c>
      <c r="F19" s="212">
        <f xml:space="preserve">
IF($A$4&lt;=12,SUMIFS('ON Data'!AL:AL,'ON Data'!$D:$D,$A$4,'ON Data'!$E:$E,9),SUMIFS('ON Data'!AL:AL,'ON Data'!$E:$E,9))</f>
        <v>0</v>
      </c>
      <c r="G19" s="231"/>
    </row>
    <row r="20" spans="1:46" ht="15" collapsed="1" thickBot="1" x14ac:dyDescent="0.35">
      <c r="A20" s="193" t="s">
        <v>47</v>
      </c>
      <c r="B20" s="250">
        <f xml:space="preserve">
IF($A$4&lt;=12,SUMIFS('ON Data'!F:F,'ON Data'!$D:$D,$A$4,'ON Data'!$E:$E,6),SUMIFS('ON Data'!F:F,'ON Data'!$E:$E,6))</f>
        <v>615154</v>
      </c>
      <c r="C20" s="251">
        <f xml:space="preserve">
IF($A$4&lt;=12,SUMIFS('ON Data'!I:I,'ON Data'!$D:$D,$A$4,'ON Data'!$E:$E,6),SUMIFS('ON Data'!I:I,'ON Data'!$E:$E,6))</f>
        <v>78684</v>
      </c>
      <c r="D20" s="251">
        <f xml:space="preserve">
IF($A$4&lt;=12,SUMIFS('ON Data'!J:J,'ON Data'!$D:$D,$A$4,'ON Data'!$E:$E,6),SUMIFS('ON Data'!J:J,'ON Data'!$E:$E,6))</f>
        <v>195000</v>
      </c>
      <c r="E20" s="251">
        <f xml:space="preserve">
IF($A$4&lt;=12,SUMIFS('ON Data'!L:L,'ON Data'!$D:$D,$A$4,'ON Data'!$E:$E,6),SUMIFS('ON Data'!L:L,'ON Data'!$E:$E,6))</f>
        <v>326866</v>
      </c>
      <c r="F20" s="251">
        <f xml:space="preserve">
IF($A$4&lt;=12,SUMIFS('ON Data'!AL:AL,'ON Data'!$D:$D,$A$4,'ON Data'!$E:$E,6),SUMIFS('ON Data'!AL:AL,'ON Data'!$E:$E,6))</f>
        <v>14604</v>
      </c>
      <c r="G20" s="231"/>
    </row>
    <row r="21" spans="1:46" ht="15" hidden="1" outlineLevel="1" thickBot="1" x14ac:dyDescent="0.35">
      <c r="A21" s="186" t="s">
        <v>62</v>
      </c>
      <c r="B21" s="246">
        <f xml:space="preserve">
IF($A$4&lt;=12,SUMIFS('ON Data'!F:F,'ON Data'!$D:$D,$A$4,'ON Data'!$E:$E,12),SUMIFS('ON Data'!F:F,'ON Data'!$E:$E,12))</f>
        <v>0</v>
      </c>
      <c r="C21" s="232"/>
      <c r="D21" s="232">
        <f xml:space="preserve">
IF($A$4&lt;=12,SUMIFS('ON Data'!J:J,'ON Data'!$D:$D,$A$4,'ON Data'!$E:$E,12),SUMIFS('ON Data'!J:J,'ON Data'!$E:$E,12))</f>
        <v>0</v>
      </c>
      <c r="E21" s="232">
        <f xml:space="preserve">
IF($A$4&lt;=12,SUMIFS('ON Data'!L:L,'ON Data'!$D:$D,$A$4,'ON Data'!$E:$E,12),SUMIFS('ON Data'!L:L,'ON Data'!$E:$E,12))</f>
        <v>0</v>
      </c>
      <c r="F21" s="232">
        <f xml:space="preserve">
IF($A$4&lt;=12,SUMIFS('ON Data'!AL:AL,'ON Data'!$D:$D,$A$4,'ON Data'!$E:$E,12),SUMIFS('ON Data'!AL:AL,'ON Data'!$E:$E,12))</f>
        <v>0</v>
      </c>
      <c r="G21" s="231"/>
    </row>
    <row r="22" spans="1:46" ht="15" hidden="1" outlineLevel="1" thickBot="1" x14ac:dyDescent="0.35">
      <c r="A22" s="186" t="s">
        <v>49</v>
      </c>
      <c r="B22" s="247" t="str">
        <f xml:space="preserve">
IF(OR(B21="",B21=0),"",B20/B21)</f>
        <v/>
      </c>
      <c r="C22" s="226"/>
      <c r="D22" s="226" t="str">
        <f t="shared" ref="D22:E22" si="1" xml:space="preserve">
IF(OR(D21="",D21=0),"",D20/D21)</f>
        <v/>
      </c>
      <c r="E22" s="226" t="str">
        <f t="shared" si="1"/>
        <v/>
      </c>
      <c r="F22" s="226" t="str">
        <f t="shared" ref="F22" si="2" xml:space="preserve">
IF(OR(F21="",F21=0),"",F20/F21)</f>
        <v/>
      </c>
      <c r="G22" s="231"/>
    </row>
    <row r="23" spans="1:46" ht="15" hidden="1" outlineLevel="1" thickBot="1" x14ac:dyDescent="0.35">
      <c r="A23" s="194" t="s">
        <v>43</v>
      </c>
      <c r="B23" s="248">
        <f xml:space="preserve">
IF(B21="","",B20-B21)</f>
        <v>615154</v>
      </c>
      <c r="C23" s="208"/>
      <c r="D23" s="208">
        <f t="shared" ref="D23:E23" si="3" xml:space="preserve">
IF(D21="","",D20-D21)</f>
        <v>195000</v>
      </c>
      <c r="E23" s="208">
        <f t="shared" si="3"/>
        <v>326866</v>
      </c>
      <c r="F23" s="208">
        <f t="shared" ref="F23" si="4" xml:space="preserve">
IF(F21="","",F20-F21)</f>
        <v>14604</v>
      </c>
      <c r="G23" s="231"/>
    </row>
    <row r="24" spans="1:46" x14ac:dyDescent="0.3">
      <c r="A24" s="188" t="s">
        <v>113</v>
      </c>
      <c r="B24" s="223" t="s">
        <v>1</v>
      </c>
      <c r="C24" s="243" t="s">
        <v>157</v>
      </c>
      <c r="D24" s="244" t="s">
        <v>158</v>
      </c>
      <c r="E24" s="244" t="s">
        <v>159</v>
      </c>
      <c r="F24" s="245" t="s">
        <v>124</v>
      </c>
      <c r="AT24" s="231"/>
    </row>
    <row r="25" spans="1:46" x14ac:dyDescent="0.3">
      <c r="A25" s="189" t="s">
        <v>47</v>
      </c>
      <c r="B25" s="205">
        <f xml:space="preserve">
SUM(C25:F25)</f>
        <v>0</v>
      </c>
      <c r="C25" s="234">
        <f xml:space="preserve">
IF($A$4&lt;=12,SUMIFS('ON Data'!$G:$G,'ON Data'!$D:$D,$A$4,'ON Data'!$E:$E,10),SUMIFS('ON Data'!$G:$G,'ON Data'!$E:$E,10))</f>
        <v>0</v>
      </c>
      <c r="D25" s="235">
        <f xml:space="preserve">
IF($A$4&lt;=12,SUMIFS('ON Data'!$J:$J,'ON Data'!$D:$D,$A$4,'ON Data'!$E:$E,10),SUMIFS('ON Data'!$J:$J,'ON Data'!$E:$E,10))</f>
        <v>0</v>
      </c>
      <c r="E25" s="235">
        <f xml:space="preserve">
IF($A$4&lt;=12,SUMIFS('ON Data'!$H:$H,'ON Data'!$D:$D,$A$4,'ON Data'!$E:$E,10),SUMIFS('ON Data'!$H:$H,'ON Data'!$E:$E,10))</f>
        <v>0</v>
      </c>
      <c r="F25" s="236">
        <f xml:space="preserve">
IF($A$4&lt;=12,SUMIFS('ON Data'!$I:$I,'ON Data'!$D:$D,$A$4,'ON Data'!$E:$E,10),SUMIFS('ON Data'!$I:$I,'ON Data'!$E:$E,10))</f>
        <v>0</v>
      </c>
    </row>
    <row r="26" spans="1:46" x14ac:dyDescent="0.3">
      <c r="A26" s="195" t="s">
        <v>123</v>
      </c>
      <c r="B26" s="211">
        <f xml:space="preserve">
SUM(C26:F26)</f>
        <v>4833.597256202811</v>
      </c>
      <c r="C26" s="234">
        <f xml:space="preserve">
IF($A$4&lt;=12,SUMIFS('ON Data'!$G:$G,'ON Data'!$D:$D,$A$4,'ON Data'!$E:$E,11),SUMIFS('ON Data'!$G:$G,'ON Data'!$E:$E,11))</f>
        <v>3583.5972562028114</v>
      </c>
      <c r="D26" s="235">
        <f xml:space="preserve">
IF($A$4&lt;=12,SUMIFS('ON Data'!$J:$J,'ON Data'!$D:$D,$A$4,'ON Data'!$E:$E,11),SUMIFS('ON Data'!$J:$J,'ON Data'!$E:$E,11))</f>
        <v>1250</v>
      </c>
      <c r="E26" s="235">
        <f xml:space="preserve">
IF($A$4&lt;=12,SUMIFS('ON Data'!$H:$H,'ON Data'!$D:$D,$A$4,'ON Data'!$E:$E,11),SUMIFS('ON Data'!$H:$H,'ON Data'!$E:$E,11))</f>
        <v>0</v>
      </c>
      <c r="F26" s="236">
        <f xml:space="preserve">
IF($A$4&lt;=12,SUMIFS('ON Data'!$I:$I,'ON Data'!$D:$D,$A$4,'ON Data'!$E:$E,11),SUMIFS('ON Data'!$I:$I,'ON Data'!$E:$E,11))</f>
        <v>0</v>
      </c>
    </row>
    <row r="27" spans="1:46" x14ac:dyDescent="0.3">
      <c r="A27" s="195" t="s">
        <v>49</v>
      </c>
      <c r="B27" s="224">
        <f xml:space="preserve">
IF(B26=0,0,B25/B26)</f>
        <v>0</v>
      </c>
      <c r="C27" s="237">
        <f xml:space="preserve">
IF(C26=0,0,C25/C26)</f>
        <v>0</v>
      </c>
      <c r="D27" s="238">
        <f t="shared" ref="D27:E27" si="5" xml:space="preserve">
IF(D26=0,0,D25/D26)</f>
        <v>0</v>
      </c>
      <c r="E27" s="238">
        <f t="shared" si="5"/>
        <v>0</v>
      </c>
      <c r="F27" s="239">
        <f xml:space="preserve">
IF(F26=0,0,F25/F26)</f>
        <v>0</v>
      </c>
    </row>
    <row r="28" spans="1:46" ht="15" thickBot="1" x14ac:dyDescent="0.35">
      <c r="A28" s="195" t="s">
        <v>122</v>
      </c>
      <c r="B28" s="211">
        <f xml:space="preserve">
SUM(C28:F28)</f>
        <v>4833.597256202811</v>
      </c>
      <c r="C28" s="240">
        <f xml:space="preserve">
C26-C25</f>
        <v>3583.5972562028114</v>
      </c>
      <c r="D28" s="241">
        <f t="shared" ref="D28:E28" si="6" xml:space="preserve">
D26-D25</f>
        <v>1250</v>
      </c>
      <c r="E28" s="241">
        <f t="shared" si="6"/>
        <v>0</v>
      </c>
      <c r="F28" s="242">
        <f xml:space="preserve">
F26-F25</f>
        <v>0</v>
      </c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</row>
    <row r="29" spans="1:46" x14ac:dyDescent="0.3">
      <c r="A29" s="196"/>
      <c r="B29" s="196"/>
      <c r="C29" s="197"/>
      <c r="D29" s="196"/>
      <c r="E29" s="196"/>
      <c r="F29" s="196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120"/>
      <c r="AJ29" s="120"/>
      <c r="AK29" s="120"/>
      <c r="AL29" s="120"/>
      <c r="AM29" s="120"/>
    </row>
    <row r="30" spans="1:46" x14ac:dyDescent="0.3">
      <c r="A30" s="83" t="s">
        <v>85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116"/>
      <c r="AL30" s="116"/>
      <c r="AM30" s="116"/>
    </row>
    <row r="31" spans="1:46" x14ac:dyDescent="0.3">
      <c r="A31" s="84" t="s">
        <v>120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116"/>
      <c r="AL31" s="116"/>
      <c r="AM31" s="116"/>
    </row>
    <row r="32" spans="1:46" ht="14.4" customHeight="1" x14ac:dyDescent="0.3">
      <c r="A32" s="220" t="s">
        <v>117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</row>
    <row r="33" spans="1:1" x14ac:dyDescent="0.3">
      <c r="A33" s="222" t="s">
        <v>153</v>
      </c>
    </row>
    <row r="34" spans="1:1" x14ac:dyDescent="0.3">
      <c r="A34" s="222" t="s">
        <v>154</v>
      </c>
    </row>
    <row r="35" spans="1:1" x14ac:dyDescent="0.3">
      <c r="A35" s="222" t="s">
        <v>155</v>
      </c>
    </row>
    <row r="36" spans="1:1" x14ac:dyDescent="0.3">
      <c r="A36" s="222" t="s">
        <v>156</v>
      </c>
    </row>
    <row r="37" spans="1:1" x14ac:dyDescent="0.3">
      <c r="A37" s="222" t="s">
        <v>125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F22">
    <cfRule type="cellIs" dxfId="7" priority="15" operator="greaterThan">
      <formula>1</formula>
    </cfRule>
  </conditionalFormatting>
  <conditionalFormatting sqref="B23:F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8"/>
  <sheetViews>
    <sheetView showGridLines="0" workbookViewId="0"/>
  </sheetViews>
  <sheetFormatPr defaultRowHeight="14.4" x14ac:dyDescent="0.3"/>
  <cols>
    <col min="1" max="16384" width="8.88671875" style="177"/>
  </cols>
  <sheetData>
    <row r="1" spans="1:49" x14ac:dyDescent="0.3">
      <c r="A1" s="177" t="s">
        <v>213</v>
      </c>
    </row>
    <row r="2" spans="1:49" x14ac:dyDescent="0.3">
      <c r="A2" s="181" t="s">
        <v>160</v>
      </c>
    </row>
    <row r="3" spans="1:49" x14ac:dyDescent="0.3">
      <c r="A3" s="177" t="s">
        <v>89</v>
      </c>
      <c r="B3" s="200">
        <v>2017</v>
      </c>
      <c r="D3" s="178">
        <f>MAX(D5:D1048576)</f>
        <v>6</v>
      </c>
      <c r="F3" s="178">
        <f>SUMIF($E5:$E1048576,"&lt;10",F5:F1048576)</f>
        <v>617881.89999999991</v>
      </c>
      <c r="G3" s="178">
        <f t="shared" ref="G3:AW3" si="0">SUMIF($E5:$E1048576,"&lt;10",G5:G1048576)</f>
        <v>0</v>
      </c>
      <c r="H3" s="178">
        <f t="shared" si="0"/>
        <v>0</v>
      </c>
      <c r="I3" s="178">
        <f t="shared" si="0"/>
        <v>79283.600000000006</v>
      </c>
      <c r="J3" s="178">
        <f t="shared" si="0"/>
        <v>196046</v>
      </c>
      <c r="K3" s="178">
        <f t="shared" si="0"/>
        <v>0</v>
      </c>
      <c r="L3" s="178">
        <f t="shared" si="0"/>
        <v>327896</v>
      </c>
      <c r="M3" s="178">
        <f t="shared" si="0"/>
        <v>0</v>
      </c>
      <c r="N3" s="178">
        <f t="shared" si="0"/>
        <v>0</v>
      </c>
      <c r="O3" s="178">
        <f t="shared" si="0"/>
        <v>0</v>
      </c>
      <c r="P3" s="178">
        <f t="shared" si="0"/>
        <v>0</v>
      </c>
      <c r="Q3" s="178">
        <f t="shared" si="0"/>
        <v>0</v>
      </c>
      <c r="R3" s="178">
        <f t="shared" si="0"/>
        <v>0</v>
      </c>
      <c r="S3" s="178">
        <f t="shared" si="0"/>
        <v>0</v>
      </c>
      <c r="T3" s="178">
        <f t="shared" si="0"/>
        <v>0</v>
      </c>
      <c r="U3" s="178">
        <f t="shared" si="0"/>
        <v>0</v>
      </c>
      <c r="V3" s="178">
        <f t="shared" si="0"/>
        <v>0</v>
      </c>
      <c r="W3" s="178">
        <f t="shared" si="0"/>
        <v>0</v>
      </c>
      <c r="X3" s="178">
        <f t="shared" si="0"/>
        <v>0</v>
      </c>
      <c r="Y3" s="178">
        <f t="shared" si="0"/>
        <v>0</v>
      </c>
      <c r="Z3" s="178">
        <f t="shared" si="0"/>
        <v>0</v>
      </c>
      <c r="AA3" s="178">
        <f t="shared" si="0"/>
        <v>0</v>
      </c>
      <c r="AB3" s="178">
        <f t="shared" si="0"/>
        <v>0</v>
      </c>
      <c r="AC3" s="178">
        <f t="shared" si="0"/>
        <v>0</v>
      </c>
      <c r="AD3" s="178">
        <f t="shared" si="0"/>
        <v>0</v>
      </c>
      <c r="AE3" s="178">
        <f t="shared" si="0"/>
        <v>0</v>
      </c>
      <c r="AF3" s="178">
        <f t="shared" si="0"/>
        <v>0</v>
      </c>
      <c r="AG3" s="178">
        <f t="shared" si="0"/>
        <v>0</v>
      </c>
      <c r="AH3" s="178">
        <f t="shared" si="0"/>
        <v>0</v>
      </c>
      <c r="AI3" s="178">
        <f t="shared" si="0"/>
        <v>0</v>
      </c>
      <c r="AJ3" s="178">
        <f t="shared" si="0"/>
        <v>0</v>
      </c>
      <c r="AK3" s="178">
        <f t="shared" si="0"/>
        <v>0</v>
      </c>
      <c r="AL3" s="178">
        <f t="shared" si="0"/>
        <v>14656.3</v>
      </c>
      <c r="AM3" s="178">
        <f t="shared" si="0"/>
        <v>0</v>
      </c>
      <c r="AN3" s="178">
        <f t="shared" si="0"/>
        <v>0</v>
      </c>
      <c r="AO3" s="178">
        <f t="shared" si="0"/>
        <v>0</v>
      </c>
      <c r="AP3" s="178">
        <f t="shared" si="0"/>
        <v>0</v>
      </c>
      <c r="AQ3" s="178">
        <f t="shared" si="0"/>
        <v>0</v>
      </c>
      <c r="AR3" s="178">
        <f t="shared" si="0"/>
        <v>0</v>
      </c>
      <c r="AS3" s="178">
        <f t="shared" si="0"/>
        <v>0</v>
      </c>
      <c r="AT3" s="178">
        <f t="shared" si="0"/>
        <v>0</v>
      </c>
      <c r="AU3" s="178">
        <f t="shared" si="0"/>
        <v>0</v>
      </c>
      <c r="AV3" s="178">
        <f t="shared" si="0"/>
        <v>0</v>
      </c>
      <c r="AW3" s="178">
        <f t="shared" si="0"/>
        <v>0</v>
      </c>
    </row>
    <row r="4" spans="1:49" x14ac:dyDescent="0.3">
      <c r="A4" s="177" t="s">
        <v>90</v>
      </c>
      <c r="B4" s="200">
        <v>1</v>
      </c>
      <c r="C4" s="179" t="s">
        <v>2</v>
      </c>
      <c r="D4" s="180" t="s">
        <v>42</v>
      </c>
      <c r="E4" s="180" t="s">
        <v>88</v>
      </c>
      <c r="F4" s="180" t="s">
        <v>1</v>
      </c>
      <c r="G4" s="180">
        <v>0</v>
      </c>
      <c r="H4" s="180">
        <v>25</v>
      </c>
      <c r="I4" s="180">
        <v>30</v>
      </c>
      <c r="J4" s="180">
        <v>99</v>
      </c>
      <c r="K4" s="180">
        <v>100</v>
      </c>
      <c r="L4" s="180">
        <v>101</v>
      </c>
      <c r="M4" s="180">
        <v>102</v>
      </c>
      <c r="N4" s="180">
        <v>103</v>
      </c>
      <c r="O4" s="180">
        <v>203</v>
      </c>
      <c r="P4" s="180">
        <v>302</v>
      </c>
      <c r="Q4" s="180">
        <v>303</v>
      </c>
      <c r="R4" s="180">
        <v>304</v>
      </c>
      <c r="S4" s="180">
        <v>305</v>
      </c>
      <c r="T4" s="180">
        <v>306</v>
      </c>
      <c r="U4" s="180">
        <v>407</v>
      </c>
      <c r="V4" s="180">
        <v>408</v>
      </c>
      <c r="W4" s="180">
        <v>409</v>
      </c>
      <c r="X4" s="180">
        <v>410</v>
      </c>
      <c r="Y4" s="180">
        <v>415</v>
      </c>
      <c r="Z4" s="180">
        <v>416</v>
      </c>
      <c r="AA4" s="180">
        <v>418</v>
      </c>
      <c r="AB4" s="180">
        <v>419</v>
      </c>
      <c r="AC4" s="180">
        <v>420</v>
      </c>
      <c r="AD4" s="180">
        <v>421</v>
      </c>
      <c r="AE4" s="180">
        <v>422</v>
      </c>
      <c r="AF4" s="180">
        <v>520</v>
      </c>
      <c r="AG4" s="180">
        <v>521</v>
      </c>
      <c r="AH4" s="180">
        <v>522</v>
      </c>
      <c r="AI4" s="180">
        <v>523</v>
      </c>
      <c r="AJ4" s="180">
        <v>524</v>
      </c>
      <c r="AK4" s="180">
        <v>525</v>
      </c>
      <c r="AL4" s="180">
        <v>526</v>
      </c>
      <c r="AM4" s="180">
        <v>527</v>
      </c>
      <c r="AN4" s="180">
        <v>528</v>
      </c>
      <c r="AO4" s="180">
        <v>629</v>
      </c>
      <c r="AP4" s="180">
        <v>630</v>
      </c>
      <c r="AQ4" s="180">
        <v>636</v>
      </c>
      <c r="AR4" s="180">
        <v>637</v>
      </c>
      <c r="AS4" s="180">
        <v>640</v>
      </c>
      <c r="AT4" s="180">
        <v>642</v>
      </c>
      <c r="AU4" s="180">
        <v>743</v>
      </c>
      <c r="AV4" s="180">
        <v>745</v>
      </c>
      <c r="AW4" s="180">
        <v>746</v>
      </c>
    </row>
    <row r="5" spans="1:49" x14ac:dyDescent="0.3">
      <c r="A5" s="177" t="s">
        <v>91</v>
      </c>
      <c r="B5" s="200">
        <v>2</v>
      </c>
      <c r="C5" s="177">
        <v>43</v>
      </c>
      <c r="D5" s="177">
        <v>1</v>
      </c>
      <c r="E5" s="177">
        <v>1</v>
      </c>
      <c r="F5" s="177">
        <v>2.65</v>
      </c>
      <c r="G5" s="177">
        <v>0</v>
      </c>
      <c r="H5" s="177">
        <v>0</v>
      </c>
      <c r="I5" s="177">
        <v>0.6</v>
      </c>
      <c r="J5" s="177">
        <v>1</v>
      </c>
      <c r="K5" s="177">
        <v>0</v>
      </c>
      <c r="L5" s="177">
        <v>1</v>
      </c>
      <c r="M5" s="177">
        <v>0</v>
      </c>
      <c r="N5" s="177">
        <v>0</v>
      </c>
      <c r="O5" s="177">
        <v>0</v>
      </c>
      <c r="P5" s="177">
        <v>0</v>
      </c>
      <c r="Q5" s="177">
        <v>0</v>
      </c>
      <c r="R5" s="177">
        <v>0</v>
      </c>
      <c r="S5" s="177">
        <v>0</v>
      </c>
      <c r="T5" s="177">
        <v>0</v>
      </c>
      <c r="U5" s="177">
        <v>0</v>
      </c>
      <c r="V5" s="177">
        <v>0</v>
      </c>
      <c r="W5" s="177">
        <v>0</v>
      </c>
      <c r="X5" s="177">
        <v>0</v>
      </c>
      <c r="Y5" s="177">
        <v>0</v>
      </c>
      <c r="Z5" s="177">
        <v>0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0</v>
      </c>
      <c r="AI5" s="177">
        <v>0</v>
      </c>
      <c r="AJ5" s="177">
        <v>0</v>
      </c>
      <c r="AK5" s="177">
        <v>0</v>
      </c>
      <c r="AL5" s="177">
        <v>0.05</v>
      </c>
      <c r="AM5" s="177">
        <v>0</v>
      </c>
      <c r="AN5" s="177">
        <v>0</v>
      </c>
      <c r="AO5" s="177">
        <v>0</v>
      </c>
      <c r="AP5" s="177">
        <v>0</v>
      </c>
      <c r="AQ5" s="177">
        <v>0</v>
      </c>
      <c r="AR5" s="177">
        <v>0</v>
      </c>
      <c r="AS5" s="177">
        <v>0</v>
      </c>
      <c r="AT5" s="177">
        <v>0</v>
      </c>
      <c r="AU5" s="177">
        <v>0</v>
      </c>
      <c r="AV5" s="177">
        <v>0</v>
      </c>
      <c r="AW5" s="177">
        <v>0</v>
      </c>
    </row>
    <row r="6" spans="1:49" x14ac:dyDescent="0.3">
      <c r="A6" s="177" t="s">
        <v>92</v>
      </c>
      <c r="B6" s="200">
        <v>3</v>
      </c>
      <c r="C6" s="177">
        <v>43</v>
      </c>
      <c r="D6" s="177">
        <v>1</v>
      </c>
      <c r="E6" s="177">
        <v>2</v>
      </c>
      <c r="F6" s="177">
        <v>460.8</v>
      </c>
      <c r="G6" s="177">
        <v>0</v>
      </c>
      <c r="H6" s="177">
        <v>0</v>
      </c>
      <c r="I6" s="177">
        <v>100</v>
      </c>
      <c r="J6" s="177">
        <v>176</v>
      </c>
      <c r="K6" s="177">
        <v>0</v>
      </c>
      <c r="L6" s="177">
        <v>176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0</v>
      </c>
      <c r="T6" s="177">
        <v>0</v>
      </c>
      <c r="U6" s="177">
        <v>0</v>
      </c>
      <c r="V6" s="177">
        <v>0</v>
      </c>
      <c r="W6" s="177">
        <v>0</v>
      </c>
      <c r="X6" s="177">
        <v>0</v>
      </c>
      <c r="Y6" s="177">
        <v>0</v>
      </c>
      <c r="Z6" s="177">
        <v>0</v>
      </c>
      <c r="AA6" s="177">
        <v>0</v>
      </c>
      <c r="AB6" s="177">
        <v>0</v>
      </c>
      <c r="AC6" s="177">
        <v>0</v>
      </c>
      <c r="AD6" s="177">
        <v>0</v>
      </c>
      <c r="AE6" s="177">
        <v>0</v>
      </c>
      <c r="AF6" s="177">
        <v>0</v>
      </c>
      <c r="AG6" s="177">
        <v>0</v>
      </c>
      <c r="AH6" s="177">
        <v>0</v>
      </c>
      <c r="AI6" s="177">
        <v>0</v>
      </c>
      <c r="AJ6" s="177">
        <v>0</v>
      </c>
      <c r="AK6" s="177">
        <v>0</v>
      </c>
      <c r="AL6" s="177">
        <v>8.8000000000000007</v>
      </c>
      <c r="AM6" s="177">
        <v>0</v>
      </c>
      <c r="AN6" s="177">
        <v>0</v>
      </c>
      <c r="AO6" s="177">
        <v>0</v>
      </c>
      <c r="AP6" s="177">
        <v>0</v>
      </c>
      <c r="AQ6" s="177">
        <v>0</v>
      </c>
      <c r="AR6" s="177">
        <v>0</v>
      </c>
      <c r="AS6" s="177">
        <v>0</v>
      </c>
      <c r="AT6" s="177">
        <v>0</v>
      </c>
      <c r="AU6" s="177">
        <v>0</v>
      </c>
      <c r="AV6" s="177">
        <v>0</v>
      </c>
      <c r="AW6" s="177">
        <v>0</v>
      </c>
    </row>
    <row r="7" spans="1:49" x14ac:dyDescent="0.3">
      <c r="A7" s="177" t="s">
        <v>93</v>
      </c>
      <c r="B7" s="200">
        <v>4</v>
      </c>
      <c r="C7" s="177">
        <v>43</v>
      </c>
      <c r="D7" s="177">
        <v>1</v>
      </c>
      <c r="E7" s="177">
        <v>6</v>
      </c>
      <c r="F7" s="177">
        <v>102370</v>
      </c>
      <c r="G7" s="177">
        <v>0</v>
      </c>
      <c r="H7" s="177">
        <v>0</v>
      </c>
      <c r="I7" s="177">
        <v>13131</v>
      </c>
      <c r="J7" s="177">
        <v>32500</v>
      </c>
      <c r="K7" s="177">
        <v>0</v>
      </c>
      <c r="L7" s="177">
        <v>54305</v>
      </c>
      <c r="M7" s="177">
        <v>0</v>
      </c>
      <c r="N7" s="177">
        <v>0</v>
      </c>
      <c r="O7" s="177">
        <v>0</v>
      </c>
      <c r="P7" s="177">
        <v>0</v>
      </c>
      <c r="Q7" s="177">
        <v>0</v>
      </c>
      <c r="R7" s="177">
        <v>0</v>
      </c>
      <c r="S7" s="177">
        <v>0</v>
      </c>
      <c r="T7" s="177">
        <v>0</v>
      </c>
      <c r="U7" s="177">
        <v>0</v>
      </c>
      <c r="V7" s="177">
        <v>0</v>
      </c>
      <c r="W7" s="177">
        <v>0</v>
      </c>
      <c r="X7" s="177">
        <v>0</v>
      </c>
      <c r="Y7" s="177">
        <v>0</v>
      </c>
      <c r="Z7" s="177">
        <v>0</v>
      </c>
      <c r="AA7" s="177">
        <v>0</v>
      </c>
      <c r="AB7" s="177">
        <v>0</v>
      </c>
      <c r="AC7" s="177">
        <v>0</v>
      </c>
      <c r="AD7" s="177">
        <v>0</v>
      </c>
      <c r="AE7" s="177">
        <v>0</v>
      </c>
      <c r="AF7" s="177">
        <v>0</v>
      </c>
      <c r="AG7" s="177">
        <v>0</v>
      </c>
      <c r="AH7" s="177">
        <v>0</v>
      </c>
      <c r="AI7" s="177">
        <v>0</v>
      </c>
      <c r="AJ7" s="177">
        <v>0</v>
      </c>
      <c r="AK7" s="177">
        <v>0</v>
      </c>
      <c r="AL7" s="177">
        <v>2434</v>
      </c>
      <c r="AM7" s="177">
        <v>0</v>
      </c>
      <c r="AN7" s="177">
        <v>0</v>
      </c>
      <c r="AO7" s="177">
        <v>0</v>
      </c>
      <c r="AP7" s="177">
        <v>0</v>
      </c>
      <c r="AQ7" s="177">
        <v>0</v>
      </c>
      <c r="AR7" s="177">
        <v>0</v>
      </c>
      <c r="AS7" s="177">
        <v>0</v>
      </c>
      <c r="AT7" s="177">
        <v>0</v>
      </c>
      <c r="AU7" s="177">
        <v>0</v>
      </c>
      <c r="AV7" s="177">
        <v>0</v>
      </c>
      <c r="AW7" s="177">
        <v>0</v>
      </c>
    </row>
    <row r="8" spans="1:49" x14ac:dyDescent="0.3">
      <c r="A8" s="177" t="s">
        <v>94</v>
      </c>
      <c r="B8" s="200">
        <v>5</v>
      </c>
      <c r="C8" s="177">
        <v>43</v>
      </c>
      <c r="D8" s="177">
        <v>1</v>
      </c>
      <c r="E8" s="177">
        <v>11</v>
      </c>
      <c r="F8" s="177">
        <v>805.59954270046865</v>
      </c>
      <c r="G8" s="177">
        <v>597.26620936713527</v>
      </c>
      <c r="H8" s="177">
        <v>0</v>
      </c>
      <c r="I8" s="177">
        <v>0</v>
      </c>
      <c r="J8" s="177">
        <v>208.33333333333334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0</v>
      </c>
      <c r="Q8" s="177">
        <v>0</v>
      </c>
      <c r="R8" s="177">
        <v>0</v>
      </c>
      <c r="S8" s="177">
        <v>0</v>
      </c>
      <c r="T8" s="177">
        <v>0</v>
      </c>
      <c r="U8" s="177">
        <v>0</v>
      </c>
      <c r="V8" s="177">
        <v>0</v>
      </c>
      <c r="W8" s="177">
        <v>0</v>
      </c>
      <c r="X8" s="177">
        <v>0</v>
      </c>
      <c r="Y8" s="177">
        <v>0</v>
      </c>
      <c r="Z8" s="177">
        <v>0</v>
      </c>
      <c r="AA8" s="177">
        <v>0</v>
      </c>
      <c r="AB8" s="177">
        <v>0</v>
      </c>
      <c r="AC8" s="177">
        <v>0</v>
      </c>
      <c r="AD8" s="177">
        <v>0</v>
      </c>
      <c r="AE8" s="177">
        <v>0</v>
      </c>
      <c r="AF8" s="177">
        <v>0</v>
      </c>
      <c r="AG8" s="177">
        <v>0</v>
      </c>
      <c r="AH8" s="177">
        <v>0</v>
      </c>
      <c r="AI8" s="177">
        <v>0</v>
      </c>
      <c r="AJ8" s="177">
        <v>0</v>
      </c>
      <c r="AK8" s="177">
        <v>0</v>
      </c>
      <c r="AL8" s="177">
        <v>0</v>
      </c>
      <c r="AM8" s="177">
        <v>0</v>
      </c>
      <c r="AN8" s="177">
        <v>0</v>
      </c>
      <c r="AO8" s="177">
        <v>0</v>
      </c>
      <c r="AP8" s="177">
        <v>0</v>
      </c>
      <c r="AQ8" s="177">
        <v>0</v>
      </c>
      <c r="AR8" s="177">
        <v>0</v>
      </c>
      <c r="AS8" s="177">
        <v>0</v>
      </c>
      <c r="AT8" s="177">
        <v>0</v>
      </c>
      <c r="AU8" s="177">
        <v>0</v>
      </c>
      <c r="AV8" s="177">
        <v>0</v>
      </c>
      <c r="AW8" s="177">
        <v>0</v>
      </c>
    </row>
    <row r="9" spans="1:49" x14ac:dyDescent="0.3">
      <c r="A9" s="177" t="s">
        <v>95</v>
      </c>
      <c r="B9" s="200">
        <v>6</v>
      </c>
      <c r="C9" s="177">
        <v>43</v>
      </c>
      <c r="D9" s="177">
        <v>2</v>
      </c>
      <c r="E9" s="177">
        <v>1</v>
      </c>
      <c r="F9" s="177">
        <v>2.65</v>
      </c>
      <c r="G9" s="177">
        <v>0</v>
      </c>
      <c r="H9" s="177">
        <v>0</v>
      </c>
      <c r="I9" s="177">
        <v>0.6</v>
      </c>
      <c r="J9" s="177">
        <v>1</v>
      </c>
      <c r="K9" s="177">
        <v>0</v>
      </c>
      <c r="L9" s="177">
        <v>1</v>
      </c>
      <c r="M9" s="177">
        <v>0</v>
      </c>
      <c r="N9" s="177">
        <v>0</v>
      </c>
      <c r="O9" s="177">
        <v>0</v>
      </c>
      <c r="P9" s="177">
        <v>0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0</v>
      </c>
      <c r="W9" s="177">
        <v>0</v>
      </c>
      <c r="X9" s="177">
        <v>0</v>
      </c>
      <c r="Y9" s="177">
        <v>0</v>
      </c>
      <c r="Z9" s="177">
        <v>0</v>
      </c>
      <c r="AA9" s="177">
        <v>0</v>
      </c>
      <c r="AB9" s="177">
        <v>0</v>
      </c>
      <c r="AC9" s="177">
        <v>0</v>
      </c>
      <c r="AD9" s="177">
        <v>0</v>
      </c>
      <c r="AE9" s="177">
        <v>0</v>
      </c>
      <c r="AF9" s="177">
        <v>0</v>
      </c>
      <c r="AG9" s="177">
        <v>0</v>
      </c>
      <c r="AH9" s="177">
        <v>0</v>
      </c>
      <c r="AI9" s="177">
        <v>0</v>
      </c>
      <c r="AJ9" s="177">
        <v>0</v>
      </c>
      <c r="AK9" s="177">
        <v>0</v>
      </c>
      <c r="AL9" s="177">
        <v>0.05</v>
      </c>
      <c r="AM9" s="177">
        <v>0</v>
      </c>
      <c r="AN9" s="177">
        <v>0</v>
      </c>
      <c r="AO9" s="177">
        <v>0</v>
      </c>
      <c r="AP9" s="177">
        <v>0</v>
      </c>
      <c r="AQ9" s="177">
        <v>0</v>
      </c>
      <c r="AR9" s="177">
        <v>0</v>
      </c>
      <c r="AS9" s="177">
        <v>0</v>
      </c>
      <c r="AT9" s="177">
        <v>0</v>
      </c>
      <c r="AU9" s="177">
        <v>0</v>
      </c>
      <c r="AV9" s="177">
        <v>0</v>
      </c>
      <c r="AW9" s="177">
        <v>0</v>
      </c>
    </row>
    <row r="10" spans="1:49" x14ac:dyDescent="0.3">
      <c r="A10" s="177" t="s">
        <v>96</v>
      </c>
      <c r="B10" s="200">
        <v>7</v>
      </c>
      <c r="C10" s="177">
        <v>43</v>
      </c>
      <c r="D10" s="177">
        <v>2</v>
      </c>
      <c r="E10" s="177">
        <v>2</v>
      </c>
      <c r="F10" s="177">
        <v>412</v>
      </c>
      <c r="G10" s="177">
        <v>0</v>
      </c>
      <c r="H10" s="177">
        <v>0</v>
      </c>
      <c r="I10" s="177">
        <v>84</v>
      </c>
      <c r="J10" s="177">
        <v>160</v>
      </c>
      <c r="K10" s="177">
        <v>0</v>
      </c>
      <c r="L10" s="177">
        <v>160</v>
      </c>
      <c r="M10" s="177">
        <v>0</v>
      </c>
      <c r="N10" s="177">
        <v>0</v>
      </c>
      <c r="O10" s="177">
        <v>0</v>
      </c>
      <c r="P10" s="177">
        <v>0</v>
      </c>
      <c r="Q10" s="177">
        <v>0</v>
      </c>
      <c r="R10" s="177">
        <v>0</v>
      </c>
      <c r="S10" s="177">
        <v>0</v>
      </c>
      <c r="T10" s="177">
        <v>0</v>
      </c>
      <c r="U10" s="177">
        <v>0</v>
      </c>
      <c r="V10" s="177">
        <v>0</v>
      </c>
      <c r="W10" s="177">
        <v>0</v>
      </c>
      <c r="X10" s="177">
        <v>0</v>
      </c>
      <c r="Y10" s="177">
        <v>0</v>
      </c>
      <c r="Z10" s="177">
        <v>0</v>
      </c>
      <c r="AA10" s="177">
        <v>0</v>
      </c>
      <c r="AB10" s="177">
        <v>0</v>
      </c>
      <c r="AC10" s="177">
        <v>0</v>
      </c>
      <c r="AD10" s="177">
        <v>0</v>
      </c>
      <c r="AE10" s="177">
        <v>0</v>
      </c>
      <c r="AF10" s="177">
        <v>0</v>
      </c>
      <c r="AG10" s="177">
        <v>0</v>
      </c>
      <c r="AH10" s="177">
        <v>0</v>
      </c>
      <c r="AI10" s="177">
        <v>0</v>
      </c>
      <c r="AJ10" s="177">
        <v>0</v>
      </c>
      <c r="AK10" s="177">
        <v>0</v>
      </c>
      <c r="AL10" s="177">
        <v>8</v>
      </c>
      <c r="AM10" s="177">
        <v>0</v>
      </c>
      <c r="AN10" s="177">
        <v>0</v>
      </c>
      <c r="AO10" s="177">
        <v>0</v>
      </c>
      <c r="AP10" s="177">
        <v>0</v>
      </c>
      <c r="AQ10" s="177">
        <v>0</v>
      </c>
      <c r="AR10" s="177">
        <v>0</v>
      </c>
      <c r="AS10" s="177">
        <v>0</v>
      </c>
      <c r="AT10" s="177">
        <v>0</v>
      </c>
      <c r="AU10" s="177">
        <v>0</v>
      </c>
      <c r="AV10" s="177">
        <v>0</v>
      </c>
      <c r="AW10" s="177">
        <v>0</v>
      </c>
    </row>
    <row r="11" spans="1:49" x14ac:dyDescent="0.3">
      <c r="A11" s="177" t="s">
        <v>97</v>
      </c>
      <c r="B11" s="200">
        <v>8</v>
      </c>
      <c r="C11" s="177">
        <v>43</v>
      </c>
      <c r="D11" s="177">
        <v>2</v>
      </c>
      <c r="E11" s="177">
        <v>6</v>
      </c>
      <c r="F11" s="177">
        <v>102264</v>
      </c>
      <c r="G11" s="177">
        <v>0</v>
      </c>
      <c r="H11" s="177">
        <v>0</v>
      </c>
      <c r="I11" s="177">
        <v>13025</v>
      </c>
      <c r="J11" s="177">
        <v>32500</v>
      </c>
      <c r="K11" s="177">
        <v>0</v>
      </c>
      <c r="L11" s="177">
        <v>54305</v>
      </c>
      <c r="M11" s="177">
        <v>0</v>
      </c>
      <c r="N11" s="177">
        <v>0</v>
      </c>
      <c r="O11" s="177">
        <v>0</v>
      </c>
      <c r="P11" s="177">
        <v>0</v>
      </c>
      <c r="Q11" s="177">
        <v>0</v>
      </c>
      <c r="R11" s="177">
        <v>0</v>
      </c>
      <c r="S11" s="177">
        <v>0</v>
      </c>
      <c r="T11" s="177">
        <v>0</v>
      </c>
      <c r="U11" s="177">
        <v>0</v>
      </c>
      <c r="V11" s="177">
        <v>0</v>
      </c>
      <c r="W11" s="177">
        <v>0</v>
      </c>
      <c r="X11" s="177">
        <v>0</v>
      </c>
      <c r="Y11" s="177">
        <v>0</v>
      </c>
      <c r="Z11" s="177">
        <v>0</v>
      </c>
      <c r="AA11" s="177">
        <v>0</v>
      </c>
      <c r="AB11" s="177">
        <v>0</v>
      </c>
      <c r="AC11" s="177">
        <v>0</v>
      </c>
      <c r="AD11" s="177">
        <v>0</v>
      </c>
      <c r="AE11" s="177">
        <v>0</v>
      </c>
      <c r="AF11" s="177">
        <v>0</v>
      </c>
      <c r="AG11" s="177">
        <v>0</v>
      </c>
      <c r="AH11" s="177">
        <v>0</v>
      </c>
      <c r="AI11" s="177">
        <v>0</v>
      </c>
      <c r="AJ11" s="177">
        <v>0</v>
      </c>
      <c r="AK11" s="177">
        <v>0</v>
      </c>
      <c r="AL11" s="177">
        <v>2434</v>
      </c>
      <c r="AM11" s="177">
        <v>0</v>
      </c>
      <c r="AN11" s="177">
        <v>0</v>
      </c>
      <c r="AO11" s="177">
        <v>0</v>
      </c>
      <c r="AP11" s="177">
        <v>0</v>
      </c>
      <c r="AQ11" s="177">
        <v>0</v>
      </c>
      <c r="AR11" s="177">
        <v>0</v>
      </c>
      <c r="AS11" s="177">
        <v>0</v>
      </c>
      <c r="AT11" s="177">
        <v>0</v>
      </c>
      <c r="AU11" s="177">
        <v>0</v>
      </c>
      <c r="AV11" s="177">
        <v>0</v>
      </c>
      <c r="AW11" s="177">
        <v>0</v>
      </c>
    </row>
    <row r="12" spans="1:49" x14ac:dyDescent="0.3">
      <c r="A12" s="177" t="s">
        <v>98</v>
      </c>
      <c r="B12" s="200">
        <v>9</v>
      </c>
      <c r="C12" s="177">
        <v>43</v>
      </c>
      <c r="D12" s="177">
        <v>2</v>
      </c>
      <c r="E12" s="177">
        <v>11</v>
      </c>
      <c r="F12" s="177">
        <v>805.59954270046865</v>
      </c>
      <c r="G12" s="177">
        <v>597.26620936713527</v>
      </c>
      <c r="H12" s="177">
        <v>0</v>
      </c>
      <c r="I12" s="177">
        <v>0</v>
      </c>
      <c r="J12" s="177">
        <v>208.33333333333334</v>
      </c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7">
        <v>0</v>
      </c>
      <c r="S12" s="177">
        <v>0</v>
      </c>
      <c r="T12" s="177">
        <v>0</v>
      </c>
      <c r="U12" s="177">
        <v>0</v>
      </c>
      <c r="V12" s="177">
        <v>0</v>
      </c>
      <c r="W12" s="177">
        <v>0</v>
      </c>
      <c r="X12" s="177">
        <v>0</v>
      </c>
      <c r="Y12" s="177">
        <v>0</v>
      </c>
      <c r="Z12" s="177">
        <v>0</v>
      </c>
      <c r="AA12" s="177">
        <v>0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0</v>
      </c>
      <c r="AH12" s="177">
        <v>0</v>
      </c>
      <c r="AI12" s="177">
        <v>0</v>
      </c>
      <c r="AJ12" s="177">
        <v>0</v>
      </c>
      <c r="AK12" s="177">
        <v>0</v>
      </c>
      <c r="AL12" s="177">
        <v>0</v>
      </c>
      <c r="AM12" s="177">
        <v>0</v>
      </c>
      <c r="AN12" s="177">
        <v>0</v>
      </c>
      <c r="AO12" s="177">
        <v>0</v>
      </c>
      <c r="AP12" s="177">
        <v>0</v>
      </c>
      <c r="AQ12" s="177">
        <v>0</v>
      </c>
      <c r="AR12" s="177">
        <v>0</v>
      </c>
      <c r="AS12" s="177">
        <v>0</v>
      </c>
      <c r="AT12" s="177">
        <v>0</v>
      </c>
      <c r="AU12" s="177">
        <v>0</v>
      </c>
      <c r="AV12" s="177">
        <v>0</v>
      </c>
      <c r="AW12" s="177">
        <v>0</v>
      </c>
    </row>
    <row r="13" spans="1:49" x14ac:dyDescent="0.3">
      <c r="A13" s="177" t="s">
        <v>99</v>
      </c>
      <c r="B13" s="200">
        <v>10</v>
      </c>
      <c r="C13" s="177">
        <v>43</v>
      </c>
      <c r="D13" s="177">
        <v>3</v>
      </c>
      <c r="E13" s="177">
        <v>1</v>
      </c>
      <c r="F13" s="177">
        <v>2.65</v>
      </c>
      <c r="G13" s="177">
        <v>0</v>
      </c>
      <c r="H13" s="177">
        <v>0</v>
      </c>
      <c r="I13" s="177">
        <v>0.6</v>
      </c>
      <c r="J13" s="177">
        <v>1</v>
      </c>
      <c r="K13" s="177">
        <v>0</v>
      </c>
      <c r="L13" s="177">
        <v>1</v>
      </c>
      <c r="M13" s="177">
        <v>0</v>
      </c>
      <c r="N13" s="177">
        <v>0</v>
      </c>
      <c r="O13" s="177">
        <v>0</v>
      </c>
      <c r="P13" s="177">
        <v>0</v>
      </c>
      <c r="Q13" s="177">
        <v>0</v>
      </c>
      <c r="R13" s="177">
        <v>0</v>
      </c>
      <c r="S13" s="177">
        <v>0</v>
      </c>
      <c r="T13" s="177">
        <v>0</v>
      </c>
      <c r="U13" s="177">
        <v>0</v>
      </c>
      <c r="V13" s="177">
        <v>0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0</v>
      </c>
      <c r="AJ13" s="177">
        <v>0</v>
      </c>
      <c r="AK13" s="177">
        <v>0</v>
      </c>
      <c r="AL13" s="177">
        <v>0.05</v>
      </c>
      <c r="AM13" s="177">
        <v>0</v>
      </c>
      <c r="AN13" s="177">
        <v>0</v>
      </c>
      <c r="AO13" s="177">
        <v>0</v>
      </c>
      <c r="AP13" s="177">
        <v>0</v>
      </c>
      <c r="AQ13" s="177">
        <v>0</v>
      </c>
      <c r="AR13" s="177">
        <v>0</v>
      </c>
      <c r="AS13" s="177">
        <v>0</v>
      </c>
      <c r="AT13" s="177">
        <v>0</v>
      </c>
      <c r="AU13" s="177">
        <v>0</v>
      </c>
      <c r="AV13" s="177">
        <v>0</v>
      </c>
      <c r="AW13" s="177">
        <v>0</v>
      </c>
    </row>
    <row r="14" spans="1:49" x14ac:dyDescent="0.3">
      <c r="A14" s="177" t="s">
        <v>100</v>
      </c>
      <c r="B14" s="200">
        <v>11</v>
      </c>
      <c r="C14" s="177">
        <v>43</v>
      </c>
      <c r="D14" s="177">
        <v>3</v>
      </c>
      <c r="E14" s="177">
        <v>2</v>
      </c>
      <c r="F14" s="177">
        <v>486.8</v>
      </c>
      <c r="G14" s="177">
        <v>0</v>
      </c>
      <c r="H14" s="177">
        <v>0</v>
      </c>
      <c r="I14" s="177">
        <v>109.6</v>
      </c>
      <c r="J14" s="177">
        <v>184</v>
      </c>
      <c r="K14" s="177">
        <v>0</v>
      </c>
      <c r="L14" s="177">
        <v>184</v>
      </c>
      <c r="M14" s="177">
        <v>0</v>
      </c>
      <c r="N14" s="177">
        <v>0</v>
      </c>
      <c r="O14" s="177">
        <v>0</v>
      </c>
      <c r="P14" s="177">
        <v>0</v>
      </c>
      <c r="Q14" s="177">
        <v>0</v>
      </c>
      <c r="R14" s="177">
        <v>0</v>
      </c>
      <c r="S14" s="177">
        <v>0</v>
      </c>
      <c r="T14" s="177">
        <v>0</v>
      </c>
      <c r="U14" s="177">
        <v>0</v>
      </c>
      <c r="V14" s="177">
        <v>0</v>
      </c>
      <c r="W14" s="177">
        <v>0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0</v>
      </c>
      <c r="AJ14" s="177">
        <v>0</v>
      </c>
      <c r="AK14" s="177">
        <v>0</v>
      </c>
      <c r="AL14" s="177">
        <v>9.2000000000000011</v>
      </c>
      <c r="AM14" s="177">
        <v>0</v>
      </c>
      <c r="AN14" s="177">
        <v>0</v>
      </c>
      <c r="AO14" s="177">
        <v>0</v>
      </c>
      <c r="AP14" s="177">
        <v>0</v>
      </c>
      <c r="AQ14" s="177">
        <v>0</v>
      </c>
      <c r="AR14" s="177">
        <v>0</v>
      </c>
      <c r="AS14" s="177">
        <v>0</v>
      </c>
      <c r="AT14" s="177">
        <v>0</v>
      </c>
      <c r="AU14" s="177">
        <v>0</v>
      </c>
      <c r="AV14" s="177">
        <v>0</v>
      </c>
      <c r="AW14" s="177">
        <v>0</v>
      </c>
    </row>
    <row r="15" spans="1:49" x14ac:dyDescent="0.3">
      <c r="A15" s="177" t="s">
        <v>101</v>
      </c>
      <c r="B15" s="200">
        <v>12</v>
      </c>
      <c r="C15" s="177">
        <v>43</v>
      </c>
      <c r="D15" s="177">
        <v>3</v>
      </c>
      <c r="E15" s="177">
        <v>6</v>
      </c>
      <c r="F15" s="177">
        <v>102347</v>
      </c>
      <c r="G15" s="177">
        <v>0</v>
      </c>
      <c r="H15" s="177">
        <v>0</v>
      </c>
      <c r="I15" s="177">
        <v>13108</v>
      </c>
      <c r="J15" s="177">
        <v>32500</v>
      </c>
      <c r="K15" s="177">
        <v>0</v>
      </c>
      <c r="L15" s="177">
        <v>54305</v>
      </c>
      <c r="M15" s="177">
        <v>0</v>
      </c>
      <c r="N15" s="177">
        <v>0</v>
      </c>
      <c r="O15" s="177">
        <v>0</v>
      </c>
      <c r="P15" s="177">
        <v>0</v>
      </c>
      <c r="Q15" s="177">
        <v>0</v>
      </c>
      <c r="R15" s="177">
        <v>0</v>
      </c>
      <c r="S15" s="177">
        <v>0</v>
      </c>
      <c r="T15" s="177">
        <v>0</v>
      </c>
      <c r="U15" s="177">
        <v>0</v>
      </c>
      <c r="V15" s="177">
        <v>0</v>
      </c>
      <c r="W15" s="177">
        <v>0</v>
      </c>
      <c r="X15" s="177">
        <v>0</v>
      </c>
      <c r="Y15" s="177">
        <v>0</v>
      </c>
      <c r="Z15" s="177">
        <v>0</v>
      </c>
      <c r="AA15" s="177">
        <v>0</v>
      </c>
      <c r="AB15" s="177">
        <v>0</v>
      </c>
      <c r="AC15" s="177">
        <v>0</v>
      </c>
      <c r="AD15" s="177">
        <v>0</v>
      </c>
      <c r="AE15" s="177">
        <v>0</v>
      </c>
      <c r="AF15" s="177">
        <v>0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2434</v>
      </c>
      <c r="AM15" s="177">
        <v>0</v>
      </c>
      <c r="AN15" s="177">
        <v>0</v>
      </c>
      <c r="AO15" s="177">
        <v>0</v>
      </c>
      <c r="AP15" s="177">
        <v>0</v>
      </c>
      <c r="AQ15" s="177">
        <v>0</v>
      </c>
      <c r="AR15" s="177">
        <v>0</v>
      </c>
      <c r="AS15" s="177">
        <v>0</v>
      </c>
      <c r="AT15" s="177">
        <v>0</v>
      </c>
      <c r="AU15" s="177">
        <v>0</v>
      </c>
      <c r="AV15" s="177">
        <v>0</v>
      </c>
      <c r="AW15" s="177">
        <v>0</v>
      </c>
    </row>
    <row r="16" spans="1:49" x14ac:dyDescent="0.3">
      <c r="A16" s="177" t="s">
        <v>89</v>
      </c>
      <c r="B16" s="200">
        <v>2017</v>
      </c>
      <c r="C16" s="177">
        <v>43</v>
      </c>
      <c r="D16" s="177">
        <v>3</v>
      </c>
      <c r="E16" s="177">
        <v>11</v>
      </c>
      <c r="F16" s="177">
        <v>805.59954270046865</v>
      </c>
      <c r="G16" s="177">
        <v>597.26620936713527</v>
      </c>
      <c r="H16" s="177">
        <v>0</v>
      </c>
      <c r="I16" s="177">
        <v>0</v>
      </c>
      <c r="J16" s="177">
        <v>208.33333333333334</v>
      </c>
      <c r="K16" s="177">
        <v>0</v>
      </c>
      <c r="L16" s="177">
        <v>0</v>
      </c>
      <c r="M16" s="177">
        <v>0</v>
      </c>
      <c r="N16" s="177">
        <v>0</v>
      </c>
      <c r="O16" s="177">
        <v>0</v>
      </c>
      <c r="P16" s="177">
        <v>0</v>
      </c>
      <c r="Q16" s="177">
        <v>0</v>
      </c>
      <c r="R16" s="177">
        <v>0</v>
      </c>
      <c r="S16" s="177">
        <v>0</v>
      </c>
      <c r="T16" s="177">
        <v>0</v>
      </c>
      <c r="U16" s="177">
        <v>0</v>
      </c>
      <c r="V16" s="177">
        <v>0</v>
      </c>
      <c r="W16" s="177">
        <v>0</v>
      </c>
      <c r="X16" s="177">
        <v>0</v>
      </c>
      <c r="Y16" s="177">
        <v>0</v>
      </c>
      <c r="Z16" s="177">
        <v>0</v>
      </c>
      <c r="AA16" s="177">
        <v>0</v>
      </c>
      <c r="AB16" s="177">
        <v>0</v>
      </c>
      <c r="AC16" s="177">
        <v>0</v>
      </c>
      <c r="AD16" s="177">
        <v>0</v>
      </c>
      <c r="AE16" s="177">
        <v>0</v>
      </c>
      <c r="AF16" s="177">
        <v>0</v>
      </c>
      <c r="AG16" s="177">
        <v>0</v>
      </c>
      <c r="AH16" s="177">
        <v>0</v>
      </c>
      <c r="AI16" s="177">
        <v>0</v>
      </c>
      <c r="AJ16" s="177">
        <v>0</v>
      </c>
      <c r="AK16" s="177">
        <v>0</v>
      </c>
      <c r="AL16" s="177">
        <v>0</v>
      </c>
      <c r="AM16" s="177">
        <v>0</v>
      </c>
      <c r="AN16" s="177">
        <v>0</v>
      </c>
      <c r="AO16" s="177">
        <v>0</v>
      </c>
      <c r="AP16" s="177">
        <v>0</v>
      </c>
      <c r="AQ16" s="177">
        <v>0</v>
      </c>
      <c r="AR16" s="177">
        <v>0</v>
      </c>
      <c r="AS16" s="177">
        <v>0</v>
      </c>
      <c r="AT16" s="177">
        <v>0</v>
      </c>
      <c r="AU16" s="177">
        <v>0</v>
      </c>
      <c r="AV16" s="177">
        <v>0</v>
      </c>
      <c r="AW16" s="177">
        <v>0</v>
      </c>
    </row>
    <row r="17" spans="3:49" x14ac:dyDescent="0.3">
      <c r="C17" s="177">
        <v>43</v>
      </c>
      <c r="D17" s="177">
        <v>4</v>
      </c>
      <c r="E17" s="177">
        <v>1</v>
      </c>
      <c r="F17" s="177">
        <v>2.65</v>
      </c>
      <c r="G17" s="177">
        <v>0</v>
      </c>
      <c r="H17" s="177">
        <v>0</v>
      </c>
      <c r="I17" s="177">
        <v>0.6</v>
      </c>
      <c r="J17" s="177">
        <v>1</v>
      </c>
      <c r="K17" s="177">
        <v>0</v>
      </c>
      <c r="L17" s="177">
        <v>1</v>
      </c>
      <c r="M17" s="177">
        <v>0</v>
      </c>
      <c r="N17" s="177">
        <v>0</v>
      </c>
      <c r="O17" s="177">
        <v>0</v>
      </c>
      <c r="P17" s="177">
        <v>0</v>
      </c>
      <c r="Q17" s="177">
        <v>0</v>
      </c>
      <c r="R17" s="177">
        <v>0</v>
      </c>
      <c r="S17" s="177">
        <v>0</v>
      </c>
      <c r="T17" s="177">
        <v>0</v>
      </c>
      <c r="U17" s="177">
        <v>0</v>
      </c>
      <c r="V17" s="177">
        <v>0</v>
      </c>
      <c r="W17" s="177">
        <v>0</v>
      </c>
      <c r="X17" s="177">
        <v>0</v>
      </c>
      <c r="Y17" s="177">
        <v>0</v>
      </c>
      <c r="Z17" s="177">
        <v>0</v>
      </c>
      <c r="AA17" s="177">
        <v>0</v>
      </c>
      <c r="AB17" s="177">
        <v>0</v>
      </c>
      <c r="AC17" s="177">
        <v>0</v>
      </c>
      <c r="AD17" s="177">
        <v>0</v>
      </c>
      <c r="AE17" s="177">
        <v>0</v>
      </c>
      <c r="AF17" s="177">
        <v>0</v>
      </c>
      <c r="AG17" s="177">
        <v>0</v>
      </c>
      <c r="AH17" s="177">
        <v>0</v>
      </c>
      <c r="AI17" s="177">
        <v>0</v>
      </c>
      <c r="AJ17" s="177">
        <v>0</v>
      </c>
      <c r="AK17" s="177">
        <v>0</v>
      </c>
      <c r="AL17" s="177">
        <v>0.05</v>
      </c>
      <c r="AM17" s="177">
        <v>0</v>
      </c>
      <c r="AN17" s="177">
        <v>0</v>
      </c>
      <c r="AO17" s="177">
        <v>0</v>
      </c>
      <c r="AP17" s="177">
        <v>0</v>
      </c>
      <c r="AQ17" s="177">
        <v>0</v>
      </c>
      <c r="AR17" s="177">
        <v>0</v>
      </c>
      <c r="AS17" s="177">
        <v>0</v>
      </c>
      <c r="AT17" s="177">
        <v>0</v>
      </c>
      <c r="AU17" s="177">
        <v>0</v>
      </c>
      <c r="AV17" s="177">
        <v>0</v>
      </c>
      <c r="AW17" s="177">
        <v>0</v>
      </c>
    </row>
    <row r="18" spans="3:49" x14ac:dyDescent="0.3">
      <c r="C18" s="177">
        <v>43</v>
      </c>
      <c r="D18" s="177">
        <v>4</v>
      </c>
      <c r="E18" s="177">
        <v>2</v>
      </c>
      <c r="F18" s="177">
        <v>424</v>
      </c>
      <c r="G18" s="177">
        <v>0</v>
      </c>
      <c r="H18" s="177">
        <v>0</v>
      </c>
      <c r="I18" s="177">
        <v>96</v>
      </c>
      <c r="J18" s="177">
        <v>160</v>
      </c>
      <c r="K18" s="177">
        <v>0</v>
      </c>
      <c r="L18" s="177">
        <v>160</v>
      </c>
      <c r="M18" s="177">
        <v>0</v>
      </c>
      <c r="N18" s="177">
        <v>0</v>
      </c>
      <c r="O18" s="177">
        <v>0</v>
      </c>
      <c r="P18" s="177">
        <v>0</v>
      </c>
      <c r="Q18" s="177">
        <v>0</v>
      </c>
      <c r="R18" s="177">
        <v>0</v>
      </c>
      <c r="S18" s="177">
        <v>0</v>
      </c>
      <c r="T18" s="177">
        <v>0</v>
      </c>
      <c r="U18" s="177">
        <v>0</v>
      </c>
      <c r="V18" s="177">
        <v>0</v>
      </c>
      <c r="W18" s="177">
        <v>0</v>
      </c>
      <c r="X18" s="177">
        <v>0</v>
      </c>
      <c r="Y18" s="177">
        <v>0</v>
      </c>
      <c r="Z18" s="177">
        <v>0</v>
      </c>
      <c r="AA18" s="177">
        <v>0</v>
      </c>
      <c r="AB18" s="177">
        <v>0</v>
      </c>
      <c r="AC18" s="177">
        <v>0</v>
      </c>
      <c r="AD18" s="177">
        <v>0</v>
      </c>
      <c r="AE18" s="177">
        <v>0</v>
      </c>
      <c r="AF18" s="177">
        <v>0</v>
      </c>
      <c r="AG18" s="177">
        <v>0</v>
      </c>
      <c r="AH18" s="177">
        <v>0</v>
      </c>
      <c r="AI18" s="177">
        <v>0</v>
      </c>
      <c r="AJ18" s="177">
        <v>0</v>
      </c>
      <c r="AK18" s="177">
        <v>0</v>
      </c>
      <c r="AL18" s="177">
        <v>8</v>
      </c>
      <c r="AM18" s="177">
        <v>0</v>
      </c>
      <c r="AN18" s="177">
        <v>0</v>
      </c>
      <c r="AO18" s="177">
        <v>0</v>
      </c>
      <c r="AP18" s="177">
        <v>0</v>
      </c>
      <c r="AQ18" s="177">
        <v>0</v>
      </c>
      <c r="AR18" s="177">
        <v>0</v>
      </c>
      <c r="AS18" s="177">
        <v>0</v>
      </c>
      <c r="AT18" s="177">
        <v>0</v>
      </c>
      <c r="AU18" s="177">
        <v>0</v>
      </c>
      <c r="AV18" s="177">
        <v>0</v>
      </c>
      <c r="AW18" s="177">
        <v>0</v>
      </c>
    </row>
    <row r="19" spans="3:49" x14ac:dyDescent="0.3">
      <c r="C19" s="177">
        <v>43</v>
      </c>
      <c r="D19" s="177">
        <v>4</v>
      </c>
      <c r="E19" s="177">
        <v>6</v>
      </c>
      <c r="F19" s="177">
        <v>102340</v>
      </c>
      <c r="G19" s="177">
        <v>0</v>
      </c>
      <c r="H19" s="177">
        <v>0</v>
      </c>
      <c r="I19" s="177">
        <v>13101</v>
      </c>
      <c r="J19" s="177">
        <v>32500</v>
      </c>
      <c r="K19" s="177">
        <v>0</v>
      </c>
      <c r="L19" s="177">
        <v>54305</v>
      </c>
      <c r="M19" s="177">
        <v>0</v>
      </c>
      <c r="N19" s="177">
        <v>0</v>
      </c>
      <c r="O19" s="177">
        <v>0</v>
      </c>
      <c r="P19" s="177">
        <v>0</v>
      </c>
      <c r="Q19" s="177">
        <v>0</v>
      </c>
      <c r="R19" s="177">
        <v>0</v>
      </c>
      <c r="S19" s="177">
        <v>0</v>
      </c>
      <c r="T19" s="177">
        <v>0</v>
      </c>
      <c r="U19" s="177">
        <v>0</v>
      </c>
      <c r="V19" s="177">
        <v>0</v>
      </c>
      <c r="W19" s="177">
        <v>0</v>
      </c>
      <c r="X19" s="177">
        <v>0</v>
      </c>
      <c r="Y19" s="177">
        <v>0</v>
      </c>
      <c r="Z19" s="177">
        <v>0</v>
      </c>
      <c r="AA19" s="177">
        <v>0</v>
      </c>
      <c r="AB19" s="177">
        <v>0</v>
      </c>
      <c r="AC19" s="177">
        <v>0</v>
      </c>
      <c r="AD19" s="177">
        <v>0</v>
      </c>
      <c r="AE19" s="177">
        <v>0</v>
      </c>
      <c r="AF19" s="177">
        <v>0</v>
      </c>
      <c r="AG19" s="177">
        <v>0</v>
      </c>
      <c r="AH19" s="177">
        <v>0</v>
      </c>
      <c r="AI19" s="177">
        <v>0</v>
      </c>
      <c r="AJ19" s="177">
        <v>0</v>
      </c>
      <c r="AK19" s="177">
        <v>0</v>
      </c>
      <c r="AL19" s="177">
        <v>2434</v>
      </c>
      <c r="AM19" s="177">
        <v>0</v>
      </c>
      <c r="AN19" s="177">
        <v>0</v>
      </c>
      <c r="AO19" s="177">
        <v>0</v>
      </c>
      <c r="AP19" s="177">
        <v>0</v>
      </c>
      <c r="AQ19" s="177">
        <v>0</v>
      </c>
      <c r="AR19" s="177">
        <v>0</v>
      </c>
      <c r="AS19" s="177">
        <v>0</v>
      </c>
      <c r="AT19" s="177">
        <v>0</v>
      </c>
      <c r="AU19" s="177">
        <v>0</v>
      </c>
      <c r="AV19" s="177">
        <v>0</v>
      </c>
      <c r="AW19" s="177">
        <v>0</v>
      </c>
    </row>
    <row r="20" spans="3:49" x14ac:dyDescent="0.3">
      <c r="C20" s="177">
        <v>43</v>
      </c>
      <c r="D20" s="177">
        <v>4</v>
      </c>
      <c r="E20" s="177">
        <v>11</v>
      </c>
      <c r="F20" s="177">
        <v>805.59954270046865</v>
      </c>
      <c r="G20" s="177">
        <v>597.26620936713527</v>
      </c>
      <c r="H20" s="177">
        <v>0</v>
      </c>
      <c r="I20" s="177">
        <v>0</v>
      </c>
      <c r="J20" s="177">
        <v>208.33333333333334</v>
      </c>
      <c r="K20" s="177">
        <v>0</v>
      </c>
      <c r="L20" s="177">
        <v>0</v>
      </c>
      <c r="M20" s="177">
        <v>0</v>
      </c>
      <c r="N20" s="177">
        <v>0</v>
      </c>
      <c r="O20" s="177">
        <v>0</v>
      </c>
      <c r="P20" s="177">
        <v>0</v>
      </c>
      <c r="Q20" s="177">
        <v>0</v>
      </c>
      <c r="R20" s="177">
        <v>0</v>
      </c>
      <c r="S20" s="177">
        <v>0</v>
      </c>
      <c r="T20" s="177">
        <v>0</v>
      </c>
      <c r="U20" s="177">
        <v>0</v>
      </c>
      <c r="V20" s="177">
        <v>0</v>
      </c>
      <c r="W20" s="177">
        <v>0</v>
      </c>
      <c r="X20" s="177">
        <v>0</v>
      </c>
      <c r="Y20" s="177">
        <v>0</v>
      </c>
      <c r="Z20" s="177">
        <v>0</v>
      </c>
      <c r="AA20" s="177">
        <v>0</v>
      </c>
      <c r="AB20" s="177">
        <v>0</v>
      </c>
      <c r="AC20" s="177">
        <v>0</v>
      </c>
      <c r="AD20" s="177">
        <v>0</v>
      </c>
      <c r="AE20" s="177">
        <v>0</v>
      </c>
      <c r="AF20" s="177">
        <v>0</v>
      </c>
      <c r="AG20" s="177">
        <v>0</v>
      </c>
      <c r="AH20" s="177">
        <v>0</v>
      </c>
      <c r="AI20" s="177">
        <v>0</v>
      </c>
      <c r="AJ20" s="177">
        <v>0</v>
      </c>
      <c r="AK20" s="177">
        <v>0</v>
      </c>
      <c r="AL20" s="177">
        <v>0</v>
      </c>
      <c r="AM20" s="177">
        <v>0</v>
      </c>
      <c r="AN20" s="177">
        <v>0</v>
      </c>
      <c r="AO20" s="177">
        <v>0</v>
      </c>
      <c r="AP20" s="177">
        <v>0</v>
      </c>
      <c r="AQ20" s="177">
        <v>0</v>
      </c>
      <c r="AR20" s="177">
        <v>0</v>
      </c>
      <c r="AS20" s="177">
        <v>0</v>
      </c>
      <c r="AT20" s="177">
        <v>0</v>
      </c>
      <c r="AU20" s="177">
        <v>0</v>
      </c>
      <c r="AV20" s="177">
        <v>0</v>
      </c>
      <c r="AW20" s="177">
        <v>0</v>
      </c>
    </row>
    <row r="21" spans="3:49" x14ac:dyDescent="0.3">
      <c r="C21" s="177">
        <v>43</v>
      </c>
      <c r="D21" s="177">
        <v>5</v>
      </c>
      <c r="E21" s="177">
        <v>1</v>
      </c>
      <c r="F21" s="177">
        <v>2.65</v>
      </c>
      <c r="G21" s="177">
        <v>0</v>
      </c>
      <c r="H21" s="177">
        <v>0</v>
      </c>
      <c r="I21" s="177">
        <v>0.6</v>
      </c>
      <c r="J21" s="177">
        <v>1</v>
      </c>
      <c r="K21" s="177">
        <v>0</v>
      </c>
      <c r="L21" s="177">
        <v>1</v>
      </c>
      <c r="M21" s="177">
        <v>0</v>
      </c>
      <c r="N21" s="177">
        <v>0</v>
      </c>
      <c r="O21" s="177">
        <v>0</v>
      </c>
      <c r="P21" s="177">
        <v>0</v>
      </c>
      <c r="Q21" s="177">
        <v>0</v>
      </c>
      <c r="R21" s="177">
        <v>0</v>
      </c>
      <c r="S21" s="177">
        <v>0</v>
      </c>
      <c r="T21" s="177">
        <v>0</v>
      </c>
      <c r="U21" s="177">
        <v>0</v>
      </c>
      <c r="V21" s="177">
        <v>0</v>
      </c>
      <c r="W21" s="177">
        <v>0</v>
      </c>
      <c r="X21" s="177">
        <v>0</v>
      </c>
      <c r="Y21" s="177">
        <v>0</v>
      </c>
      <c r="Z21" s="177">
        <v>0</v>
      </c>
      <c r="AA21" s="177">
        <v>0</v>
      </c>
      <c r="AB21" s="177">
        <v>0</v>
      </c>
      <c r="AC21" s="177">
        <v>0</v>
      </c>
      <c r="AD21" s="177">
        <v>0</v>
      </c>
      <c r="AE21" s="177">
        <v>0</v>
      </c>
      <c r="AF21" s="177">
        <v>0</v>
      </c>
      <c r="AG21" s="177">
        <v>0</v>
      </c>
      <c r="AH21" s="177">
        <v>0</v>
      </c>
      <c r="AI21" s="177">
        <v>0</v>
      </c>
      <c r="AJ21" s="177">
        <v>0</v>
      </c>
      <c r="AK21" s="177">
        <v>0</v>
      </c>
      <c r="AL21" s="177">
        <v>0.05</v>
      </c>
      <c r="AM21" s="177">
        <v>0</v>
      </c>
      <c r="AN21" s="177">
        <v>0</v>
      </c>
      <c r="AO21" s="177">
        <v>0</v>
      </c>
      <c r="AP21" s="177">
        <v>0</v>
      </c>
      <c r="AQ21" s="177">
        <v>0</v>
      </c>
      <c r="AR21" s="177">
        <v>0</v>
      </c>
      <c r="AS21" s="177">
        <v>0</v>
      </c>
      <c r="AT21" s="177">
        <v>0</v>
      </c>
      <c r="AU21" s="177">
        <v>0</v>
      </c>
      <c r="AV21" s="177">
        <v>0</v>
      </c>
      <c r="AW21" s="177">
        <v>0</v>
      </c>
    </row>
    <row r="22" spans="3:49" x14ac:dyDescent="0.3">
      <c r="C22" s="177">
        <v>43</v>
      </c>
      <c r="D22" s="177">
        <v>5</v>
      </c>
      <c r="E22" s="177">
        <v>2</v>
      </c>
      <c r="F22" s="177">
        <v>483.59999999999997</v>
      </c>
      <c r="G22" s="177">
        <v>0</v>
      </c>
      <c r="H22" s="177">
        <v>0</v>
      </c>
      <c r="I22" s="177">
        <v>106.4</v>
      </c>
      <c r="J22" s="177">
        <v>184</v>
      </c>
      <c r="K22" s="177">
        <v>0</v>
      </c>
      <c r="L22" s="177">
        <v>184</v>
      </c>
      <c r="M22" s="177">
        <v>0</v>
      </c>
      <c r="N22" s="177">
        <v>0</v>
      </c>
      <c r="O22" s="177">
        <v>0</v>
      </c>
      <c r="P22" s="177">
        <v>0</v>
      </c>
      <c r="Q22" s="177">
        <v>0</v>
      </c>
      <c r="R22" s="177">
        <v>0</v>
      </c>
      <c r="S22" s="177">
        <v>0</v>
      </c>
      <c r="T22" s="177">
        <v>0</v>
      </c>
      <c r="U22" s="177">
        <v>0</v>
      </c>
      <c r="V22" s="177">
        <v>0</v>
      </c>
      <c r="W22" s="177">
        <v>0</v>
      </c>
      <c r="X22" s="177">
        <v>0</v>
      </c>
      <c r="Y22" s="177">
        <v>0</v>
      </c>
      <c r="Z22" s="177">
        <v>0</v>
      </c>
      <c r="AA22" s="177">
        <v>0</v>
      </c>
      <c r="AB22" s="177">
        <v>0</v>
      </c>
      <c r="AC22" s="177">
        <v>0</v>
      </c>
      <c r="AD22" s="177">
        <v>0</v>
      </c>
      <c r="AE22" s="177">
        <v>0</v>
      </c>
      <c r="AF22" s="177">
        <v>0</v>
      </c>
      <c r="AG22" s="177">
        <v>0</v>
      </c>
      <c r="AH22" s="177">
        <v>0</v>
      </c>
      <c r="AI22" s="177">
        <v>0</v>
      </c>
      <c r="AJ22" s="177">
        <v>0</v>
      </c>
      <c r="AK22" s="177">
        <v>0</v>
      </c>
      <c r="AL22" s="177">
        <v>9.2000000000000011</v>
      </c>
      <c r="AM22" s="177">
        <v>0</v>
      </c>
      <c r="AN22" s="177">
        <v>0</v>
      </c>
      <c r="AO22" s="177">
        <v>0</v>
      </c>
      <c r="AP22" s="177">
        <v>0</v>
      </c>
      <c r="AQ22" s="177">
        <v>0</v>
      </c>
      <c r="AR22" s="177">
        <v>0</v>
      </c>
      <c r="AS22" s="177">
        <v>0</v>
      </c>
      <c r="AT22" s="177">
        <v>0</v>
      </c>
      <c r="AU22" s="177">
        <v>0</v>
      </c>
      <c r="AV22" s="177">
        <v>0</v>
      </c>
      <c r="AW22" s="177">
        <v>0</v>
      </c>
    </row>
    <row r="23" spans="3:49" x14ac:dyDescent="0.3">
      <c r="C23" s="177">
        <v>43</v>
      </c>
      <c r="D23" s="177">
        <v>5</v>
      </c>
      <c r="E23" s="177">
        <v>6</v>
      </c>
      <c r="F23" s="177">
        <v>102402</v>
      </c>
      <c r="G23" s="177">
        <v>0</v>
      </c>
      <c r="H23" s="177">
        <v>0</v>
      </c>
      <c r="I23" s="177">
        <v>13163</v>
      </c>
      <c r="J23" s="177">
        <v>32500</v>
      </c>
      <c r="K23" s="177">
        <v>0</v>
      </c>
      <c r="L23" s="177">
        <v>54305</v>
      </c>
      <c r="M23" s="177">
        <v>0</v>
      </c>
      <c r="N23" s="177">
        <v>0</v>
      </c>
      <c r="O23" s="177">
        <v>0</v>
      </c>
      <c r="P23" s="177">
        <v>0</v>
      </c>
      <c r="Q23" s="177">
        <v>0</v>
      </c>
      <c r="R23" s="177">
        <v>0</v>
      </c>
      <c r="S23" s="177">
        <v>0</v>
      </c>
      <c r="T23" s="177">
        <v>0</v>
      </c>
      <c r="U23" s="177">
        <v>0</v>
      </c>
      <c r="V23" s="177">
        <v>0</v>
      </c>
      <c r="W23" s="177">
        <v>0</v>
      </c>
      <c r="X23" s="177">
        <v>0</v>
      </c>
      <c r="Y23" s="177">
        <v>0</v>
      </c>
      <c r="Z23" s="177">
        <v>0</v>
      </c>
      <c r="AA23" s="177">
        <v>0</v>
      </c>
      <c r="AB23" s="177">
        <v>0</v>
      </c>
      <c r="AC23" s="177">
        <v>0</v>
      </c>
      <c r="AD23" s="177">
        <v>0</v>
      </c>
      <c r="AE23" s="177">
        <v>0</v>
      </c>
      <c r="AF23" s="177">
        <v>0</v>
      </c>
      <c r="AG23" s="177">
        <v>0</v>
      </c>
      <c r="AH23" s="177">
        <v>0</v>
      </c>
      <c r="AI23" s="177">
        <v>0</v>
      </c>
      <c r="AJ23" s="177">
        <v>0</v>
      </c>
      <c r="AK23" s="177">
        <v>0</v>
      </c>
      <c r="AL23" s="177">
        <v>2434</v>
      </c>
      <c r="AM23" s="177">
        <v>0</v>
      </c>
      <c r="AN23" s="177">
        <v>0</v>
      </c>
      <c r="AO23" s="177">
        <v>0</v>
      </c>
      <c r="AP23" s="177">
        <v>0</v>
      </c>
      <c r="AQ23" s="177">
        <v>0</v>
      </c>
      <c r="AR23" s="177">
        <v>0</v>
      </c>
      <c r="AS23" s="177">
        <v>0</v>
      </c>
      <c r="AT23" s="177">
        <v>0</v>
      </c>
      <c r="AU23" s="177">
        <v>0</v>
      </c>
      <c r="AV23" s="177">
        <v>0</v>
      </c>
      <c r="AW23" s="177">
        <v>0</v>
      </c>
    </row>
    <row r="24" spans="3:49" x14ac:dyDescent="0.3">
      <c r="C24" s="177">
        <v>43</v>
      </c>
      <c r="D24" s="177">
        <v>5</v>
      </c>
      <c r="E24" s="177">
        <v>11</v>
      </c>
      <c r="F24" s="177">
        <v>805.59954270046865</v>
      </c>
      <c r="G24" s="177">
        <v>597.26620936713527</v>
      </c>
      <c r="H24" s="177">
        <v>0</v>
      </c>
      <c r="I24" s="177">
        <v>0</v>
      </c>
      <c r="J24" s="177">
        <v>208.33333333333334</v>
      </c>
      <c r="K24" s="177">
        <v>0</v>
      </c>
      <c r="L24" s="177">
        <v>0</v>
      </c>
      <c r="M24" s="177">
        <v>0</v>
      </c>
      <c r="N24" s="177">
        <v>0</v>
      </c>
      <c r="O24" s="177">
        <v>0</v>
      </c>
      <c r="P24" s="177">
        <v>0</v>
      </c>
      <c r="Q24" s="177">
        <v>0</v>
      </c>
      <c r="R24" s="177">
        <v>0</v>
      </c>
      <c r="S24" s="177">
        <v>0</v>
      </c>
      <c r="T24" s="177">
        <v>0</v>
      </c>
      <c r="U24" s="177">
        <v>0</v>
      </c>
      <c r="V24" s="177">
        <v>0</v>
      </c>
      <c r="W24" s="177">
        <v>0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0</v>
      </c>
      <c r="AD24" s="177">
        <v>0</v>
      </c>
      <c r="AE24" s="177">
        <v>0</v>
      </c>
      <c r="AF24" s="177">
        <v>0</v>
      </c>
      <c r="AG24" s="177">
        <v>0</v>
      </c>
      <c r="AH24" s="177">
        <v>0</v>
      </c>
      <c r="AI24" s="177">
        <v>0</v>
      </c>
      <c r="AJ24" s="177">
        <v>0</v>
      </c>
      <c r="AK24" s="177">
        <v>0</v>
      </c>
      <c r="AL24" s="177">
        <v>0</v>
      </c>
      <c r="AM24" s="177">
        <v>0</v>
      </c>
      <c r="AN24" s="177">
        <v>0</v>
      </c>
      <c r="AO24" s="177">
        <v>0</v>
      </c>
      <c r="AP24" s="177">
        <v>0</v>
      </c>
      <c r="AQ24" s="177">
        <v>0</v>
      </c>
      <c r="AR24" s="177">
        <v>0</v>
      </c>
      <c r="AS24" s="177">
        <v>0</v>
      </c>
      <c r="AT24" s="177">
        <v>0</v>
      </c>
      <c r="AU24" s="177">
        <v>0</v>
      </c>
      <c r="AV24" s="177">
        <v>0</v>
      </c>
      <c r="AW24" s="177">
        <v>0</v>
      </c>
    </row>
    <row r="25" spans="3:49" x14ac:dyDescent="0.3">
      <c r="C25" s="177">
        <v>43</v>
      </c>
      <c r="D25" s="177">
        <v>6</v>
      </c>
      <c r="E25" s="177">
        <v>1</v>
      </c>
      <c r="F25" s="177">
        <v>2.65</v>
      </c>
      <c r="G25" s="177">
        <v>0</v>
      </c>
      <c r="H25" s="177">
        <v>0</v>
      </c>
      <c r="I25" s="177">
        <v>0.6</v>
      </c>
      <c r="J25" s="177">
        <v>1</v>
      </c>
      <c r="K25" s="177">
        <v>0</v>
      </c>
      <c r="L25" s="177">
        <v>1</v>
      </c>
      <c r="M25" s="177">
        <v>0</v>
      </c>
      <c r="N25" s="177">
        <v>0</v>
      </c>
      <c r="O25" s="177">
        <v>0</v>
      </c>
      <c r="P25" s="177">
        <v>0</v>
      </c>
      <c r="Q25" s="177">
        <v>0</v>
      </c>
      <c r="R25" s="177">
        <v>0</v>
      </c>
      <c r="S25" s="177">
        <v>0</v>
      </c>
      <c r="T25" s="177">
        <v>0</v>
      </c>
      <c r="U25" s="177">
        <v>0</v>
      </c>
      <c r="V25" s="177">
        <v>0</v>
      </c>
      <c r="W25" s="177">
        <v>0</v>
      </c>
      <c r="X25" s="177">
        <v>0</v>
      </c>
      <c r="Y25" s="177">
        <v>0</v>
      </c>
      <c r="Z25" s="177">
        <v>0</v>
      </c>
      <c r="AA25" s="177">
        <v>0</v>
      </c>
      <c r="AB25" s="177">
        <v>0</v>
      </c>
      <c r="AC25" s="177">
        <v>0</v>
      </c>
      <c r="AD25" s="177">
        <v>0</v>
      </c>
      <c r="AE25" s="177">
        <v>0</v>
      </c>
      <c r="AF25" s="177">
        <v>0</v>
      </c>
      <c r="AG25" s="177">
        <v>0</v>
      </c>
      <c r="AH25" s="177">
        <v>0</v>
      </c>
      <c r="AI25" s="177">
        <v>0</v>
      </c>
      <c r="AJ25" s="177">
        <v>0</v>
      </c>
      <c r="AK25" s="177">
        <v>0</v>
      </c>
      <c r="AL25" s="177">
        <v>0.05</v>
      </c>
      <c r="AM25" s="177">
        <v>0</v>
      </c>
      <c r="AN25" s="177">
        <v>0</v>
      </c>
      <c r="AO25" s="177">
        <v>0</v>
      </c>
      <c r="AP25" s="177">
        <v>0</v>
      </c>
      <c r="AQ25" s="177">
        <v>0</v>
      </c>
      <c r="AR25" s="177">
        <v>0</v>
      </c>
      <c r="AS25" s="177">
        <v>0</v>
      </c>
      <c r="AT25" s="177">
        <v>0</v>
      </c>
      <c r="AU25" s="177">
        <v>0</v>
      </c>
      <c r="AV25" s="177">
        <v>0</v>
      </c>
      <c r="AW25" s="177">
        <v>0</v>
      </c>
    </row>
    <row r="26" spans="3:49" x14ac:dyDescent="0.3">
      <c r="C26" s="177">
        <v>43</v>
      </c>
      <c r="D26" s="177">
        <v>6</v>
      </c>
      <c r="E26" s="177">
        <v>2</v>
      </c>
      <c r="F26" s="177">
        <v>444.8</v>
      </c>
      <c r="G26" s="177">
        <v>0</v>
      </c>
      <c r="H26" s="177">
        <v>0</v>
      </c>
      <c r="I26" s="177">
        <v>100</v>
      </c>
      <c r="J26" s="177">
        <v>176</v>
      </c>
      <c r="K26" s="177">
        <v>0</v>
      </c>
      <c r="L26" s="177">
        <v>160</v>
      </c>
      <c r="M26" s="177">
        <v>0</v>
      </c>
      <c r="N26" s="177">
        <v>0</v>
      </c>
      <c r="O26" s="177">
        <v>0</v>
      </c>
      <c r="P26" s="177">
        <v>0</v>
      </c>
      <c r="Q26" s="177">
        <v>0</v>
      </c>
      <c r="R26" s="177">
        <v>0</v>
      </c>
      <c r="S26" s="177">
        <v>0</v>
      </c>
      <c r="T26" s="177">
        <v>0</v>
      </c>
      <c r="U26" s="177">
        <v>0</v>
      </c>
      <c r="V26" s="177">
        <v>0</v>
      </c>
      <c r="W26" s="177">
        <v>0</v>
      </c>
      <c r="X26" s="177">
        <v>0</v>
      </c>
      <c r="Y26" s="177">
        <v>0</v>
      </c>
      <c r="Z26" s="177">
        <v>0</v>
      </c>
      <c r="AA26" s="177">
        <v>0</v>
      </c>
      <c r="AB26" s="177">
        <v>0</v>
      </c>
      <c r="AC26" s="177">
        <v>0</v>
      </c>
      <c r="AD26" s="177">
        <v>0</v>
      </c>
      <c r="AE26" s="177">
        <v>0</v>
      </c>
      <c r="AF26" s="177">
        <v>0</v>
      </c>
      <c r="AG26" s="177">
        <v>0</v>
      </c>
      <c r="AH26" s="177">
        <v>0</v>
      </c>
      <c r="AI26" s="177">
        <v>0</v>
      </c>
      <c r="AJ26" s="177">
        <v>0</v>
      </c>
      <c r="AK26" s="177">
        <v>0</v>
      </c>
      <c r="AL26" s="177">
        <v>8.8000000000000007</v>
      </c>
      <c r="AM26" s="177">
        <v>0</v>
      </c>
      <c r="AN26" s="177">
        <v>0</v>
      </c>
      <c r="AO26" s="177">
        <v>0</v>
      </c>
      <c r="AP26" s="177">
        <v>0</v>
      </c>
      <c r="AQ26" s="177">
        <v>0</v>
      </c>
      <c r="AR26" s="177">
        <v>0</v>
      </c>
      <c r="AS26" s="177">
        <v>0</v>
      </c>
      <c r="AT26" s="177">
        <v>0</v>
      </c>
      <c r="AU26" s="177">
        <v>0</v>
      </c>
      <c r="AV26" s="177">
        <v>0</v>
      </c>
      <c r="AW26" s="177">
        <v>0</v>
      </c>
    </row>
    <row r="27" spans="3:49" x14ac:dyDescent="0.3">
      <c r="C27" s="177">
        <v>43</v>
      </c>
      <c r="D27" s="177">
        <v>6</v>
      </c>
      <c r="E27" s="177">
        <v>6</v>
      </c>
      <c r="F27" s="177">
        <v>103431</v>
      </c>
      <c r="G27" s="177">
        <v>0</v>
      </c>
      <c r="H27" s="177">
        <v>0</v>
      </c>
      <c r="I27" s="177">
        <v>13156</v>
      </c>
      <c r="J27" s="177">
        <v>32500</v>
      </c>
      <c r="K27" s="177">
        <v>0</v>
      </c>
      <c r="L27" s="177">
        <v>55341</v>
      </c>
      <c r="M27" s="177">
        <v>0</v>
      </c>
      <c r="N27" s="177">
        <v>0</v>
      </c>
      <c r="O27" s="177">
        <v>0</v>
      </c>
      <c r="P27" s="177">
        <v>0</v>
      </c>
      <c r="Q27" s="177">
        <v>0</v>
      </c>
      <c r="R27" s="177">
        <v>0</v>
      </c>
      <c r="S27" s="177">
        <v>0</v>
      </c>
      <c r="T27" s="177">
        <v>0</v>
      </c>
      <c r="U27" s="177">
        <v>0</v>
      </c>
      <c r="V27" s="177">
        <v>0</v>
      </c>
      <c r="W27" s="177">
        <v>0</v>
      </c>
      <c r="X27" s="177">
        <v>0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0</v>
      </c>
      <c r="AJ27" s="177">
        <v>0</v>
      </c>
      <c r="AK27" s="177">
        <v>0</v>
      </c>
      <c r="AL27" s="177">
        <v>2434</v>
      </c>
      <c r="AM27" s="177">
        <v>0</v>
      </c>
      <c r="AN27" s="177">
        <v>0</v>
      </c>
      <c r="AO27" s="177">
        <v>0</v>
      </c>
      <c r="AP27" s="177">
        <v>0</v>
      </c>
      <c r="AQ27" s="177">
        <v>0</v>
      </c>
      <c r="AR27" s="177">
        <v>0</v>
      </c>
      <c r="AS27" s="177">
        <v>0</v>
      </c>
      <c r="AT27" s="177">
        <v>0</v>
      </c>
      <c r="AU27" s="177">
        <v>0</v>
      </c>
      <c r="AV27" s="177">
        <v>0</v>
      </c>
      <c r="AW27" s="177">
        <v>0</v>
      </c>
    </row>
    <row r="28" spans="3:49" x14ac:dyDescent="0.3">
      <c r="C28" s="177">
        <v>43</v>
      </c>
      <c r="D28" s="177">
        <v>6</v>
      </c>
      <c r="E28" s="177">
        <v>11</v>
      </c>
      <c r="F28" s="177">
        <v>805.59954270046865</v>
      </c>
      <c r="G28" s="177">
        <v>597.26620936713527</v>
      </c>
      <c r="H28" s="177">
        <v>0</v>
      </c>
      <c r="I28" s="177">
        <v>0</v>
      </c>
      <c r="J28" s="177">
        <v>208.33333333333334</v>
      </c>
      <c r="K28" s="177">
        <v>0</v>
      </c>
      <c r="L28" s="177">
        <v>0</v>
      </c>
      <c r="M28" s="177">
        <v>0</v>
      </c>
      <c r="N28" s="177">
        <v>0</v>
      </c>
      <c r="O28" s="177">
        <v>0</v>
      </c>
      <c r="P28" s="177">
        <v>0</v>
      </c>
      <c r="Q28" s="177">
        <v>0</v>
      </c>
      <c r="R28" s="177">
        <v>0</v>
      </c>
      <c r="S28" s="177">
        <v>0</v>
      </c>
      <c r="T28" s="177">
        <v>0</v>
      </c>
      <c r="U28" s="177">
        <v>0</v>
      </c>
      <c r="V28" s="177">
        <v>0</v>
      </c>
      <c r="W28" s="177">
        <v>0</v>
      </c>
      <c r="X28" s="177">
        <v>0</v>
      </c>
      <c r="Y28" s="177">
        <v>0</v>
      </c>
      <c r="Z28" s="177">
        <v>0</v>
      </c>
      <c r="AA28" s="177">
        <v>0</v>
      </c>
      <c r="AB28" s="177">
        <v>0</v>
      </c>
      <c r="AC28" s="177">
        <v>0</v>
      </c>
      <c r="AD28" s="177">
        <v>0</v>
      </c>
      <c r="AE28" s="177">
        <v>0</v>
      </c>
      <c r="AF28" s="177">
        <v>0</v>
      </c>
      <c r="AG28" s="177">
        <v>0</v>
      </c>
      <c r="AH28" s="177">
        <v>0</v>
      </c>
      <c r="AI28" s="177">
        <v>0</v>
      </c>
      <c r="AJ28" s="177">
        <v>0</v>
      </c>
      <c r="AK28" s="177">
        <v>0</v>
      </c>
      <c r="AL28" s="177">
        <v>0</v>
      </c>
      <c r="AM28" s="177">
        <v>0</v>
      </c>
      <c r="AN28" s="177">
        <v>0</v>
      </c>
      <c r="AO28" s="177">
        <v>0</v>
      </c>
      <c r="AP28" s="177">
        <v>0</v>
      </c>
      <c r="AQ28" s="177">
        <v>0</v>
      </c>
      <c r="AR28" s="177">
        <v>0</v>
      </c>
      <c r="AS28" s="177">
        <v>0</v>
      </c>
      <c r="AT28" s="177">
        <v>0</v>
      </c>
      <c r="AU28" s="177">
        <v>0</v>
      </c>
      <c r="AV28" s="177">
        <v>0</v>
      </c>
      <c r="AW28" s="17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99" bestFit="1" customWidth="1" collapsed="1"/>
    <col min="2" max="2" width="7.77734375" style="76" hidden="1" customWidth="1" outlineLevel="1"/>
    <col min="3" max="3" width="0.109375" style="99" hidden="1" customWidth="1"/>
    <col min="4" max="4" width="7.77734375" style="76" customWidth="1"/>
    <col min="5" max="5" width="5.44140625" style="99" hidden="1" customWidth="1"/>
    <col min="6" max="6" width="7.77734375" style="76" customWidth="1"/>
    <col min="7" max="7" width="7.77734375" style="166" customWidth="1" collapsed="1"/>
    <col min="8" max="8" width="7.77734375" style="76" hidden="1" customWidth="1" outlineLevel="1"/>
    <col min="9" max="9" width="5.44140625" style="99" hidden="1" customWidth="1"/>
    <col min="10" max="10" width="7.77734375" style="76" customWidth="1"/>
    <col min="11" max="11" width="5.44140625" style="99" hidden="1" customWidth="1"/>
    <col min="12" max="12" width="7.77734375" style="76" customWidth="1"/>
    <col min="13" max="13" width="7.77734375" style="166" customWidth="1" collapsed="1"/>
    <col min="14" max="14" width="7.77734375" style="76" hidden="1" customWidth="1" outlineLevel="1"/>
    <col min="15" max="15" width="5" style="99" hidden="1" customWidth="1"/>
    <col min="16" max="16" width="7.77734375" style="76" customWidth="1"/>
    <col min="17" max="17" width="5" style="99" hidden="1" customWidth="1"/>
    <col min="18" max="18" width="7.77734375" style="76" customWidth="1"/>
    <col min="19" max="19" width="7.77734375" style="166" customWidth="1"/>
    <col min="20" max="16384" width="8.88671875" style="99"/>
  </cols>
  <sheetData>
    <row r="1" spans="1:19" ht="18.600000000000001" customHeight="1" thickBot="1" x14ac:dyDescent="0.4">
      <c r="A1" s="268" t="s">
        <v>73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19" ht="14.4" customHeight="1" thickBot="1" x14ac:dyDescent="0.35">
      <c r="A2" s="181" t="s">
        <v>160</v>
      </c>
      <c r="B2" s="173"/>
      <c r="C2" s="81"/>
      <c r="D2" s="173"/>
      <c r="E2" s="81"/>
      <c r="F2" s="173"/>
      <c r="G2" s="174"/>
      <c r="H2" s="173"/>
      <c r="I2" s="81"/>
      <c r="J2" s="173"/>
      <c r="K2" s="81"/>
      <c r="L2" s="173"/>
      <c r="M2" s="174"/>
      <c r="N2" s="173"/>
      <c r="O2" s="81"/>
      <c r="P2" s="173"/>
      <c r="Q2" s="81"/>
      <c r="R2" s="173"/>
      <c r="S2" s="174"/>
    </row>
    <row r="3" spans="1:19" ht="14.4" customHeight="1" thickBot="1" x14ac:dyDescent="0.35">
      <c r="A3" s="167" t="s">
        <v>74</v>
      </c>
      <c r="B3" s="168">
        <f>SUBTOTAL(9,B6:B1048576)</f>
        <v>24317</v>
      </c>
      <c r="C3" s="169">
        <f t="shared" ref="C3:R3" si="0">SUBTOTAL(9,C6:C1048576)</f>
        <v>13.569307685409381</v>
      </c>
      <c r="D3" s="169">
        <f t="shared" si="0"/>
        <v>17346</v>
      </c>
      <c r="E3" s="169">
        <f t="shared" si="0"/>
        <v>12</v>
      </c>
      <c r="F3" s="169">
        <f t="shared" si="0"/>
        <v>23237</v>
      </c>
      <c r="G3" s="172">
        <f>IF(D3&lt;&gt;0,F3/D3,"")</f>
        <v>1.3396172028133286</v>
      </c>
      <c r="H3" s="168">
        <f t="shared" si="0"/>
        <v>0</v>
      </c>
      <c r="I3" s="169">
        <f t="shared" si="0"/>
        <v>0</v>
      </c>
      <c r="J3" s="169">
        <f t="shared" si="0"/>
        <v>0</v>
      </c>
      <c r="K3" s="169">
        <f t="shared" si="0"/>
        <v>0</v>
      </c>
      <c r="L3" s="169">
        <f t="shared" si="0"/>
        <v>0</v>
      </c>
      <c r="M3" s="170" t="str">
        <f>IF(J3&lt;&gt;0,L3/J3,"")</f>
        <v/>
      </c>
      <c r="N3" s="171">
        <f t="shared" si="0"/>
        <v>0</v>
      </c>
      <c r="O3" s="169">
        <f t="shared" si="0"/>
        <v>0</v>
      </c>
      <c r="P3" s="169">
        <f t="shared" si="0"/>
        <v>0</v>
      </c>
      <c r="Q3" s="169">
        <f t="shared" si="0"/>
        <v>0</v>
      </c>
      <c r="R3" s="169">
        <f t="shared" si="0"/>
        <v>0</v>
      </c>
      <c r="S3" s="170" t="str">
        <f>IF(P3&lt;&gt;0,R3/P3,"")</f>
        <v/>
      </c>
    </row>
    <row r="4" spans="1:19" ht="14.4" customHeight="1" x14ac:dyDescent="0.3">
      <c r="A4" s="286" t="s">
        <v>60</v>
      </c>
      <c r="B4" s="287" t="s">
        <v>57</v>
      </c>
      <c r="C4" s="288"/>
      <c r="D4" s="288"/>
      <c r="E4" s="288"/>
      <c r="F4" s="288"/>
      <c r="G4" s="289"/>
      <c r="H4" s="287" t="s">
        <v>58</v>
      </c>
      <c r="I4" s="288"/>
      <c r="J4" s="288"/>
      <c r="K4" s="288"/>
      <c r="L4" s="288"/>
      <c r="M4" s="289"/>
      <c r="N4" s="287" t="s">
        <v>59</v>
      </c>
      <c r="O4" s="288"/>
      <c r="P4" s="288"/>
      <c r="Q4" s="288"/>
      <c r="R4" s="288"/>
      <c r="S4" s="289"/>
    </row>
    <row r="5" spans="1:19" ht="14.4" customHeight="1" thickBot="1" x14ac:dyDescent="0.35">
      <c r="A5" s="326"/>
      <c r="B5" s="327">
        <v>2015</v>
      </c>
      <c r="C5" s="328"/>
      <c r="D5" s="328">
        <v>2016</v>
      </c>
      <c r="E5" s="328"/>
      <c r="F5" s="328">
        <v>2017</v>
      </c>
      <c r="G5" s="329" t="s">
        <v>0</v>
      </c>
      <c r="H5" s="327">
        <v>2015</v>
      </c>
      <c r="I5" s="328"/>
      <c r="J5" s="328">
        <v>2016</v>
      </c>
      <c r="K5" s="328"/>
      <c r="L5" s="328">
        <v>2017</v>
      </c>
      <c r="M5" s="329" t="s">
        <v>0</v>
      </c>
      <c r="N5" s="327">
        <v>2015</v>
      </c>
      <c r="O5" s="328"/>
      <c r="P5" s="328">
        <v>2016</v>
      </c>
      <c r="Q5" s="328"/>
      <c r="R5" s="328">
        <v>2017</v>
      </c>
      <c r="S5" s="329" t="s">
        <v>0</v>
      </c>
    </row>
    <row r="6" spans="1:19" ht="14.4" customHeight="1" x14ac:dyDescent="0.3">
      <c r="A6" s="345" t="s">
        <v>214</v>
      </c>
      <c r="B6" s="331">
        <v>1653</v>
      </c>
      <c r="C6" s="332">
        <v>0.93389830508474581</v>
      </c>
      <c r="D6" s="331">
        <v>1770</v>
      </c>
      <c r="E6" s="332">
        <v>1</v>
      </c>
      <c r="F6" s="331">
        <v>1595</v>
      </c>
      <c r="G6" s="333">
        <v>0.90112994350282483</v>
      </c>
      <c r="H6" s="331"/>
      <c r="I6" s="332"/>
      <c r="J6" s="331"/>
      <c r="K6" s="332"/>
      <c r="L6" s="331"/>
      <c r="M6" s="333"/>
      <c r="N6" s="331"/>
      <c r="O6" s="332"/>
      <c r="P6" s="331"/>
      <c r="Q6" s="332"/>
      <c r="R6" s="331"/>
      <c r="S6" s="334"/>
    </row>
    <row r="7" spans="1:19" ht="14.4" customHeight="1" x14ac:dyDescent="0.3">
      <c r="A7" s="346" t="s">
        <v>215</v>
      </c>
      <c r="B7" s="336">
        <v>4302</v>
      </c>
      <c r="C7" s="337">
        <v>4.0508474576271185</v>
      </c>
      <c r="D7" s="336">
        <v>1062</v>
      </c>
      <c r="E7" s="337">
        <v>1</v>
      </c>
      <c r="F7" s="336">
        <v>1242</v>
      </c>
      <c r="G7" s="338">
        <v>1.1694915254237288</v>
      </c>
      <c r="H7" s="336"/>
      <c r="I7" s="337"/>
      <c r="J7" s="336"/>
      <c r="K7" s="337"/>
      <c r="L7" s="336"/>
      <c r="M7" s="338"/>
      <c r="N7" s="336"/>
      <c r="O7" s="337"/>
      <c r="P7" s="336"/>
      <c r="Q7" s="337"/>
      <c r="R7" s="336"/>
      <c r="S7" s="339"/>
    </row>
    <row r="8" spans="1:19" ht="14.4" customHeight="1" x14ac:dyDescent="0.3">
      <c r="A8" s="346" t="s">
        <v>216</v>
      </c>
      <c r="B8" s="336">
        <v>11745</v>
      </c>
      <c r="C8" s="337">
        <v>4.7397094430992732</v>
      </c>
      <c r="D8" s="336">
        <v>2478</v>
      </c>
      <c r="E8" s="337">
        <v>1</v>
      </c>
      <c r="F8" s="336">
        <v>3193</v>
      </c>
      <c r="G8" s="338">
        <v>1.2885391444713479</v>
      </c>
      <c r="H8" s="336"/>
      <c r="I8" s="337"/>
      <c r="J8" s="336"/>
      <c r="K8" s="337"/>
      <c r="L8" s="336"/>
      <c r="M8" s="338"/>
      <c r="N8" s="336"/>
      <c r="O8" s="337"/>
      <c r="P8" s="336"/>
      <c r="Q8" s="337"/>
      <c r="R8" s="336"/>
      <c r="S8" s="339"/>
    </row>
    <row r="9" spans="1:19" ht="14.4" customHeight="1" x14ac:dyDescent="0.3">
      <c r="A9" s="346" t="s">
        <v>217</v>
      </c>
      <c r="B9" s="336">
        <v>496</v>
      </c>
      <c r="C9" s="337"/>
      <c r="D9" s="336"/>
      <c r="E9" s="337"/>
      <c r="F9" s="336"/>
      <c r="G9" s="338"/>
      <c r="H9" s="336"/>
      <c r="I9" s="337"/>
      <c r="J9" s="336"/>
      <c r="K9" s="337"/>
      <c r="L9" s="336"/>
      <c r="M9" s="338"/>
      <c r="N9" s="336"/>
      <c r="O9" s="337"/>
      <c r="P9" s="336"/>
      <c r="Q9" s="337"/>
      <c r="R9" s="336"/>
      <c r="S9" s="339"/>
    </row>
    <row r="10" spans="1:19" ht="14.4" customHeight="1" x14ac:dyDescent="0.3">
      <c r="A10" s="346" t="s">
        <v>218</v>
      </c>
      <c r="B10" s="336">
        <v>1654</v>
      </c>
      <c r="C10" s="337">
        <v>0.51914626490897675</v>
      </c>
      <c r="D10" s="336">
        <v>3186</v>
      </c>
      <c r="E10" s="337">
        <v>1</v>
      </c>
      <c r="F10" s="336">
        <v>3903</v>
      </c>
      <c r="G10" s="338">
        <v>1.2250470809792844</v>
      </c>
      <c r="H10" s="336"/>
      <c r="I10" s="337"/>
      <c r="J10" s="336"/>
      <c r="K10" s="337"/>
      <c r="L10" s="336"/>
      <c r="M10" s="338"/>
      <c r="N10" s="336"/>
      <c r="O10" s="337"/>
      <c r="P10" s="336"/>
      <c r="Q10" s="337"/>
      <c r="R10" s="336"/>
      <c r="S10" s="339"/>
    </row>
    <row r="11" spans="1:19" ht="14.4" customHeight="1" x14ac:dyDescent="0.3">
      <c r="A11" s="346" t="s">
        <v>219</v>
      </c>
      <c r="B11" s="336"/>
      <c r="C11" s="337"/>
      <c r="D11" s="336">
        <v>354</v>
      </c>
      <c r="E11" s="337">
        <v>1</v>
      </c>
      <c r="F11" s="336"/>
      <c r="G11" s="338"/>
      <c r="H11" s="336"/>
      <c r="I11" s="337"/>
      <c r="J11" s="336"/>
      <c r="K11" s="337"/>
      <c r="L11" s="336"/>
      <c r="M11" s="338"/>
      <c r="N11" s="336"/>
      <c r="O11" s="337"/>
      <c r="P11" s="336"/>
      <c r="Q11" s="337"/>
      <c r="R11" s="336"/>
      <c r="S11" s="339"/>
    </row>
    <row r="12" spans="1:19" ht="14.4" customHeight="1" x14ac:dyDescent="0.3">
      <c r="A12" s="346" t="s">
        <v>220</v>
      </c>
      <c r="B12" s="336">
        <v>1489</v>
      </c>
      <c r="C12" s="337">
        <v>0.42062146892655367</v>
      </c>
      <c r="D12" s="336">
        <v>3540</v>
      </c>
      <c r="E12" s="337">
        <v>1</v>
      </c>
      <c r="F12" s="336">
        <v>2838</v>
      </c>
      <c r="G12" s="338">
        <v>0.80169491525423731</v>
      </c>
      <c r="H12" s="336"/>
      <c r="I12" s="337"/>
      <c r="J12" s="336"/>
      <c r="K12" s="337"/>
      <c r="L12" s="336"/>
      <c r="M12" s="338"/>
      <c r="N12" s="336"/>
      <c r="O12" s="337"/>
      <c r="P12" s="336"/>
      <c r="Q12" s="337"/>
      <c r="R12" s="336"/>
      <c r="S12" s="339"/>
    </row>
    <row r="13" spans="1:19" ht="14.4" customHeight="1" x14ac:dyDescent="0.3">
      <c r="A13" s="346" t="s">
        <v>221</v>
      </c>
      <c r="B13" s="336"/>
      <c r="C13" s="337"/>
      <c r="D13" s="336"/>
      <c r="E13" s="337"/>
      <c r="F13" s="336">
        <v>887</v>
      </c>
      <c r="G13" s="338"/>
      <c r="H13" s="336"/>
      <c r="I13" s="337"/>
      <c r="J13" s="336"/>
      <c r="K13" s="337"/>
      <c r="L13" s="336"/>
      <c r="M13" s="338"/>
      <c r="N13" s="336"/>
      <c r="O13" s="337"/>
      <c r="P13" s="336"/>
      <c r="Q13" s="337"/>
      <c r="R13" s="336"/>
      <c r="S13" s="339"/>
    </row>
    <row r="14" spans="1:19" ht="14.4" customHeight="1" x14ac:dyDescent="0.3">
      <c r="A14" s="346" t="s">
        <v>222</v>
      </c>
      <c r="B14" s="336">
        <v>662</v>
      </c>
      <c r="C14" s="337">
        <v>0.37401129943502825</v>
      </c>
      <c r="D14" s="336">
        <v>1770</v>
      </c>
      <c r="E14" s="337">
        <v>1</v>
      </c>
      <c r="F14" s="336"/>
      <c r="G14" s="338"/>
      <c r="H14" s="336"/>
      <c r="I14" s="337"/>
      <c r="J14" s="336"/>
      <c r="K14" s="337"/>
      <c r="L14" s="336"/>
      <c r="M14" s="338"/>
      <c r="N14" s="336"/>
      <c r="O14" s="337"/>
      <c r="P14" s="336"/>
      <c r="Q14" s="337"/>
      <c r="R14" s="336"/>
      <c r="S14" s="339"/>
    </row>
    <row r="15" spans="1:19" ht="14.4" customHeight="1" x14ac:dyDescent="0.3">
      <c r="A15" s="346" t="s">
        <v>223</v>
      </c>
      <c r="B15" s="336"/>
      <c r="C15" s="337"/>
      <c r="D15" s="336"/>
      <c r="E15" s="337"/>
      <c r="F15" s="336">
        <v>3193</v>
      </c>
      <c r="G15" s="338"/>
      <c r="H15" s="336"/>
      <c r="I15" s="337"/>
      <c r="J15" s="336"/>
      <c r="K15" s="337"/>
      <c r="L15" s="336"/>
      <c r="M15" s="338"/>
      <c r="N15" s="336"/>
      <c r="O15" s="337"/>
      <c r="P15" s="336"/>
      <c r="Q15" s="337"/>
      <c r="R15" s="336"/>
      <c r="S15" s="339"/>
    </row>
    <row r="16" spans="1:19" ht="14.4" customHeight="1" x14ac:dyDescent="0.3">
      <c r="A16" s="346" t="s">
        <v>224</v>
      </c>
      <c r="B16" s="336">
        <v>331</v>
      </c>
      <c r="C16" s="337">
        <v>0.93502824858757061</v>
      </c>
      <c r="D16" s="336">
        <v>354</v>
      </c>
      <c r="E16" s="337">
        <v>1</v>
      </c>
      <c r="F16" s="336">
        <v>710</v>
      </c>
      <c r="G16" s="338">
        <v>2.0056497175141241</v>
      </c>
      <c r="H16" s="336"/>
      <c r="I16" s="337"/>
      <c r="J16" s="336"/>
      <c r="K16" s="337"/>
      <c r="L16" s="336"/>
      <c r="M16" s="338"/>
      <c r="N16" s="336"/>
      <c r="O16" s="337"/>
      <c r="P16" s="336"/>
      <c r="Q16" s="337"/>
      <c r="R16" s="336"/>
      <c r="S16" s="339"/>
    </row>
    <row r="17" spans="1:19" ht="14.4" customHeight="1" x14ac:dyDescent="0.3">
      <c r="A17" s="346" t="s">
        <v>225</v>
      </c>
      <c r="B17" s="336"/>
      <c r="C17" s="337"/>
      <c r="D17" s="336">
        <v>354</v>
      </c>
      <c r="E17" s="337">
        <v>1</v>
      </c>
      <c r="F17" s="336">
        <v>532</v>
      </c>
      <c r="G17" s="338">
        <v>1.5028248587570621</v>
      </c>
      <c r="H17" s="336"/>
      <c r="I17" s="337"/>
      <c r="J17" s="336"/>
      <c r="K17" s="337"/>
      <c r="L17" s="336"/>
      <c r="M17" s="338"/>
      <c r="N17" s="336"/>
      <c r="O17" s="337"/>
      <c r="P17" s="336"/>
      <c r="Q17" s="337"/>
      <c r="R17" s="336"/>
      <c r="S17" s="339"/>
    </row>
    <row r="18" spans="1:19" ht="14.4" customHeight="1" x14ac:dyDescent="0.3">
      <c r="A18" s="346" t="s">
        <v>226</v>
      </c>
      <c r="B18" s="336">
        <v>1820</v>
      </c>
      <c r="C18" s="337">
        <v>1.2853107344632768</v>
      </c>
      <c r="D18" s="336">
        <v>1416</v>
      </c>
      <c r="E18" s="337">
        <v>1</v>
      </c>
      <c r="F18" s="336">
        <v>3903</v>
      </c>
      <c r="G18" s="338">
        <v>2.7563559322033897</v>
      </c>
      <c r="H18" s="336"/>
      <c r="I18" s="337"/>
      <c r="J18" s="336"/>
      <c r="K18" s="337"/>
      <c r="L18" s="336"/>
      <c r="M18" s="338"/>
      <c r="N18" s="336"/>
      <c r="O18" s="337"/>
      <c r="P18" s="336"/>
      <c r="Q18" s="337"/>
      <c r="R18" s="336"/>
      <c r="S18" s="339"/>
    </row>
    <row r="19" spans="1:19" ht="14.4" customHeight="1" x14ac:dyDescent="0.3">
      <c r="A19" s="346" t="s">
        <v>227</v>
      </c>
      <c r="B19" s="336"/>
      <c r="C19" s="337"/>
      <c r="D19" s="336"/>
      <c r="E19" s="337"/>
      <c r="F19" s="336">
        <v>177</v>
      </c>
      <c r="G19" s="338"/>
      <c r="H19" s="336"/>
      <c r="I19" s="337"/>
      <c r="J19" s="336"/>
      <c r="K19" s="337"/>
      <c r="L19" s="336"/>
      <c r="M19" s="338"/>
      <c r="N19" s="336"/>
      <c r="O19" s="337"/>
      <c r="P19" s="336"/>
      <c r="Q19" s="337"/>
      <c r="R19" s="336"/>
      <c r="S19" s="339"/>
    </row>
    <row r="20" spans="1:19" ht="14.4" customHeight="1" x14ac:dyDescent="0.3">
      <c r="A20" s="346" t="s">
        <v>228</v>
      </c>
      <c r="B20" s="336"/>
      <c r="C20" s="337"/>
      <c r="D20" s="336"/>
      <c r="E20" s="337"/>
      <c r="F20" s="336">
        <v>710</v>
      </c>
      <c r="G20" s="338"/>
      <c r="H20" s="336"/>
      <c r="I20" s="337"/>
      <c r="J20" s="336"/>
      <c r="K20" s="337"/>
      <c r="L20" s="336"/>
      <c r="M20" s="338"/>
      <c r="N20" s="336"/>
      <c r="O20" s="337"/>
      <c r="P20" s="336"/>
      <c r="Q20" s="337"/>
      <c r="R20" s="336"/>
      <c r="S20" s="339"/>
    </row>
    <row r="21" spans="1:19" ht="14.4" customHeight="1" x14ac:dyDescent="0.3">
      <c r="A21" s="346" t="s">
        <v>229</v>
      </c>
      <c r="B21" s="336"/>
      <c r="C21" s="337"/>
      <c r="D21" s="336">
        <v>531</v>
      </c>
      <c r="E21" s="337">
        <v>1</v>
      </c>
      <c r="F21" s="336">
        <v>354</v>
      </c>
      <c r="G21" s="338">
        <v>0.66666666666666663</v>
      </c>
      <c r="H21" s="336"/>
      <c r="I21" s="337"/>
      <c r="J21" s="336"/>
      <c r="K21" s="337"/>
      <c r="L21" s="336"/>
      <c r="M21" s="338"/>
      <c r="N21" s="336"/>
      <c r="O21" s="337"/>
      <c r="P21" s="336"/>
      <c r="Q21" s="337"/>
      <c r="R21" s="336"/>
      <c r="S21" s="339"/>
    </row>
    <row r="22" spans="1:19" ht="14.4" customHeight="1" thickBot="1" x14ac:dyDescent="0.35">
      <c r="A22" s="347" t="s">
        <v>230</v>
      </c>
      <c r="B22" s="341">
        <v>165</v>
      </c>
      <c r="C22" s="342">
        <v>0.31073446327683618</v>
      </c>
      <c r="D22" s="341">
        <v>531</v>
      </c>
      <c r="E22" s="342">
        <v>1</v>
      </c>
      <c r="F22" s="341"/>
      <c r="G22" s="343"/>
      <c r="H22" s="341"/>
      <c r="I22" s="342"/>
      <c r="J22" s="341"/>
      <c r="K22" s="342"/>
      <c r="L22" s="341"/>
      <c r="M22" s="343"/>
      <c r="N22" s="341"/>
      <c r="O22" s="342"/>
      <c r="P22" s="341"/>
      <c r="Q22" s="342"/>
      <c r="R22" s="341"/>
      <c r="S22" s="34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99" bestFit="1" customWidth="1"/>
    <col min="2" max="2" width="8.6640625" style="99" bestFit="1" customWidth="1"/>
    <col min="3" max="3" width="2.109375" style="99" bestFit="1" customWidth="1"/>
    <col min="4" max="4" width="8" style="99" bestFit="1" customWidth="1"/>
    <col min="5" max="5" width="52.88671875" style="99" bestFit="1" customWidth="1" collapsed="1"/>
    <col min="6" max="7" width="11.109375" style="165" hidden="1" customWidth="1" outlineLevel="1"/>
    <col min="8" max="9" width="9.33203125" style="165" hidden="1" customWidth="1"/>
    <col min="10" max="11" width="11.109375" style="165" customWidth="1"/>
    <col min="12" max="13" width="9.33203125" style="165" hidden="1" customWidth="1"/>
    <col min="14" max="15" width="11.109375" style="165" customWidth="1"/>
    <col min="16" max="16" width="11.109375" style="166" customWidth="1"/>
    <col min="17" max="17" width="11.109375" style="165" customWidth="1"/>
    <col min="18" max="16384" width="8.88671875" style="99"/>
  </cols>
  <sheetData>
    <row r="1" spans="1:17" ht="18.600000000000001" customHeight="1" thickBot="1" x14ac:dyDescent="0.4">
      <c r="A1" s="256" t="s">
        <v>254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ht="14.4" customHeight="1" thickBot="1" x14ac:dyDescent="0.35">
      <c r="A2" s="181" t="s">
        <v>160</v>
      </c>
      <c r="B2" s="100"/>
      <c r="C2" s="100"/>
      <c r="D2" s="100"/>
      <c r="E2" s="100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6"/>
      <c r="Q2" s="175"/>
    </row>
    <row r="3" spans="1:17" ht="14.4" customHeight="1" thickBot="1" x14ac:dyDescent="0.35">
      <c r="E3" s="61" t="s">
        <v>74</v>
      </c>
      <c r="F3" s="72">
        <f t="shared" ref="F3:O3" si="0">SUBTOTAL(9,F6:F1048576)</f>
        <v>85</v>
      </c>
      <c r="G3" s="73">
        <f t="shared" si="0"/>
        <v>24317</v>
      </c>
      <c r="H3" s="73"/>
      <c r="I3" s="73"/>
      <c r="J3" s="73">
        <f t="shared" si="0"/>
        <v>55</v>
      </c>
      <c r="K3" s="73">
        <f t="shared" si="0"/>
        <v>17346</v>
      </c>
      <c r="L3" s="73"/>
      <c r="M3" s="73"/>
      <c r="N3" s="73">
        <f t="shared" si="0"/>
        <v>81</v>
      </c>
      <c r="O3" s="73">
        <f t="shared" si="0"/>
        <v>23237</v>
      </c>
      <c r="P3" s="57">
        <f>IF(K3=0,0,O3/K3)</f>
        <v>1.3396172028133286</v>
      </c>
      <c r="Q3" s="74">
        <f>IF(N3=0,0,O3/N3)</f>
        <v>286.87654320987656</v>
      </c>
    </row>
    <row r="4" spans="1:17" ht="14.4" customHeight="1" x14ac:dyDescent="0.3">
      <c r="A4" s="292" t="s">
        <v>44</v>
      </c>
      <c r="B4" s="290" t="s">
        <v>53</v>
      </c>
      <c r="C4" s="292" t="s">
        <v>54</v>
      </c>
      <c r="D4" s="296" t="s">
        <v>55</v>
      </c>
      <c r="E4" s="293" t="s">
        <v>45</v>
      </c>
      <c r="F4" s="294">
        <v>2015</v>
      </c>
      <c r="G4" s="295"/>
      <c r="H4" s="75"/>
      <c r="I4" s="75"/>
      <c r="J4" s="294">
        <v>2016</v>
      </c>
      <c r="K4" s="295"/>
      <c r="L4" s="75"/>
      <c r="M4" s="75"/>
      <c r="N4" s="294">
        <v>2017</v>
      </c>
      <c r="O4" s="295"/>
      <c r="P4" s="297" t="s">
        <v>0</v>
      </c>
      <c r="Q4" s="291" t="s">
        <v>56</v>
      </c>
    </row>
    <row r="5" spans="1:17" ht="14.4" customHeight="1" thickBot="1" x14ac:dyDescent="0.35">
      <c r="A5" s="348"/>
      <c r="B5" s="349"/>
      <c r="C5" s="348"/>
      <c r="D5" s="350"/>
      <c r="E5" s="351"/>
      <c r="F5" s="352" t="s">
        <v>46</v>
      </c>
      <c r="G5" s="353" t="s">
        <v>3</v>
      </c>
      <c r="H5" s="354"/>
      <c r="I5" s="354"/>
      <c r="J5" s="352" t="s">
        <v>46</v>
      </c>
      <c r="K5" s="353" t="s">
        <v>3</v>
      </c>
      <c r="L5" s="354"/>
      <c r="M5" s="354"/>
      <c r="N5" s="352" t="s">
        <v>46</v>
      </c>
      <c r="O5" s="353" t="s">
        <v>3</v>
      </c>
      <c r="P5" s="355"/>
      <c r="Q5" s="356"/>
    </row>
    <row r="6" spans="1:17" ht="14.4" customHeight="1" x14ac:dyDescent="0.3">
      <c r="A6" s="330" t="s">
        <v>231</v>
      </c>
      <c r="B6" s="332" t="s">
        <v>232</v>
      </c>
      <c r="C6" s="332" t="s">
        <v>233</v>
      </c>
      <c r="D6" s="332" t="s">
        <v>234</v>
      </c>
      <c r="E6" s="332" t="s">
        <v>235</v>
      </c>
      <c r="F6" s="357">
        <v>3</v>
      </c>
      <c r="G6" s="357">
        <v>993</v>
      </c>
      <c r="H6" s="357">
        <v>0.56101694915254241</v>
      </c>
      <c r="I6" s="357">
        <v>331</v>
      </c>
      <c r="J6" s="357">
        <v>5</v>
      </c>
      <c r="K6" s="357">
        <v>1770</v>
      </c>
      <c r="L6" s="357">
        <v>1</v>
      </c>
      <c r="M6" s="357">
        <v>354</v>
      </c>
      <c r="N6" s="357">
        <v>2</v>
      </c>
      <c r="O6" s="357">
        <v>710</v>
      </c>
      <c r="P6" s="333">
        <v>0.40112994350282488</v>
      </c>
      <c r="Q6" s="358">
        <v>355</v>
      </c>
    </row>
    <row r="7" spans="1:17" ht="14.4" customHeight="1" x14ac:dyDescent="0.3">
      <c r="A7" s="335" t="s">
        <v>231</v>
      </c>
      <c r="B7" s="337" t="s">
        <v>232</v>
      </c>
      <c r="C7" s="337" t="s">
        <v>233</v>
      </c>
      <c r="D7" s="337" t="s">
        <v>236</v>
      </c>
      <c r="E7" s="337" t="s">
        <v>237</v>
      </c>
      <c r="F7" s="359">
        <v>4</v>
      </c>
      <c r="G7" s="359">
        <v>660</v>
      </c>
      <c r="H7" s="359"/>
      <c r="I7" s="359">
        <v>165</v>
      </c>
      <c r="J7" s="359"/>
      <c r="K7" s="359"/>
      <c r="L7" s="359"/>
      <c r="M7" s="359"/>
      <c r="N7" s="359">
        <v>5</v>
      </c>
      <c r="O7" s="359">
        <v>885</v>
      </c>
      <c r="P7" s="338"/>
      <c r="Q7" s="360">
        <v>177</v>
      </c>
    </row>
    <row r="8" spans="1:17" ht="14.4" customHeight="1" x14ac:dyDescent="0.3">
      <c r="A8" s="335" t="s">
        <v>238</v>
      </c>
      <c r="B8" s="337" t="s">
        <v>232</v>
      </c>
      <c r="C8" s="337" t="s">
        <v>233</v>
      </c>
      <c r="D8" s="337" t="s">
        <v>234</v>
      </c>
      <c r="E8" s="337" t="s">
        <v>235</v>
      </c>
      <c r="F8" s="359">
        <v>12</v>
      </c>
      <c r="G8" s="359">
        <v>3972</v>
      </c>
      <c r="H8" s="359">
        <v>5.6101694915254239</v>
      </c>
      <c r="I8" s="359">
        <v>331</v>
      </c>
      <c r="J8" s="359">
        <v>2</v>
      </c>
      <c r="K8" s="359">
        <v>708</v>
      </c>
      <c r="L8" s="359">
        <v>1</v>
      </c>
      <c r="M8" s="359">
        <v>354</v>
      </c>
      <c r="N8" s="359">
        <v>3</v>
      </c>
      <c r="O8" s="359">
        <v>1065</v>
      </c>
      <c r="P8" s="338">
        <v>1.5042372881355932</v>
      </c>
      <c r="Q8" s="360">
        <v>355</v>
      </c>
    </row>
    <row r="9" spans="1:17" ht="14.4" customHeight="1" x14ac:dyDescent="0.3">
      <c r="A9" s="335" t="s">
        <v>238</v>
      </c>
      <c r="B9" s="337" t="s">
        <v>232</v>
      </c>
      <c r="C9" s="337" t="s">
        <v>233</v>
      </c>
      <c r="D9" s="337" t="s">
        <v>236</v>
      </c>
      <c r="E9" s="337" t="s">
        <v>237</v>
      </c>
      <c r="F9" s="359">
        <v>2</v>
      </c>
      <c r="G9" s="359">
        <v>330</v>
      </c>
      <c r="H9" s="359">
        <v>0.93220338983050843</v>
      </c>
      <c r="I9" s="359">
        <v>165</v>
      </c>
      <c r="J9" s="359">
        <v>2</v>
      </c>
      <c r="K9" s="359">
        <v>354</v>
      </c>
      <c r="L9" s="359">
        <v>1</v>
      </c>
      <c r="M9" s="359">
        <v>177</v>
      </c>
      <c r="N9" s="359">
        <v>1</v>
      </c>
      <c r="O9" s="359">
        <v>177</v>
      </c>
      <c r="P9" s="338">
        <v>0.5</v>
      </c>
      <c r="Q9" s="360">
        <v>177</v>
      </c>
    </row>
    <row r="10" spans="1:17" ht="14.4" customHeight="1" x14ac:dyDescent="0.3">
      <c r="A10" s="335" t="s">
        <v>239</v>
      </c>
      <c r="B10" s="337" t="s">
        <v>232</v>
      </c>
      <c r="C10" s="337" t="s">
        <v>233</v>
      </c>
      <c r="D10" s="337" t="s">
        <v>234</v>
      </c>
      <c r="E10" s="337" t="s">
        <v>235</v>
      </c>
      <c r="F10" s="359">
        <v>30</v>
      </c>
      <c r="G10" s="359">
        <v>9930</v>
      </c>
      <c r="H10" s="359">
        <v>4.6751412429378529</v>
      </c>
      <c r="I10" s="359">
        <v>331</v>
      </c>
      <c r="J10" s="359">
        <v>6</v>
      </c>
      <c r="K10" s="359">
        <v>2124</v>
      </c>
      <c r="L10" s="359">
        <v>1</v>
      </c>
      <c r="M10" s="359">
        <v>354</v>
      </c>
      <c r="N10" s="359">
        <v>7</v>
      </c>
      <c r="O10" s="359">
        <v>2485</v>
      </c>
      <c r="P10" s="338">
        <v>1.1699623352165724</v>
      </c>
      <c r="Q10" s="360">
        <v>355</v>
      </c>
    </row>
    <row r="11" spans="1:17" ht="14.4" customHeight="1" x14ac:dyDescent="0.3">
      <c r="A11" s="335" t="s">
        <v>239</v>
      </c>
      <c r="B11" s="337" t="s">
        <v>232</v>
      </c>
      <c r="C11" s="337" t="s">
        <v>233</v>
      </c>
      <c r="D11" s="337" t="s">
        <v>236</v>
      </c>
      <c r="E11" s="337" t="s">
        <v>237</v>
      </c>
      <c r="F11" s="359">
        <v>11</v>
      </c>
      <c r="G11" s="359">
        <v>1815</v>
      </c>
      <c r="H11" s="359">
        <v>5.1271186440677967</v>
      </c>
      <c r="I11" s="359">
        <v>165</v>
      </c>
      <c r="J11" s="359">
        <v>2</v>
      </c>
      <c r="K11" s="359">
        <v>354</v>
      </c>
      <c r="L11" s="359">
        <v>1</v>
      </c>
      <c r="M11" s="359">
        <v>177</v>
      </c>
      <c r="N11" s="359">
        <v>4</v>
      </c>
      <c r="O11" s="359">
        <v>708</v>
      </c>
      <c r="P11" s="338">
        <v>2</v>
      </c>
      <c r="Q11" s="360">
        <v>177</v>
      </c>
    </row>
    <row r="12" spans="1:17" ht="14.4" customHeight="1" x14ac:dyDescent="0.3">
      <c r="A12" s="335" t="s">
        <v>240</v>
      </c>
      <c r="B12" s="337" t="s">
        <v>232</v>
      </c>
      <c r="C12" s="337" t="s">
        <v>233</v>
      </c>
      <c r="D12" s="337" t="s">
        <v>234</v>
      </c>
      <c r="E12" s="337" t="s">
        <v>235</v>
      </c>
      <c r="F12" s="359">
        <v>1</v>
      </c>
      <c r="G12" s="359">
        <v>331</v>
      </c>
      <c r="H12" s="359"/>
      <c r="I12" s="359">
        <v>331</v>
      </c>
      <c r="J12" s="359"/>
      <c r="K12" s="359"/>
      <c r="L12" s="359"/>
      <c r="M12" s="359"/>
      <c r="N12" s="359"/>
      <c r="O12" s="359"/>
      <c r="P12" s="338"/>
      <c r="Q12" s="360"/>
    </row>
    <row r="13" spans="1:17" ht="14.4" customHeight="1" x14ac:dyDescent="0.3">
      <c r="A13" s="335" t="s">
        <v>240</v>
      </c>
      <c r="B13" s="337" t="s">
        <v>232</v>
      </c>
      <c r="C13" s="337" t="s">
        <v>233</v>
      </c>
      <c r="D13" s="337" t="s">
        <v>236</v>
      </c>
      <c r="E13" s="337" t="s">
        <v>237</v>
      </c>
      <c r="F13" s="359">
        <v>1</v>
      </c>
      <c r="G13" s="359">
        <v>165</v>
      </c>
      <c r="H13" s="359"/>
      <c r="I13" s="359">
        <v>165</v>
      </c>
      <c r="J13" s="359"/>
      <c r="K13" s="359"/>
      <c r="L13" s="359"/>
      <c r="M13" s="359"/>
      <c r="N13" s="359"/>
      <c r="O13" s="359"/>
      <c r="P13" s="338"/>
      <c r="Q13" s="360"/>
    </row>
    <row r="14" spans="1:17" ht="14.4" customHeight="1" x14ac:dyDescent="0.3">
      <c r="A14" s="335" t="s">
        <v>241</v>
      </c>
      <c r="B14" s="337" t="s">
        <v>232</v>
      </c>
      <c r="C14" s="337" t="s">
        <v>233</v>
      </c>
      <c r="D14" s="337" t="s">
        <v>234</v>
      </c>
      <c r="E14" s="337" t="s">
        <v>235</v>
      </c>
      <c r="F14" s="359">
        <v>4</v>
      </c>
      <c r="G14" s="359">
        <v>1324</v>
      </c>
      <c r="H14" s="359">
        <v>0.4675141242937853</v>
      </c>
      <c r="I14" s="359">
        <v>331</v>
      </c>
      <c r="J14" s="359">
        <v>8</v>
      </c>
      <c r="K14" s="359">
        <v>2832</v>
      </c>
      <c r="L14" s="359">
        <v>1</v>
      </c>
      <c r="M14" s="359">
        <v>354</v>
      </c>
      <c r="N14" s="359">
        <v>9</v>
      </c>
      <c r="O14" s="359">
        <v>3195</v>
      </c>
      <c r="P14" s="338">
        <v>1.1281779661016949</v>
      </c>
      <c r="Q14" s="360">
        <v>355</v>
      </c>
    </row>
    <row r="15" spans="1:17" ht="14.4" customHeight="1" x14ac:dyDescent="0.3">
      <c r="A15" s="335" t="s">
        <v>241</v>
      </c>
      <c r="B15" s="337" t="s">
        <v>232</v>
      </c>
      <c r="C15" s="337" t="s">
        <v>233</v>
      </c>
      <c r="D15" s="337" t="s">
        <v>236</v>
      </c>
      <c r="E15" s="337" t="s">
        <v>237</v>
      </c>
      <c r="F15" s="359">
        <v>2</v>
      </c>
      <c r="G15" s="359">
        <v>330</v>
      </c>
      <c r="H15" s="359">
        <v>0.93220338983050843</v>
      </c>
      <c r="I15" s="359">
        <v>165</v>
      </c>
      <c r="J15" s="359">
        <v>2</v>
      </c>
      <c r="K15" s="359">
        <v>354</v>
      </c>
      <c r="L15" s="359">
        <v>1</v>
      </c>
      <c r="M15" s="359">
        <v>177</v>
      </c>
      <c r="N15" s="359">
        <v>4</v>
      </c>
      <c r="O15" s="359">
        <v>708</v>
      </c>
      <c r="P15" s="338">
        <v>2</v>
      </c>
      <c r="Q15" s="360">
        <v>177</v>
      </c>
    </row>
    <row r="16" spans="1:17" ht="14.4" customHeight="1" x14ac:dyDescent="0.3">
      <c r="A16" s="335" t="s">
        <v>242</v>
      </c>
      <c r="B16" s="337" t="s">
        <v>232</v>
      </c>
      <c r="C16" s="337" t="s">
        <v>233</v>
      </c>
      <c r="D16" s="337" t="s">
        <v>234</v>
      </c>
      <c r="E16" s="337" t="s">
        <v>235</v>
      </c>
      <c r="F16" s="359"/>
      <c r="G16" s="359"/>
      <c r="H16" s="359"/>
      <c r="I16" s="359"/>
      <c r="J16" s="359">
        <v>1</v>
      </c>
      <c r="K16" s="359">
        <v>354</v>
      </c>
      <c r="L16" s="359">
        <v>1</v>
      </c>
      <c r="M16" s="359">
        <v>354</v>
      </c>
      <c r="N16" s="359"/>
      <c r="O16" s="359"/>
      <c r="P16" s="338"/>
      <c r="Q16" s="360"/>
    </row>
    <row r="17" spans="1:17" ht="14.4" customHeight="1" x14ac:dyDescent="0.3">
      <c r="A17" s="335" t="s">
        <v>243</v>
      </c>
      <c r="B17" s="337" t="s">
        <v>232</v>
      </c>
      <c r="C17" s="337" t="s">
        <v>233</v>
      </c>
      <c r="D17" s="337" t="s">
        <v>234</v>
      </c>
      <c r="E17" s="337" t="s">
        <v>235</v>
      </c>
      <c r="F17" s="359">
        <v>4</v>
      </c>
      <c r="G17" s="359">
        <v>1324</v>
      </c>
      <c r="H17" s="359">
        <v>0.4675141242937853</v>
      </c>
      <c r="I17" s="359">
        <v>331</v>
      </c>
      <c r="J17" s="359">
        <v>8</v>
      </c>
      <c r="K17" s="359">
        <v>2832</v>
      </c>
      <c r="L17" s="359">
        <v>1</v>
      </c>
      <c r="M17" s="359">
        <v>354</v>
      </c>
      <c r="N17" s="359">
        <v>6</v>
      </c>
      <c r="O17" s="359">
        <v>2130</v>
      </c>
      <c r="P17" s="338">
        <v>0.7521186440677966</v>
      </c>
      <c r="Q17" s="360">
        <v>355</v>
      </c>
    </row>
    <row r="18" spans="1:17" ht="14.4" customHeight="1" x14ac:dyDescent="0.3">
      <c r="A18" s="335" t="s">
        <v>243</v>
      </c>
      <c r="B18" s="337" t="s">
        <v>232</v>
      </c>
      <c r="C18" s="337" t="s">
        <v>233</v>
      </c>
      <c r="D18" s="337" t="s">
        <v>236</v>
      </c>
      <c r="E18" s="337" t="s">
        <v>237</v>
      </c>
      <c r="F18" s="359">
        <v>1</v>
      </c>
      <c r="G18" s="359">
        <v>165</v>
      </c>
      <c r="H18" s="359">
        <v>0.23305084745762711</v>
      </c>
      <c r="I18" s="359">
        <v>165</v>
      </c>
      <c r="J18" s="359">
        <v>4</v>
      </c>
      <c r="K18" s="359">
        <v>708</v>
      </c>
      <c r="L18" s="359">
        <v>1</v>
      </c>
      <c r="M18" s="359">
        <v>177</v>
      </c>
      <c r="N18" s="359">
        <v>4</v>
      </c>
      <c r="O18" s="359">
        <v>708</v>
      </c>
      <c r="P18" s="338">
        <v>1</v>
      </c>
      <c r="Q18" s="360">
        <v>177</v>
      </c>
    </row>
    <row r="19" spans="1:17" ht="14.4" customHeight="1" x14ac:dyDescent="0.3">
      <c r="A19" s="335" t="s">
        <v>244</v>
      </c>
      <c r="B19" s="337" t="s">
        <v>232</v>
      </c>
      <c r="C19" s="337" t="s">
        <v>233</v>
      </c>
      <c r="D19" s="337" t="s">
        <v>234</v>
      </c>
      <c r="E19" s="337" t="s">
        <v>235</v>
      </c>
      <c r="F19" s="359"/>
      <c r="G19" s="359"/>
      <c r="H19" s="359"/>
      <c r="I19" s="359"/>
      <c r="J19" s="359"/>
      <c r="K19" s="359"/>
      <c r="L19" s="359"/>
      <c r="M19" s="359"/>
      <c r="N19" s="359">
        <v>2</v>
      </c>
      <c r="O19" s="359">
        <v>710</v>
      </c>
      <c r="P19" s="338"/>
      <c r="Q19" s="360">
        <v>355</v>
      </c>
    </row>
    <row r="20" spans="1:17" ht="14.4" customHeight="1" x14ac:dyDescent="0.3">
      <c r="A20" s="335" t="s">
        <v>244</v>
      </c>
      <c r="B20" s="337" t="s">
        <v>232</v>
      </c>
      <c r="C20" s="337" t="s">
        <v>233</v>
      </c>
      <c r="D20" s="337" t="s">
        <v>236</v>
      </c>
      <c r="E20" s="337" t="s">
        <v>237</v>
      </c>
      <c r="F20" s="359"/>
      <c r="G20" s="359"/>
      <c r="H20" s="359"/>
      <c r="I20" s="359"/>
      <c r="J20" s="359"/>
      <c r="K20" s="359"/>
      <c r="L20" s="359"/>
      <c r="M20" s="359"/>
      <c r="N20" s="359">
        <v>1</v>
      </c>
      <c r="O20" s="359">
        <v>177</v>
      </c>
      <c r="P20" s="338"/>
      <c r="Q20" s="360">
        <v>177</v>
      </c>
    </row>
    <row r="21" spans="1:17" ht="14.4" customHeight="1" x14ac:dyDescent="0.3">
      <c r="A21" s="335" t="s">
        <v>245</v>
      </c>
      <c r="B21" s="337" t="s">
        <v>232</v>
      </c>
      <c r="C21" s="337" t="s">
        <v>233</v>
      </c>
      <c r="D21" s="337" t="s">
        <v>234</v>
      </c>
      <c r="E21" s="337" t="s">
        <v>235</v>
      </c>
      <c r="F21" s="359">
        <v>2</v>
      </c>
      <c r="G21" s="359">
        <v>662</v>
      </c>
      <c r="H21" s="359">
        <v>0.37401129943502825</v>
      </c>
      <c r="I21" s="359">
        <v>331</v>
      </c>
      <c r="J21" s="359">
        <v>5</v>
      </c>
      <c r="K21" s="359">
        <v>1770</v>
      </c>
      <c r="L21" s="359">
        <v>1</v>
      </c>
      <c r="M21" s="359">
        <v>354</v>
      </c>
      <c r="N21" s="359"/>
      <c r="O21" s="359"/>
      <c r="P21" s="338"/>
      <c r="Q21" s="360"/>
    </row>
    <row r="22" spans="1:17" ht="14.4" customHeight="1" x14ac:dyDescent="0.3">
      <c r="A22" s="335" t="s">
        <v>246</v>
      </c>
      <c r="B22" s="337" t="s">
        <v>232</v>
      </c>
      <c r="C22" s="337" t="s">
        <v>233</v>
      </c>
      <c r="D22" s="337" t="s">
        <v>234</v>
      </c>
      <c r="E22" s="337" t="s">
        <v>235</v>
      </c>
      <c r="F22" s="359"/>
      <c r="G22" s="359"/>
      <c r="H22" s="359"/>
      <c r="I22" s="359"/>
      <c r="J22" s="359"/>
      <c r="K22" s="359"/>
      <c r="L22" s="359"/>
      <c r="M22" s="359"/>
      <c r="N22" s="359">
        <v>7</v>
      </c>
      <c r="O22" s="359">
        <v>2485</v>
      </c>
      <c r="P22" s="338"/>
      <c r="Q22" s="360">
        <v>355</v>
      </c>
    </row>
    <row r="23" spans="1:17" ht="14.4" customHeight="1" x14ac:dyDescent="0.3">
      <c r="A23" s="335" t="s">
        <v>246</v>
      </c>
      <c r="B23" s="337" t="s">
        <v>232</v>
      </c>
      <c r="C23" s="337" t="s">
        <v>233</v>
      </c>
      <c r="D23" s="337" t="s">
        <v>236</v>
      </c>
      <c r="E23" s="337" t="s">
        <v>237</v>
      </c>
      <c r="F23" s="359"/>
      <c r="G23" s="359"/>
      <c r="H23" s="359"/>
      <c r="I23" s="359"/>
      <c r="J23" s="359"/>
      <c r="K23" s="359"/>
      <c r="L23" s="359"/>
      <c r="M23" s="359"/>
      <c r="N23" s="359">
        <v>4</v>
      </c>
      <c r="O23" s="359">
        <v>708</v>
      </c>
      <c r="P23" s="338"/>
      <c r="Q23" s="360">
        <v>177</v>
      </c>
    </row>
    <row r="24" spans="1:17" ht="14.4" customHeight="1" x14ac:dyDescent="0.3">
      <c r="A24" s="335" t="s">
        <v>247</v>
      </c>
      <c r="B24" s="337" t="s">
        <v>232</v>
      </c>
      <c r="C24" s="337" t="s">
        <v>233</v>
      </c>
      <c r="D24" s="337" t="s">
        <v>234</v>
      </c>
      <c r="E24" s="337" t="s">
        <v>235</v>
      </c>
      <c r="F24" s="359">
        <v>1</v>
      </c>
      <c r="G24" s="359">
        <v>331</v>
      </c>
      <c r="H24" s="359">
        <v>0.93502824858757061</v>
      </c>
      <c r="I24" s="359">
        <v>331</v>
      </c>
      <c r="J24" s="359">
        <v>1</v>
      </c>
      <c r="K24" s="359">
        <v>354</v>
      </c>
      <c r="L24" s="359">
        <v>1</v>
      </c>
      <c r="M24" s="359">
        <v>354</v>
      </c>
      <c r="N24" s="359">
        <v>2</v>
      </c>
      <c r="O24" s="359">
        <v>710</v>
      </c>
      <c r="P24" s="338">
        <v>2.0056497175141241</v>
      </c>
      <c r="Q24" s="360">
        <v>355</v>
      </c>
    </row>
    <row r="25" spans="1:17" ht="14.4" customHeight="1" x14ac:dyDescent="0.3">
      <c r="A25" s="335" t="s">
        <v>248</v>
      </c>
      <c r="B25" s="337" t="s">
        <v>232</v>
      </c>
      <c r="C25" s="337" t="s">
        <v>233</v>
      </c>
      <c r="D25" s="337" t="s">
        <v>234</v>
      </c>
      <c r="E25" s="337" t="s">
        <v>235</v>
      </c>
      <c r="F25" s="359"/>
      <c r="G25" s="359"/>
      <c r="H25" s="359"/>
      <c r="I25" s="359"/>
      <c r="J25" s="359">
        <v>1</v>
      </c>
      <c r="K25" s="359">
        <v>354</v>
      </c>
      <c r="L25" s="359">
        <v>1</v>
      </c>
      <c r="M25" s="359">
        <v>354</v>
      </c>
      <c r="N25" s="359">
        <v>1</v>
      </c>
      <c r="O25" s="359">
        <v>355</v>
      </c>
      <c r="P25" s="338">
        <v>1.0028248587570621</v>
      </c>
      <c r="Q25" s="360">
        <v>355</v>
      </c>
    </row>
    <row r="26" spans="1:17" ht="14.4" customHeight="1" x14ac:dyDescent="0.3">
      <c r="A26" s="335" t="s">
        <v>248</v>
      </c>
      <c r="B26" s="337" t="s">
        <v>232</v>
      </c>
      <c r="C26" s="337" t="s">
        <v>233</v>
      </c>
      <c r="D26" s="337" t="s">
        <v>236</v>
      </c>
      <c r="E26" s="337" t="s">
        <v>237</v>
      </c>
      <c r="F26" s="359"/>
      <c r="G26" s="359"/>
      <c r="H26" s="359"/>
      <c r="I26" s="359"/>
      <c r="J26" s="359"/>
      <c r="K26" s="359"/>
      <c r="L26" s="359"/>
      <c r="M26" s="359"/>
      <c r="N26" s="359">
        <v>1</v>
      </c>
      <c r="O26" s="359">
        <v>177</v>
      </c>
      <c r="P26" s="338"/>
      <c r="Q26" s="360">
        <v>177</v>
      </c>
    </row>
    <row r="27" spans="1:17" ht="14.4" customHeight="1" x14ac:dyDescent="0.3">
      <c r="A27" s="335" t="s">
        <v>249</v>
      </c>
      <c r="B27" s="337" t="s">
        <v>232</v>
      </c>
      <c r="C27" s="337" t="s">
        <v>233</v>
      </c>
      <c r="D27" s="337" t="s">
        <v>234</v>
      </c>
      <c r="E27" s="337" t="s">
        <v>235</v>
      </c>
      <c r="F27" s="359">
        <v>5</v>
      </c>
      <c r="G27" s="359">
        <v>1655</v>
      </c>
      <c r="H27" s="359">
        <v>1.1687853107344632</v>
      </c>
      <c r="I27" s="359">
        <v>331</v>
      </c>
      <c r="J27" s="359">
        <v>4</v>
      </c>
      <c r="K27" s="359">
        <v>1416</v>
      </c>
      <c r="L27" s="359">
        <v>1</v>
      </c>
      <c r="M27" s="359">
        <v>354</v>
      </c>
      <c r="N27" s="359">
        <v>9</v>
      </c>
      <c r="O27" s="359">
        <v>3195</v>
      </c>
      <c r="P27" s="338">
        <v>2.2563559322033897</v>
      </c>
      <c r="Q27" s="360">
        <v>355</v>
      </c>
    </row>
    <row r="28" spans="1:17" ht="14.4" customHeight="1" x14ac:dyDescent="0.3">
      <c r="A28" s="335" t="s">
        <v>249</v>
      </c>
      <c r="B28" s="337" t="s">
        <v>232</v>
      </c>
      <c r="C28" s="337" t="s">
        <v>233</v>
      </c>
      <c r="D28" s="337" t="s">
        <v>236</v>
      </c>
      <c r="E28" s="337" t="s">
        <v>237</v>
      </c>
      <c r="F28" s="359">
        <v>1</v>
      </c>
      <c r="G28" s="359">
        <v>165</v>
      </c>
      <c r="H28" s="359"/>
      <c r="I28" s="359">
        <v>165</v>
      </c>
      <c r="J28" s="359"/>
      <c r="K28" s="359"/>
      <c r="L28" s="359"/>
      <c r="M28" s="359"/>
      <c r="N28" s="359">
        <v>4</v>
      </c>
      <c r="O28" s="359">
        <v>708</v>
      </c>
      <c r="P28" s="338"/>
      <c r="Q28" s="360">
        <v>177</v>
      </c>
    </row>
    <row r="29" spans="1:17" ht="14.4" customHeight="1" x14ac:dyDescent="0.3">
      <c r="A29" s="335" t="s">
        <v>250</v>
      </c>
      <c r="B29" s="337" t="s">
        <v>232</v>
      </c>
      <c r="C29" s="337" t="s">
        <v>233</v>
      </c>
      <c r="D29" s="337" t="s">
        <v>236</v>
      </c>
      <c r="E29" s="337" t="s">
        <v>237</v>
      </c>
      <c r="F29" s="359"/>
      <c r="G29" s="359"/>
      <c r="H29" s="359"/>
      <c r="I29" s="359"/>
      <c r="J29" s="359"/>
      <c r="K29" s="359"/>
      <c r="L29" s="359"/>
      <c r="M29" s="359"/>
      <c r="N29" s="359">
        <v>1</v>
      </c>
      <c r="O29" s="359">
        <v>177</v>
      </c>
      <c r="P29" s="338"/>
      <c r="Q29" s="360">
        <v>177</v>
      </c>
    </row>
    <row r="30" spans="1:17" ht="14.4" customHeight="1" x14ac:dyDescent="0.3">
      <c r="A30" s="335" t="s">
        <v>251</v>
      </c>
      <c r="B30" s="337" t="s">
        <v>232</v>
      </c>
      <c r="C30" s="337" t="s">
        <v>233</v>
      </c>
      <c r="D30" s="337" t="s">
        <v>234</v>
      </c>
      <c r="E30" s="337" t="s">
        <v>235</v>
      </c>
      <c r="F30" s="359"/>
      <c r="G30" s="359"/>
      <c r="H30" s="359"/>
      <c r="I30" s="359"/>
      <c r="J30" s="359"/>
      <c r="K30" s="359"/>
      <c r="L30" s="359"/>
      <c r="M30" s="359"/>
      <c r="N30" s="359">
        <v>2</v>
      </c>
      <c r="O30" s="359">
        <v>710</v>
      </c>
      <c r="P30" s="338"/>
      <c r="Q30" s="360">
        <v>355</v>
      </c>
    </row>
    <row r="31" spans="1:17" ht="14.4" customHeight="1" x14ac:dyDescent="0.3">
      <c r="A31" s="335" t="s">
        <v>252</v>
      </c>
      <c r="B31" s="337" t="s">
        <v>232</v>
      </c>
      <c r="C31" s="337" t="s">
        <v>233</v>
      </c>
      <c r="D31" s="337" t="s">
        <v>234</v>
      </c>
      <c r="E31" s="337" t="s">
        <v>235</v>
      </c>
      <c r="F31" s="359"/>
      <c r="G31" s="359"/>
      <c r="H31" s="359"/>
      <c r="I31" s="359"/>
      <c r="J31" s="359">
        <v>1</v>
      </c>
      <c r="K31" s="359">
        <v>354</v>
      </c>
      <c r="L31" s="359">
        <v>1</v>
      </c>
      <c r="M31" s="359">
        <v>354</v>
      </c>
      <c r="N31" s="359"/>
      <c r="O31" s="359"/>
      <c r="P31" s="338"/>
      <c r="Q31" s="360"/>
    </row>
    <row r="32" spans="1:17" ht="14.4" customHeight="1" x14ac:dyDescent="0.3">
      <c r="A32" s="335" t="s">
        <v>252</v>
      </c>
      <c r="B32" s="337" t="s">
        <v>232</v>
      </c>
      <c r="C32" s="337" t="s">
        <v>233</v>
      </c>
      <c r="D32" s="337" t="s">
        <v>236</v>
      </c>
      <c r="E32" s="337" t="s">
        <v>237</v>
      </c>
      <c r="F32" s="359"/>
      <c r="G32" s="359"/>
      <c r="H32" s="359"/>
      <c r="I32" s="359"/>
      <c r="J32" s="359">
        <v>1</v>
      </c>
      <c r="K32" s="359">
        <v>177</v>
      </c>
      <c r="L32" s="359">
        <v>1</v>
      </c>
      <c r="M32" s="359">
        <v>177</v>
      </c>
      <c r="N32" s="359">
        <v>2</v>
      </c>
      <c r="O32" s="359">
        <v>354</v>
      </c>
      <c r="P32" s="338">
        <v>2</v>
      </c>
      <c r="Q32" s="360">
        <v>177</v>
      </c>
    </row>
    <row r="33" spans="1:17" ht="14.4" customHeight="1" x14ac:dyDescent="0.3">
      <c r="A33" s="335" t="s">
        <v>253</v>
      </c>
      <c r="B33" s="337" t="s">
        <v>232</v>
      </c>
      <c r="C33" s="337" t="s">
        <v>233</v>
      </c>
      <c r="D33" s="337" t="s">
        <v>234</v>
      </c>
      <c r="E33" s="337" t="s">
        <v>235</v>
      </c>
      <c r="F33" s="359"/>
      <c r="G33" s="359"/>
      <c r="H33" s="359"/>
      <c r="I33" s="359"/>
      <c r="J33" s="359">
        <v>1</v>
      </c>
      <c r="K33" s="359">
        <v>354</v>
      </c>
      <c r="L33" s="359">
        <v>1</v>
      </c>
      <c r="M33" s="359">
        <v>354</v>
      </c>
      <c r="N33" s="359"/>
      <c r="O33" s="359"/>
      <c r="P33" s="338"/>
      <c r="Q33" s="360"/>
    </row>
    <row r="34" spans="1:17" ht="14.4" customHeight="1" thickBot="1" x14ac:dyDescent="0.35">
      <c r="A34" s="340" t="s">
        <v>253</v>
      </c>
      <c r="B34" s="342" t="s">
        <v>232</v>
      </c>
      <c r="C34" s="342" t="s">
        <v>233</v>
      </c>
      <c r="D34" s="342" t="s">
        <v>236</v>
      </c>
      <c r="E34" s="342" t="s">
        <v>237</v>
      </c>
      <c r="F34" s="361">
        <v>1</v>
      </c>
      <c r="G34" s="361">
        <v>165</v>
      </c>
      <c r="H34" s="361">
        <v>0.93220338983050843</v>
      </c>
      <c r="I34" s="361">
        <v>165</v>
      </c>
      <c r="J34" s="361">
        <v>1</v>
      </c>
      <c r="K34" s="361">
        <v>177</v>
      </c>
      <c r="L34" s="361">
        <v>1</v>
      </c>
      <c r="M34" s="361">
        <v>177</v>
      </c>
      <c r="N34" s="361"/>
      <c r="O34" s="361"/>
      <c r="P34" s="343"/>
      <c r="Q34" s="36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Osobní náklady</vt:lpstr>
      <vt:lpstr>ON Data</vt:lpstr>
      <vt:lpstr>ZV Vykáz.-H</vt:lpstr>
      <vt:lpstr>ZV Vykáz.-H Detail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2017-07-25T12:06:54Z</dcterms:modified>
</cp:coreProperties>
</file>