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H9" i="431"/>
  <c r="I9" i="431"/>
  <c r="K9" i="431"/>
  <c r="M13" i="431"/>
  <c r="P13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D16" i="431"/>
  <c r="F16" i="431"/>
  <c r="H12" i="431"/>
  <c r="I12" i="431"/>
  <c r="J16" i="431"/>
  <c r="L12" i="431"/>
  <c r="M16" i="431"/>
  <c r="O12" i="431"/>
  <c r="P16" i="431"/>
  <c r="H13" i="431"/>
  <c r="J13" i="431"/>
  <c r="L9" i="431"/>
  <c r="N9" i="431"/>
  <c r="P9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C16" i="431"/>
  <c r="F12" i="431"/>
  <c r="G16" i="431"/>
  <c r="I16" i="431"/>
  <c r="K12" i="431"/>
  <c r="L16" i="431"/>
  <c r="N12" i="431"/>
  <c r="O16" i="431"/>
  <c r="Q12" i="431"/>
  <c r="G9" i="431"/>
  <c r="I13" i="431"/>
  <c r="K13" i="431"/>
  <c r="M9" i="431"/>
  <c r="O9" i="431"/>
  <c r="Q9" i="431"/>
  <c r="C12" i="431"/>
  <c r="D12" i="431"/>
  <c r="E12" i="431"/>
  <c r="E16" i="431"/>
  <c r="G12" i="431"/>
  <c r="H16" i="431"/>
  <c r="J12" i="431"/>
  <c r="K16" i="431"/>
  <c r="M12" i="431"/>
  <c r="N16" i="431"/>
  <c r="P12" i="431"/>
  <c r="Q16" i="431"/>
  <c r="G13" i="431"/>
  <c r="J9" i="431"/>
  <c r="L13" i="431"/>
  <c r="N13" i="431"/>
  <c r="O13" i="431"/>
  <c r="Q13" i="431"/>
  <c r="O8" i="431"/>
  <c r="J8" i="431"/>
  <c r="G8" i="431"/>
  <c r="P8" i="431"/>
  <c r="I8" i="431"/>
  <c r="E8" i="431"/>
  <c r="F8" i="431"/>
  <c r="M8" i="431"/>
  <c r="K8" i="431"/>
  <c r="D8" i="431"/>
  <c r="N8" i="431"/>
  <c r="Q8" i="431"/>
  <c r="C8" i="431"/>
  <c r="L8" i="431"/>
  <c r="H8" i="431"/>
  <c r="R13" i="431" l="1"/>
  <c r="S13" i="431"/>
  <c r="S16" i="431"/>
  <c r="R16" i="431"/>
  <c r="R9" i="431"/>
  <c r="S9" i="431"/>
  <c r="R12" i="431"/>
  <c r="S12" i="431"/>
  <c r="R15" i="431"/>
  <c r="S15" i="431"/>
  <c r="R11" i="431"/>
  <c r="S11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T3" i="347"/>
  <c r="R3" i="347"/>
  <c r="P3" i="347"/>
  <c r="O3" i="347"/>
  <c r="N3" i="347"/>
  <c r="M3" i="347"/>
  <c r="C21" i="414"/>
  <c r="D21" i="414"/>
  <c r="R3" i="345" l="1"/>
  <c r="Q3" i="347"/>
  <c r="S3" i="347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<sst xmlns="http://schemas.openxmlformats.org/spreadsheetml/2006/main" count="999" uniqueCount="398">
  <si>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</si>
  <si>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</si>
  <si>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</si>
  <si>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</si>
  <si>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</si>
  <si>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</si>
  <si>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</si>
  <si>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</si>
  <si>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</si>
  <si>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</si>
  <si>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</si>
  <si>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</si>
  <si>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</si>
  <si>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</si>
  <si>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</si>
  <si>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</si>
  <si>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</si>
  <si>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</si>
  <si>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</si>
  <si>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</si>
  <si>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</si>
  <si>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</si>
  <si>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</si>
  <si>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</si>
  <si>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</si>
  <si>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</si>
  <si>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</si>
  <si>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</si>
  <si>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</si>
  <si>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</si>
  <si>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</si>
  <si>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</si>
  <si>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</si>
  <si>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</si>
  <si>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</si>
  <si>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</si>
  <si>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</si>
  <si>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</si>
  <si>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</si>
  <si>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</si>
  <si>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</si>
  <si>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</si>
  <si>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</si>
  <si>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</si>
  <si>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</si>
  <si>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</si>
  <si>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</si>
  <si>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</si>
  <si>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</si>
  <si>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</si>
  <si>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</si>
  <si>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</si>
  <si>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</si>
  <si>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</si>
  <si>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</si>
  <si>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</si>
  <si>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</si>
  <si>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</si>
  <si>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</si>
  <si>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</si>
  <si>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</si>
  <si>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</si>
  <si>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</si>
  <si>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</si>
  <si>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</si>
  <si>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</si>
  <si>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</si>
  <si>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</si>
  <si>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</si>
  <si>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</si>
  <si>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</si>
  <si>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</si>
  <si>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</si>
  <si>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</si>
  <si>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</si>
  <si>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</si>
  <si>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</si>
  <si>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</si>
  <si>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</si>
  <si>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</si>
  <si>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</si>
  <si>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</si>
  <si>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</si>
  <si>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</si>
  <si>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</si>
  <si>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</si>
  <si>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</si>
  <si>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</si>
  <si>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</si>
  <si>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</si>
  <si>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</si>
  <si>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</si>
  <si>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</si>
  <si>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</si>
  <si>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</si>
  <si>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</si>
  <si>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</si>
  <si>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</si>
  <si>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</si>
  <si>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</si>
  <si>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</si>
  <si>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</si>
  <si>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</si>
  <si>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</si>
  <si>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</si>
  <si>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</si>
  <si>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</si>
  <si>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</si>
  <si>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</si>
  <si>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</si>
  <si>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</si>
  <si>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</si>
  <si>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</si>
  <si>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</si>
  <si>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</si>
  <si>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</si>
  <si>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</si>
  <si>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</si>
  <si>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</si>
  <si>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</si>
  <si>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</si>
  <si>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</si>
  <si>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</si>
  <si>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</si>
  <si>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</si>
  <si>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</si>
  <si>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</si>
  <si>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</si>
  <si>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</si>
  <si>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</si>
  <si>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</si>
  <si>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</si>
  <si>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</si>
  <si>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</si>
  <si>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</si>
  <si>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</si>
  <si>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</si>
  <si>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</si>
  <si>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</si>
  <si>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</si>
  <si>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</si>
  <si>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</si>
  <si>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</si>
  <si>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</si>
  <si>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</si>
  <si>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</si>
  <si>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</si>
  <si>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</si>
  <si>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</si>
  <si>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</si>
  <si>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</si>
  <si>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</si>
  <si>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</si>
  <si>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</si>
  <si>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</si>
  <si>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</si>
  <si>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</si>
  <si>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</si>
  <si>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</si>
  <si>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</si>
  <si>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</si>
  <si>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</si>
  <si>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</si>
  <si>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</si>
  <si>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</si>
  <si>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</si>
  <si>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</si>
  <si>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</si>
  <si>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</si>
  <si>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</si>
  <si>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</si>
  <si>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</si>
  <si>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</si>
  <si>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</si>
  <si>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</si>
  <si>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</si>
  <si>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</si>
  <si>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</si>
  <si>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</si>
  <si>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</si>
  <si>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</si>
  <si>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</si>
  <si>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</si>
  <si>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</si>
  <si>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</si>
  <si>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</si>
  <si>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</si>
  <si>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</si>
  <si>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</si>
  <si>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</si>
  <si>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</si>
  <si>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</si>
  <si>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</si>
  <si>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</si>
  <si>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</si>
  <si>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</si>
  <si>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</si>
  <si>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</si>
  <si>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</si>
  <si>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</si>
  <si>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</si>
  <si>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</si>
  <si>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</si>
  <si>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</si>
  <si>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</si>
  <si>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</si>
  <si>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</si>
  <si>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</si>
  <si>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</si>
  <si>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</si>
  <si>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</si>
  <si>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</si>
  <si>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</si>
  <si>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</si>
  <si>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</si>
  <si>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</si>
  <si>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</si>
  <si>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</si>
  <si>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</si>
  <si>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</si>
  <si>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</si>
  <si>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</si>
  <si>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</si>
  <si>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</si>
  <si>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</si>
  <si>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</si>
  <si>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</si>
  <si>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</si>
  <si>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</si>
  <si>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</si>
  <si>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</si>
  <si>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</si>
  <si>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</si>
  <si>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</si>
  <si>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</si>
  <si>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</si>
  <si>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</si>
  <si>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</si>
  <si>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</si>
  <si>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</si>
  <si>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</si>
  <si>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</si>
  <si>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</si>
  <si>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</si>
  <si>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</si>
  <si>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</si>
  <si>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</si>
  <si>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</si>
  <si>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</si>
  <si>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</si>
  <si>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</si>
  <si>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</si>
  <si>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</si>
  <si>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</si>
  <si>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</si>
  <si>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</si>
  <si>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</si>
  <si>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</si>
  <si>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</si>
  <si>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</si>
  <si>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</si>
  <si>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</si>
  <si>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</si>
  <si>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</si>
  <si>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</si>
  <si>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</si>
  <si>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</si>
  <si>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</si>
  <si>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</si>
  <si>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</si>
  <si>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</si>
  <si>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</si>
  <si>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</si>
  <si>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</si>
  <si>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</si>
  <si>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</si>
  <si>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</si>
  <si>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</si>
  <si>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</si>
  <si>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</si>
  <si>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</si>
  <si>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</si>
  <si>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</si>
  <si>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</si>
  <si>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</si>
  <si>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</si>
  <si>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</si>
  <si>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</si>
  <si>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</si>
  <si>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</si>
  <si>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</si>
  <si>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</si>
  <si>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</si>
  <si>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</si>
  <si>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</si>
  <si>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</si>
  <si>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</si>
  <si>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</si>
  <si>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</si>
  <si>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</si>
  <si>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</si>
  <si>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/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</si>
  <si>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</si>
  <si>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</si>
  <si>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</si>
  <si>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</si>
  <si>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</si>
  <si>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</si>
  <si>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</si>
  <si>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</si>
  <si>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</si>
  <si>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</si>
  <si>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</si>
  <si>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MEFENOXALON</t>
  </si>
  <si>
    <t>85656</t>
  </si>
  <si>
    <t>DORSIFLEX</t>
  </si>
  <si>
    <t>200MG TBL NOB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</si>
  <si>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</si>
  <si>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</si>
  <si>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</si>
  <si>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</si>
  <si>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</si>
  <si>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</si>
  <si>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</si>
  <si>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</si>
  <si>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</si>
  <si>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</si>
  <si>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</si>
  <si>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</si>
  <si>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</si>
  <si>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</si>
  <si>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</si>
  <si>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</si>
  <si>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</si>
  <si>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</si>
  <si>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</si>
  <si>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</si>
  <si>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</si>
  <si>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</si>
  <si>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</si>
  <si>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</si>
  <si>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</si>
  <si>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</si>
  <si>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</si>
  <si>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</si>
  <si>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</si>
  <si>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</si>
  <si>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</si>
  <si>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</si>
  <si>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</si>
  <si>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</si>
  <si>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</si>
  <si>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</si>
  <si>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</si>
  <si>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</si>
  <si>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</si>
  <si>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</si>
  <si>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</si>
  <si>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</si>
  <si>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</si>
  <si>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</si>
  <si>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</si>
  <si>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</si>
  <si>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</si>
  <si>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</si>
  <si>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</si>
  <si>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</si>
  <si>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</si>
  <si>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</si>
  <si>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</si>
  <si>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</si>
  <si>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</si>
  <si>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</si>
  <si>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</si>
  <si>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</si>
  <si>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</si>
  <si>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 xml:space="preserve">KONTROLNÍ VYŠETŘENÍ KLINICKÝM FARMAKOLOGEM        </t>
  </si>
  <si>
    <t>02</t>
  </si>
  <si>
    <t>03</t>
  </si>
  <si>
    <t>99113</t>
  </si>
  <si>
    <t>FARMAKOLOGICKÉ ZHODNOCENÍ LÉČBY KLINICKÝM FARMAKOL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</si>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</sst>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1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83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3" xfId="0" quotePrefix="1" applyNumberFormat="1" applyFont="1" applyFill="1" applyBorder="1" applyAlignment="1">
      <alignment horizontal="center" vertical="center"/>
    </xf>
    <xf numFmtId="0" fontId="26" fillId="4" borderId="81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2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6" xfId="0" applyNumberFormat="1" applyFont="1" applyBorder="1" applyAlignment="1">
      <alignment horizontal="right" vertical="center"/>
    </xf>
    <xf numFmtId="173" fontId="40" fillId="0" borderId="96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3" fontId="40" fillId="0" borderId="96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4" fontId="40" fillId="0" borderId="99" xfId="0" applyNumberFormat="1" applyFont="1" applyBorder="1" applyAlignment="1">
      <alignment vertical="center"/>
    </xf>
    <xf numFmtId="174" fontId="40" fillId="0" borderId="96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2" xfId="0" applyNumberFormat="1" applyFont="1" applyBorder="1" applyAlignment="1">
      <alignment vertical="center"/>
    </xf>
    <xf numFmtId="0" fontId="33" fillId="0" borderId="97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79" xfId="0" applyNumberFormat="1" applyFont="1" applyBorder="1" applyAlignment="1">
      <alignment horizontal="right" vertical="center"/>
    </xf>
    <xf numFmtId="175" fontId="40" fillId="0" borderId="78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77" xfId="0" applyNumberFormat="1" applyFont="1" applyBorder="1" applyAlignment="1">
      <alignment vertical="center"/>
    </xf>
    <xf numFmtId="176" fontId="40" fillId="0" borderId="7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3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0" fontId="41" fillId="9" borderId="8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5" xfId="0" applyNumberFormat="1" applyFont="1" applyFill="1" applyBorder="1"/>
    <xf numFmtId="3" fontId="0" fillId="7" borderId="72" xfId="0" applyNumberFormat="1" applyFont="1" applyFill="1" applyBorder="1"/>
    <xf numFmtId="0" fontId="0" fillId="0" borderId="106" xfId="0" applyNumberFormat="1" applyFont="1" applyBorder="1"/>
    <xf numFmtId="3" fontId="0" fillId="0" borderId="107" xfId="0" applyNumberFormat="1" applyFont="1" applyBorder="1"/>
    <xf numFmtId="0" fontId="0" fillId="7" borderId="106" xfId="0" applyNumberFormat="1" applyFont="1" applyFill="1" applyBorder="1"/>
    <xf numFmtId="3" fontId="0" fillId="7" borderId="107" xfId="0" applyNumberFormat="1" applyFont="1" applyFill="1" applyBorder="1"/>
    <xf numFmtId="0" fontId="53" fillId="8" borderId="106" xfId="0" applyNumberFormat="1" applyFont="1" applyFill="1" applyBorder="1"/>
    <xf numFmtId="3" fontId="53" fillId="8" borderId="107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1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4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4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5" xfId="0" applyNumberFormat="1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 wrapText="1"/>
    </xf>
    <xf numFmtId="0" fontId="40" fillId="2" borderId="88" xfId="0" applyFont="1" applyFill="1" applyBorder="1" applyAlignment="1">
      <alignment horizontal="center" vertical="center" wrapText="1"/>
    </xf>
    <xf numFmtId="0" fontId="55" fillId="9" borderId="104" xfId="0" applyFont="1" applyFill="1" applyBorder="1" applyAlignment="1">
      <alignment horizontal="center"/>
    </xf>
    <xf numFmtId="0" fontId="55" fillId="9" borderId="103" xfId="0" applyFont="1" applyFill="1" applyBorder="1" applyAlignment="1">
      <alignment horizontal="center"/>
    </xf>
    <xf numFmtId="0" fontId="55" fillId="9" borderId="85" xfId="0" applyFont="1" applyFill="1" applyBorder="1" applyAlignment="1">
      <alignment horizontal="center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5" xfId="0" applyFont="1" applyFill="1" applyBorder="1" applyAlignment="1">
      <alignment horizontal="center" vertical="center" wrapText="1"/>
    </xf>
    <xf numFmtId="0" fontId="40" fillId="4" borderId="92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0" xfId="0" applyFont="1" applyFill="1" applyBorder="1" applyAlignment="1">
      <alignment horizontal="center"/>
    </xf>
    <xf numFmtId="0" fontId="59" fillId="2" borderId="8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5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5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55" fillId="4" borderId="93" xfId="0" applyFont="1" applyFill="1" applyBorder="1" applyAlignment="1">
      <alignment horizontal="center" vertical="center" wrapText="1"/>
    </xf>
    <xf numFmtId="0" fontId="55" fillId="4" borderId="101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4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168" fontId="55" fillId="2" borderId="101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89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2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09" xfId="0" applyNumberFormat="1" applyFont="1" applyFill="1" applyBorder="1" applyAlignment="1">
      <alignment horizontal="right" vertical="top"/>
    </xf>
    <xf numFmtId="3" fontId="34" fillId="10" borderId="110" xfId="0" applyNumberFormat="1" applyFont="1" applyFill="1" applyBorder="1" applyAlignment="1">
      <alignment horizontal="right" vertical="top"/>
    </xf>
    <xf numFmtId="177" fontId="34" fillId="10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10" borderId="112" xfId="0" applyNumberFormat="1" applyFont="1" applyFill="1" applyBorder="1" applyAlignment="1">
      <alignment horizontal="right" vertical="top"/>
    </xf>
    <xf numFmtId="3" fontId="36" fillId="10" borderId="114" xfId="0" applyNumberFormat="1" applyFont="1" applyFill="1" applyBorder="1" applyAlignment="1">
      <alignment horizontal="right" vertical="top"/>
    </xf>
    <xf numFmtId="3" fontId="36" fillId="10" borderId="115" xfId="0" applyNumberFormat="1" applyFont="1" applyFill="1" applyBorder="1" applyAlignment="1">
      <alignment horizontal="right" vertical="top"/>
    </xf>
    <xf numFmtId="177" fontId="36" fillId="10" borderId="116" xfId="0" applyNumberFormat="1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177" fontId="36" fillId="10" borderId="117" xfId="0" applyNumberFormat="1" applyFont="1" applyFill="1" applyBorder="1" applyAlignment="1">
      <alignment horizontal="right" vertical="top"/>
    </xf>
    <xf numFmtId="0" fontId="36" fillId="10" borderId="116" xfId="0" applyFont="1" applyFill="1" applyBorder="1" applyAlignment="1">
      <alignment horizontal="right" vertical="top"/>
    </xf>
    <xf numFmtId="0" fontId="34" fillId="10" borderId="111" xfId="0" applyFont="1" applyFill="1" applyBorder="1" applyAlignment="1">
      <alignment horizontal="right" vertical="top"/>
    </xf>
    <xf numFmtId="0" fontId="36" fillId="10" borderId="117" xfId="0" applyFont="1" applyFill="1" applyBorder="1" applyAlignment="1">
      <alignment horizontal="right" vertical="top"/>
    </xf>
    <xf numFmtId="0" fontId="34" fillId="10" borderId="112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1" xfId="0" applyNumberFormat="1" applyFont="1" applyFill="1" applyBorder="1" applyAlignment="1">
      <alignment horizontal="right" vertical="top"/>
    </xf>
    <xf numFmtId="0" fontId="38" fillId="11" borderId="108" xfId="0" applyFont="1" applyFill="1" applyBorder="1" applyAlignment="1">
      <alignment vertical="top"/>
    </xf>
    <xf numFmtId="0" fontId="38" fillId="11" borderId="108" xfId="0" applyFont="1" applyFill="1" applyBorder="1" applyAlignment="1">
      <alignment vertical="top" indent="2"/>
    </xf>
    <xf numFmtId="0" fontId="38" fillId="11" borderId="108" xfId="0" applyFont="1" applyFill="1" applyBorder="1" applyAlignment="1">
      <alignment vertical="top" indent="4"/>
    </xf>
    <xf numFmtId="0" fontId="39" fillId="11" borderId="113" xfId="0" applyFont="1" applyFill="1" applyBorder="1" applyAlignment="1">
      <alignment vertical="top" indent="6"/>
    </xf>
    <xf numFmtId="0" fontId="38" fillId="11" borderId="108" xfId="0" applyFont="1" applyFill="1" applyBorder="1" applyAlignment="1">
      <alignment vertical="top" indent="8"/>
    </xf>
    <xf numFmtId="0" fontId="39" fillId="11" borderId="113" xfId="0" applyFont="1" applyFill="1" applyBorder="1" applyAlignment="1">
      <alignment vertical="top" indent="2"/>
    </xf>
    <xf numFmtId="0" fontId="38" fillId="11" borderId="108" xfId="0" applyFont="1" applyFill="1" applyBorder="1" applyAlignment="1">
      <alignment vertical="top" indent="6"/>
    </xf>
    <xf numFmtId="0" fontId="39" fillId="11" borderId="113" xfId="0" applyFont="1" applyFill="1" applyBorder="1" applyAlignment="1">
      <alignment vertical="top" indent="4"/>
    </xf>
    <xf numFmtId="0" fontId="33" fillId="11" borderId="108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98" xfId="79" applyFont="1" applyFill="1" applyBorder="1" applyAlignment="1">
      <alignment horizontal="left"/>
    </xf>
    <xf numFmtId="0" fontId="33" fillId="0" borderId="122" xfId="0" applyFont="1" applyFill="1" applyBorder="1"/>
    <xf numFmtId="0" fontId="40" fillId="11" borderId="12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23" xfId="0" applyNumberFormat="1" applyFont="1" applyFill="1" applyBorder="1"/>
    <xf numFmtId="0" fontId="33" fillId="0" borderId="125" xfId="0" applyFont="1" applyFill="1" applyBorder="1"/>
    <xf numFmtId="3" fontId="33" fillId="0" borderId="125" xfId="0" applyNumberFormat="1" applyFont="1" applyFill="1" applyBorder="1"/>
    <xf numFmtId="3" fontId="33" fillId="0" borderId="12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3" fontId="33" fillId="0" borderId="124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19" xfId="0" applyFont="1" applyFill="1" applyBorder="1"/>
    <xf numFmtId="0" fontId="33" fillId="0" borderId="27" xfId="0" applyFont="1" applyFill="1" applyBorder="1"/>
    <xf numFmtId="0" fontId="33" fillId="0" borderId="27" xfId="0" applyFont="1" applyFill="1" applyBorder="1" applyAlignment="1">
      <alignment horizontal="right"/>
    </xf>
    <xf numFmtId="0" fontId="33" fillId="0" borderId="27" xfId="0" applyFont="1" applyFill="1" applyBorder="1" applyAlignment="1">
      <alignment horizontal="left"/>
    </xf>
    <xf numFmtId="164" fontId="33" fillId="0" borderId="27" xfId="0" applyNumberFormat="1" applyFont="1" applyFill="1" applyBorder="1"/>
    <xf numFmtId="165" fontId="33" fillId="0" borderId="27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8" xfId="0" applyNumberFormat="1" applyBorder="1"/>
    <xf numFmtId="9" fontId="0" fillId="0" borderId="78" xfId="0" applyNumberFormat="1" applyBorder="1"/>
    <xf numFmtId="9" fontId="0" fillId="0" borderId="79" xfId="0" applyNumberFormat="1" applyBorder="1"/>
    <xf numFmtId="0" fontId="59" fillId="0" borderId="77" xfId="0" applyFont="1" applyBorder="1" applyAlignment="1">
      <alignment horizontal="left" indent="1"/>
    </xf>
    <xf numFmtId="0" fontId="32" fillId="2" borderId="16" xfId="26" applyNumberFormat="1" applyFont="1" applyFill="1" applyBorder="1"/>
    <xf numFmtId="3" fontId="33" fillId="0" borderId="27" xfId="0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3" fillId="0" borderId="24" xfId="0" applyFont="1" applyFill="1" applyBorder="1"/>
    <xf numFmtId="0" fontId="33" fillId="0" borderId="29" xfId="0" applyFont="1" applyFill="1" applyBorder="1"/>
    <xf numFmtId="9" fontId="33" fillId="0" borderId="29" xfId="0" applyNumberFormat="1" applyFont="1" applyFill="1" applyBorder="1"/>
    <xf numFmtId="3" fontId="33" fillId="0" borderId="25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9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82" xfId="0" applyFont="1" applyFill="1" applyBorder="1"/>
    <xf numFmtId="169" fontId="33" fillId="0" borderId="83" xfId="0" applyNumberFormat="1" applyFont="1" applyFill="1" applyBorder="1"/>
    <xf numFmtId="0" fontId="33" fillId="0" borderId="83" xfId="0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169" fontId="33" fillId="0" borderId="78" xfId="0" applyNumberFormat="1" applyFont="1" applyFill="1" applyBorder="1"/>
    <xf numFmtId="9" fontId="33" fillId="0" borderId="79" xfId="0" applyNumberFormat="1" applyFont="1" applyFill="1" applyBorder="1"/>
    <xf numFmtId="0" fontId="40" fillId="0" borderId="24" xfId="0" applyFont="1" applyFill="1" applyBorder="1"/>
    <xf numFmtId="0" fontId="40" fillId="0" borderId="82" xfId="0" applyFont="1" applyFill="1" applyBorder="1"/>
    <xf numFmtId="0" fontId="40" fillId="0" borderId="77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2.7538436870227947E-3</c:v>
                </c:pt>
                <c:pt idx="1">
                  <c:v>2.4401650060198181E-3</c:v>
                </c:pt>
                <c:pt idx="2">
                  <c:v>2.5167941657260984E-3</c:v>
                </c:pt>
                <c:pt idx="3">
                  <c:v>1.9074237181852883E-3</c:v>
                </c:pt>
                <c:pt idx="4">
                  <c:v>1.525072689045538E-3</c:v>
                </c:pt>
                <c:pt idx="5">
                  <c:v>1.2510967507654671E-3</c:v>
                </c:pt>
                <c:pt idx="6">
                  <c:v>9.4964243242785741E-4</c:v>
                </c:pt>
                <c:pt idx="7">
                  <c:v>8.4271828730018246E-4</c:v>
                </c:pt>
                <c:pt idx="8">
                  <c:v>7.5785503939515455E-4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6912"/>
        <c:axId val="-367625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8000"/>
        <c:axId val="-367639088"/>
      </c:scatterChart>
      <c:catAx>
        <c:axId val="-36763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2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2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6912"/>
        <c:crosses val="autoZero"/>
        <c:crossBetween val="between"/>
      </c:valAx>
      <c:valAx>
        <c:axId val="-367638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9088"/>
        <c:crosses val="max"/>
        <c:crossBetween val="midCat"/>
      </c:valAx>
      <c:valAx>
        <c:axId val="-367639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38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53" tableBorderDxfId="52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1"/>
    <tableColumn id="2" name="popis" dataDxfId="50"/>
    <tableColumn id="3" name="01 uv_s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4">
      <calculatedColumnFormula>IF(Tabulka[[#This Row],[15_vzpl]]=0,"",Tabulka[[#This Row],[14_vzsk]]/Tabulka[[#This Row],[15_vzpl]])</calculatedColumnFormula>
    </tableColumn>
    <tableColumn id="20" name="17_vzroz" dataDxfId="3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6" totalsRowShown="0">
  <autoFilter ref="C3:S8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2" hidden="1" customWidth="1"/>
    <col min="4" max="16384" width="8.88671875" style="115"/>
  </cols>
  <sheetData>
    <row r="1" spans="1:3" ht="18.600000000000001" customHeight="1" thickBot="1" x14ac:dyDescent="0.4">
      <c r="A1" s="290" t="s">
        <v>104</v>
      </c>
      <c r="B1" s="290"/>
    </row>
    <row r="2" spans="1:3" ht="14.4" customHeight="1" thickBot="1" x14ac:dyDescent="0.35">
      <c r="A2" s="214" t="s">
        <v>232</v>
      </c>
      <c r="B2" s="41"/>
    </row>
    <row r="3" spans="1:3" ht="14.4" customHeight="1" thickBot="1" x14ac:dyDescent="0.35">
      <c r="A3" s="286" t="s">
        <v>124</v>
      </c>
      <c r="B3" s="287"/>
    </row>
    <row r="4" spans="1:3" ht="14.4" customHeight="1" x14ac:dyDescent="0.3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" customHeight="1" x14ac:dyDescent="0.3">
      <c r="A5" s="130" t="str">
        <f t="shared" si="0"/>
        <v>HI</v>
      </c>
      <c r="B5" s="78" t="s">
        <v>122</v>
      </c>
      <c r="C5" s="42" t="s">
        <v>107</v>
      </c>
    </row>
    <row r="6" spans="1:3" ht="14.4" customHeight="1" x14ac:dyDescent="0.3">
      <c r="A6" s="131" t="str">
        <f t="shared" si="0"/>
        <v>HI Graf</v>
      </c>
      <c r="B6" s="79" t="s">
        <v>100</v>
      </c>
      <c r="C6" s="42" t="s">
        <v>108</v>
      </c>
    </row>
    <row r="7" spans="1:3" ht="14.4" customHeight="1" x14ac:dyDescent="0.3">
      <c r="A7" s="131" t="str">
        <f t="shared" si="0"/>
        <v>Man Tab</v>
      </c>
      <c r="B7" s="79" t="s">
        <v>234</v>
      </c>
      <c r="C7" s="42" t="s">
        <v>109</v>
      </c>
    </row>
    <row r="8" spans="1:3" ht="14.4" customHeight="1" thickBot="1" x14ac:dyDescent="0.35">
      <c r="A8" s="132" t="str">
        <f t="shared" si="0"/>
        <v>HV</v>
      </c>
      <c r="B8" s="80" t="s">
        <v>58</v>
      </c>
      <c r="C8" s="42" t="s">
        <v>63</v>
      </c>
    </row>
    <row r="9" spans="1:3" ht="14.4" customHeight="1" thickBot="1" x14ac:dyDescent="0.35">
      <c r="A9" s="81"/>
      <c r="B9" s="81"/>
    </row>
    <row r="10" spans="1:3" ht="14.4" customHeight="1" thickBot="1" x14ac:dyDescent="0.35">
      <c r="A10" s="288" t="s">
        <v>105</v>
      </c>
      <c r="B10" s="287"/>
    </row>
    <row r="11" spans="1:3" ht="14.4" customHeight="1" x14ac:dyDescent="0.3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" customHeight="1" x14ac:dyDescent="0.3">
      <c r="A12" s="131" t="str">
        <f t="shared" si="1"/>
        <v>LRp Lékaři</v>
      </c>
      <c r="B12" s="79" t="s">
        <v>127</v>
      </c>
      <c r="C12" s="42" t="s">
        <v>128</v>
      </c>
    </row>
    <row r="13" spans="1:3" ht="14.4" customHeight="1" x14ac:dyDescent="0.3">
      <c r="A13" s="131" t="str">
        <f t="shared" si="1"/>
        <v>LRp Detail</v>
      </c>
      <c r="B13" s="79" t="s">
        <v>318</v>
      </c>
      <c r="C13" s="42" t="s">
        <v>111</v>
      </c>
    </row>
    <row r="14" spans="1:3" ht="14.4" customHeight="1" thickBot="1" x14ac:dyDescent="0.3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" customHeight="1" thickBot="1" x14ac:dyDescent="0.35">
      <c r="A15" s="82"/>
      <c r="B15" s="82"/>
    </row>
    <row r="16" spans="1:3" ht="14.4" customHeight="1" thickBot="1" x14ac:dyDescent="0.35">
      <c r="A16" s="289" t="s">
        <v>106</v>
      </c>
      <c r="B16" s="287"/>
    </row>
    <row r="17" spans="1:3" ht="14.4" customHeight="1" x14ac:dyDescent="0.3">
      <c r="A17" s="134" t="str">
        <f t="shared" ref="A17:A22" si="2">HYPERLINK("#'"&amp;C17&amp;"'!A1",C17)</f>
        <v>ZV Vykáz.-A</v>
      </c>
      <c r="B17" s="78" t="s">
        <v>339</v>
      </c>
      <c r="C17" s="42" t="s">
        <v>115</v>
      </c>
    </row>
    <row r="18" spans="1:3" ht="14.4" customHeight="1" x14ac:dyDescent="0.3">
      <c r="A18" s="131" t="str">
        <f t="shared" ref="A18" si="3">HYPERLINK("#'"&amp;C18&amp;"'!A1",C18)</f>
        <v>ZV Vykáz.-A Lékaři</v>
      </c>
      <c r="B18" s="79" t="s">
        <v>344</v>
      </c>
      <c r="C18" s="42" t="s">
        <v>171</v>
      </c>
    </row>
    <row r="19" spans="1:3" ht="14.4" customHeight="1" x14ac:dyDescent="0.3">
      <c r="A19" s="131" t="str">
        <f t="shared" si="2"/>
        <v>ZV Vykáz.-A Detail</v>
      </c>
      <c r="B19" s="79" t="s">
        <v>351</v>
      </c>
      <c r="C19" s="42" t="s">
        <v>116</v>
      </c>
    </row>
    <row r="20" spans="1:3" ht="14.4" customHeight="1" x14ac:dyDescent="0.3">
      <c r="A20" s="232" t="str">
        <f>HYPERLINK("#'"&amp;C20&amp;"'!A1",C20)</f>
        <v>ZV Vykáz.-A Det.Lék.</v>
      </c>
      <c r="B20" s="79" t="s">
        <v>352</v>
      </c>
      <c r="C20" s="42" t="s">
        <v>175</v>
      </c>
    </row>
    <row r="21" spans="1:3" ht="14.4" customHeight="1" x14ac:dyDescent="0.3">
      <c r="A21" s="131" t="str">
        <f t="shared" si="2"/>
        <v>ZV Vykáz.-H</v>
      </c>
      <c r="B21" s="79" t="s">
        <v>119</v>
      </c>
      <c r="C21" s="42" t="s">
        <v>117</v>
      </c>
    </row>
    <row r="22" spans="1:3" ht="14.4" customHeight="1" x14ac:dyDescent="0.3">
      <c r="A22" s="131" t="str">
        <f t="shared" si="2"/>
        <v>ZV Vykáz.-H Detail</v>
      </c>
      <c r="B22" s="79" t="s">
        <v>397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90" t="s">
        <v>113</v>
      </c>
      <c r="B1" s="290"/>
      <c r="C1" s="291"/>
      <c r="D1" s="291"/>
      <c r="E1" s="291"/>
    </row>
    <row r="2" spans="1:5" ht="14.4" customHeight="1" thickBot="1" x14ac:dyDescent="0.35">
      <c r="A2" s="214" t="s">
        <v>232</v>
      </c>
      <c r="B2" s="136"/>
    </row>
    <row r="3" spans="1:5" ht="14.4" customHeight="1" thickBot="1" x14ac:dyDescent="0.35">
      <c r="A3" s="139"/>
      <c r="C3" s="140" t="s">
        <v>103</v>
      </c>
      <c r="D3" s="141" t="s">
        <v>69</v>
      </c>
      <c r="E3" s="142" t="s">
        <v>71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1445.4370202188491</v>
      </c>
      <c r="D4" s="145">
        <f ca="1">IF(ISERROR(VLOOKUP("Náklady celkem",INDIRECT("HI!$A:$G"),5,0)),0,VLOOKUP("Náklady celkem",INDIRECT("HI!$A:$G"),5,0))</f>
        <v>1405.2819399999998</v>
      </c>
      <c r="E4" s="146">
        <f ca="1">IF(C4=0,0,D4/C4)</f>
        <v>0.97221941900120323</v>
      </c>
    </row>
    <row r="5" spans="1:5" ht="14.4" customHeight="1" x14ac:dyDescent="0.3">
      <c r="A5" s="147" t="s">
        <v>130</v>
      </c>
      <c r="B5" s="148"/>
      <c r="C5" s="149"/>
      <c r="D5" s="149"/>
      <c r="E5" s="150"/>
    </row>
    <row r="6" spans="1:5" ht="14.4" customHeight="1" x14ac:dyDescent="0.3">
      <c r="A6" s="151" t="s">
        <v>135</v>
      </c>
      <c r="B6" s="152"/>
      <c r="C6" s="153"/>
      <c r="D6" s="153"/>
      <c r="E6" s="150"/>
    </row>
    <row r="7" spans="1:5" ht="14.4" customHeight="1" x14ac:dyDescent="0.3">
      <c r="A7" s="22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" customHeight="1" x14ac:dyDescent="0.3">
      <c r="A8" s="155" t="s">
        <v>131</v>
      </c>
      <c r="B8" s="152"/>
      <c r="C8" s="153"/>
      <c r="D8" s="153"/>
      <c r="E8" s="150"/>
    </row>
    <row r="9" spans="1:5" ht="14.4" customHeight="1" x14ac:dyDescent="0.3">
      <c r="A9" s="223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1</v>
      </c>
      <c r="E9" s="150">
        <f t="shared" si="0"/>
        <v>1.6666666666666667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136</v>
      </c>
      <c r="B11" s="152"/>
      <c r="C11" s="149"/>
      <c r="D11" s="149"/>
      <c r="E11" s="150"/>
    </row>
    <row r="12" spans="1:5" ht="14.4" customHeight="1" x14ac:dyDescent="0.3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" customHeight="1" thickBot="1" x14ac:dyDescent="0.3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1436.6332500000001</v>
      </c>
      <c r="D13" s="149">
        <f ca="1">IF(ISERROR(VLOOKUP("Osobní náklady (Kč) *",INDIRECT("HI!$A:$G"),5,0)),0,VLOOKUP("Osobní náklady (Kč) *",INDIRECT("HI!$A:$G"),5,0))</f>
        <v>1396.39474</v>
      </c>
      <c r="E13" s="150">
        <f ca="1">IF(C13=0,0,D13/C13)</f>
        <v>0.97199110489750939</v>
      </c>
    </row>
    <row r="14" spans="1:5" ht="14.4" customHeight="1" thickBot="1" x14ac:dyDescent="0.35">
      <c r="A14" s="162"/>
      <c r="B14" s="163"/>
      <c r="C14" s="164"/>
      <c r="D14" s="164"/>
      <c r="E14" s="165"/>
    </row>
    <row r="15" spans="1:5" ht="14.4" customHeight="1" thickBot="1" x14ac:dyDescent="0.3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0</v>
      </c>
      <c r="D15" s="168">
        <f ca="1">IF(ISERROR(VLOOKUP("Výnosy celkem",INDIRECT("HI!$A:$G"),5,0)),0,VLOOKUP("Výnosy celkem",INDIRECT("HI!$A:$G"),5,0))</f>
        <v>1.0649999999999999</v>
      </c>
      <c r="E15" s="169">
        <f t="shared" ref="E15:E20" ca="1" si="1">IF(C15=0,0,D15/C15)</f>
        <v>0</v>
      </c>
    </row>
    <row r="16" spans="1:5" ht="14.4" customHeight="1" x14ac:dyDescent="0.3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0</v>
      </c>
      <c r="D16" s="149">
        <f ca="1">IF(ISERROR(VLOOKUP("Ambulance *",INDIRECT("HI!$A:$G"),5,0)),0,VLOOKUP("Ambulance *",INDIRECT("HI!$A:$G"),5,0))</f>
        <v>1.0649999999999999</v>
      </c>
      <c r="E16" s="150">
        <f t="shared" ca="1" si="1"/>
        <v>0</v>
      </c>
    </row>
    <row r="17" spans="1:5" ht="14.4" customHeight="1" x14ac:dyDescent="0.3">
      <c r="A17" s="229" t="str">
        <f>HYPERLINK("#'ZV Vykáz.-A'!A1","Zdravotní výkony vykázané u ambulantních pacientů (min. 100 % 2016)")</f>
        <v>Zdravotní výkony vykázané u ambulantních pacientů (min. 100 % 2016)</v>
      </c>
      <c r="B17" s="230" t="s">
        <v>115</v>
      </c>
      <c r="C17" s="154">
        <v>1</v>
      </c>
      <c r="D17" s="154" t="str">
        <f>IF(ISERROR(VLOOKUP("Celkem:",'ZV Vykáz.-A'!$A:$AB,10,0)),"",VLOOKUP("Celkem:",'ZV Vykáz.-A'!$A:$AB,10,0))</f>
        <v/>
      </c>
      <c r="E17" s="150" t="e">
        <f t="shared" si="1"/>
        <v>#VALUE!</v>
      </c>
    </row>
    <row r="18" spans="1:5" ht="14.4" customHeight="1" x14ac:dyDescent="0.3">
      <c r="A18" s="228" t="str">
        <f>HYPERLINK("#'ZV Vykáz.-A'!A1","Specializovaná ambulantní péče")</f>
        <v>Specializovaná ambulantní péče</v>
      </c>
      <c r="B18" s="230" t="s">
        <v>115</v>
      </c>
      <c r="C18" s="154">
        <v>1</v>
      </c>
      <c r="D18" s="222">
        <f>IF(ISERROR(VLOOKUP("Specializovaná ambulantní péče",'ZV Vykáz.-A'!$A:$AB,10,0)),"",VLOOKUP("Specializovaná ambulantní péče",'ZV Vykáz.-A'!$A:$AB,10,0))</f>
        <v>0</v>
      </c>
      <c r="E18" s="150">
        <f t="shared" si="1"/>
        <v>0</v>
      </c>
    </row>
    <row r="19" spans="1:5" ht="14.4" customHeight="1" x14ac:dyDescent="0.3">
      <c r="A19" s="228" t="str">
        <f>HYPERLINK("#'ZV Vykáz.-A'!A1","Ambulantní péče ve vyjmenovaných odbornostech (§9)")</f>
        <v>Ambulantní péče ve vyjmenovaných odbornostech (§9)</v>
      </c>
      <c r="B19" s="230" t="s">
        <v>115</v>
      </c>
      <c r="C19" s="154">
        <v>1</v>
      </c>
      <c r="D19" s="222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" customHeight="1" x14ac:dyDescent="0.3">
      <c r="A20" s="171" t="str">
        <f>HYPERLINK("#'ZV Vykáz.-H'!A1","Zdravotní výkony vykázané u hospitalizovaných pacientů (max. 85 %)")</f>
        <v>Zdravotní výkony vykázané u hospitalizovaných pacientů (max. 85 %)</v>
      </c>
      <c r="B20" s="230" t="s">
        <v>117</v>
      </c>
      <c r="C20" s="154">
        <v>0.85</v>
      </c>
      <c r="D20" s="154">
        <f>IF(ISERROR(VLOOKUP("Celkem:",'ZV Vykáz.-H'!$A:$S,7,0)),"",VLOOKUP("Celkem:",'ZV Vykáz.-H'!$A:$S,7,0))</f>
        <v>1.4734735711845381</v>
      </c>
      <c r="E20" s="150">
        <f t="shared" si="1"/>
        <v>1.7334983190406332</v>
      </c>
    </row>
    <row r="21" spans="1:5" ht="14.4" customHeight="1" x14ac:dyDescent="0.3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" customHeight="1" thickBot="1" x14ac:dyDescent="0.35">
      <c r="A22" s="173" t="s">
        <v>133</v>
      </c>
      <c r="B22" s="159"/>
      <c r="C22" s="160"/>
      <c r="D22" s="160"/>
      <c r="E22" s="161"/>
    </row>
    <row r="23" spans="1:5" ht="14.4" customHeight="1" thickBot="1" x14ac:dyDescent="0.35">
      <c r="A23" s="174"/>
      <c r="B23" s="175"/>
      <c r="C23" s="176"/>
      <c r="D23" s="176"/>
      <c r="E23" s="177"/>
    </row>
    <row r="24" spans="1:5" ht="14.4" customHeight="1" thickBot="1" x14ac:dyDescent="0.3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2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01" t="s">
        <v>122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14.4" customHeight="1" thickBot="1" x14ac:dyDescent="0.35">
      <c r="A2" s="214" t="s">
        <v>232</v>
      </c>
      <c r="B2" s="97"/>
      <c r="C2" s="97"/>
      <c r="D2" s="97"/>
      <c r="E2" s="97"/>
      <c r="F2" s="97"/>
    </row>
    <row r="3" spans="1:10" ht="14.4" customHeight="1" x14ac:dyDescent="0.3">
      <c r="A3" s="292"/>
      <c r="B3" s="93">
        <v>2015</v>
      </c>
      <c r="C3" s="40">
        <v>2017</v>
      </c>
      <c r="D3" s="7"/>
      <c r="E3" s="296">
        <v>2018</v>
      </c>
      <c r="F3" s="297"/>
      <c r="G3" s="297"/>
      <c r="H3" s="298"/>
      <c r="I3" s="299">
        <v>2017</v>
      </c>
      <c r="J3" s="300"/>
    </row>
    <row r="4" spans="1:10" ht="14.4" customHeight="1" thickBot="1" x14ac:dyDescent="0.35">
      <c r="A4" s="293"/>
      <c r="B4" s="294" t="s">
        <v>69</v>
      </c>
      <c r="C4" s="295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3" t="s">
        <v>176</v>
      </c>
      <c r="J4" s="234" t="s">
        <v>177</v>
      </c>
    </row>
    <row r="5" spans="1:10" ht="14.4" customHeight="1" x14ac:dyDescent="0.3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1382.66318</v>
      </c>
      <c r="C7" s="31">
        <v>1405.66696</v>
      </c>
      <c r="D7" s="8"/>
      <c r="E7" s="104">
        <v>1396.39474</v>
      </c>
      <c r="F7" s="30">
        <v>1436.6332500000001</v>
      </c>
      <c r="G7" s="105">
        <f>E7-F7</f>
        <v>-40.238510000000133</v>
      </c>
      <c r="H7" s="109">
        <f>IF(F7&lt;0.00000001,"",E7/F7)</f>
        <v>0.97199110489750939</v>
      </c>
    </row>
    <row r="8" spans="1:10" ht="14.4" customHeight="1" thickBot="1" x14ac:dyDescent="0.35">
      <c r="A8" s="1" t="s">
        <v>72</v>
      </c>
      <c r="B8" s="11">
        <v>4.855980000000045</v>
      </c>
      <c r="C8" s="33">
        <v>2.0524800000000596</v>
      </c>
      <c r="D8" s="8"/>
      <c r="E8" s="106">
        <v>8.8871999999998934</v>
      </c>
      <c r="F8" s="32">
        <v>8.8037702188489675</v>
      </c>
      <c r="G8" s="107">
        <f>E8-F8</f>
        <v>8.3429781150925919E-2</v>
      </c>
      <c r="H8" s="110">
        <f>IF(F8&lt;0.00000001,"",E8/F8)</f>
        <v>1.0094765968530508</v>
      </c>
    </row>
    <row r="9" spans="1:10" ht="14.4" customHeight="1" thickBot="1" x14ac:dyDescent="0.35">
      <c r="A9" s="2" t="s">
        <v>73</v>
      </c>
      <c r="B9" s="3">
        <v>1387.5191600000001</v>
      </c>
      <c r="C9" s="35">
        <v>1407.7194400000001</v>
      </c>
      <c r="D9" s="8"/>
      <c r="E9" s="3">
        <v>1405.2819399999998</v>
      </c>
      <c r="F9" s="34">
        <v>1445.4370202188491</v>
      </c>
      <c r="G9" s="34">
        <f>E9-F9</f>
        <v>-40.155080218849207</v>
      </c>
      <c r="H9" s="111">
        <f>IF(F9&lt;0.00000001,"",E9/F9)</f>
        <v>0.97221941900120323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103">
        <f>IF(ISERROR(VLOOKUP("Celkem:",'ZV Vykáz.-A'!A:H,8,0)),0,VLOOKUP("Celkem:",'ZV Vykáz.-A'!A:H,8,0)/1000)</f>
        <v>1.0649999999999999</v>
      </c>
      <c r="F11" s="28">
        <f>C11</f>
        <v>0</v>
      </c>
      <c r="G11" s="102">
        <f>E11-F11</f>
        <v>1.0649999999999999</v>
      </c>
      <c r="H11" s="108" t="str">
        <f>IF(F11&lt;0.00000001,"",E11/F11)</f>
        <v/>
      </c>
      <c r="I11" s="102">
        <f>E11-B11</f>
        <v>1.0649999999999999</v>
      </c>
      <c r="J11" s="108" t="str">
        <f>IF(B11&lt;0.00000001,"",E11/B11)</f>
        <v/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76</v>
      </c>
      <c r="B13" s="5">
        <f>SUM(B11:B12)</f>
        <v>0</v>
      </c>
      <c r="C13" s="37">
        <f>SUM(C11:C12)</f>
        <v>0</v>
      </c>
      <c r="D13" s="8"/>
      <c r="E13" s="5">
        <f>SUM(E11:E12)</f>
        <v>1.0649999999999999</v>
      </c>
      <c r="F13" s="36">
        <f>SUM(F11:F12)</f>
        <v>0</v>
      </c>
      <c r="G13" s="36">
        <f>E13-F13</f>
        <v>1.0649999999999999</v>
      </c>
      <c r="H13" s="112" t="str">
        <f>IF(F13&lt;0.00000001,"",E13/F13)</f>
        <v/>
      </c>
      <c r="I13" s="36">
        <f>SUM(I11:I12)</f>
        <v>1.0649999999999999</v>
      </c>
      <c r="J13" s="112" t="str">
        <f>IF(B13&lt;0.00000001,"",E13/B13)</f>
        <v/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7.578550393951552E-4</v>
      </c>
      <c r="F15" s="38">
        <f>IF(F9=0,"",F13/F9)</f>
        <v>0</v>
      </c>
      <c r="G15" s="38">
        <f>IF(ISERROR(F15-E15),"",E15-F15)</f>
        <v>7.578550393951552E-4</v>
      </c>
      <c r="H15" s="113" t="str">
        <f>IF(ISERROR(F15-E15),"",IF(F15&lt;0.00000001,"",E15/F15))</f>
        <v/>
      </c>
    </row>
    <row r="17" spans="1:8" ht="14.4" customHeight="1" x14ac:dyDescent="0.3">
      <c r="A17" s="99" t="s">
        <v>137</v>
      </c>
    </row>
    <row r="18" spans="1:8" ht="14.4" customHeight="1" x14ac:dyDescent="0.3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x14ac:dyDescent="0.3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" customHeight="1" x14ac:dyDescent="0.3">
      <c r="A20" s="100" t="s">
        <v>169</v>
      </c>
    </row>
    <row r="21" spans="1:8" ht="14.4" customHeight="1" x14ac:dyDescent="0.3">
      <c r="A21" s="100" t="s">
        <v>138</v>
      </c>
    </row>
    <row r="22" spans="1:8" ht="14.4" customHeight="1" x14ac:dyDescent="0.3">
      <c r="A22" s="101" t="s">
        <v>210</v>
      </c>
    </row>
    <row r="23" spans="1:8" ht="14.4" customHeight="1" x14ac:dyDescent="0.3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4" priority="8" operator="greaterThan">
      <formula>0</formula>
    </cfRule>
  </conditionalFormatting>
  <conditionalFormatting sqref="G11:G13 G15">
    <cfRule type="cellIs" dxfId="23" priority="7" operator="lessThan">
      <formula>0</formula>
    </cfRule>
  </conditionalFormatting>
  <conditionalFormatting sqref="H5:H9">
    <cfRule type="cellIs" dxfId="22" priority="6" operator="greaterThan">
      <formula>1</formula>
    </cfRule>
  </conditionalFormatting>
  <conditionalFormatting sqref="H11:H13 H15">
    <cfRule type="cellIs" dxfId="21" priority="5" operator="lessThan">
      <formula>1</formula>
    </cfRule>
  </conditionalFormatting>
  <conditionalFormatting sqref="I11:I13">
    <cfRule type="cellIs" dxfId="20" priority="4" operator="lessThan">
      <formula>0</formula>
    </cfRule>
  </conditionalFormatting>
  <conditionalFormatting sqref="J11:J13">
    <cfRule type="cellIs" dxfId="1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290" t="s">
        <v>100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14.4" customHeight="1" x14ac:dyDescent="0.3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" customHeight="1" x14ac:dyDescent="0.3">
      <c r="A4" s="183" t="s">
        <v>77</v>
      </c>
      <c r="B4" s="186">
        <f>(B10+B8)/B6</f>
        <v>2.7538436870227947E-3</v>
      </c>
      <c r="C4" s="186">
        <f t="shared" ref="C4:M4" si="0">(C10+C8)/C6</f>
        <v>2.4401650060198181E-3</v>
      </c>
      <c r="D4" s="186">
        <f t="shared" si="0"/>
        <v>2.5167941657260984E-3</v>
      </c>
      <c r="E4" s="186">
        <f t="shared" si="0"/>
        <v>1.9074237181852883E-3</v>
      </c>
      <c r="F4" s="186">
        <f t="shared" si="0"/>
        <v>1.525072689045538E-3</v>
      </c>
      <c r="G4" s="186">
        <f t="shared" si="0"/>
        <v>1.2510967507654671E-3</v>
      </c>
      <c r="H4" s="186">
        <f t="shared" si="0"/>
        <v>9.4964243242785741E-4</v>
      </c>
      <c r="I4" s="186">
        <f t="shared" si="0"/>
        <v>8.4271828730018246E-4</v>
      </c>
      <c r="J4" s="186">
        <f t="shared" si="0"/>
        <v>7.5785503939515455E-4</v>
      </c>
      <c r="K4" s="186">
        <f t="shared" si="0"/>
        <v>7.5785503939515455E-4</v>
      </c>
      <c r="L4" s="186">
        <f t="shared" si="0"/>
        <v>7.5785503939515455E-4</v>
      </c>
      <c r="M4" s="186">
        <f t="shared" si="0"/>
        <v>7.5785503939515455E-4</v>
      </c>
    </row>
    <row r="5" spans="1:13" ht="14.4" customHeight="1" x14ac:dyDescent="0.3">
      <c r="A5" s="187" t="s">
        <v>50</v>
      </c>
      <c r="B5" s="186">
        <f>IF(ISERROR(VLOOKUP($A5,'Man Tab'!$A:$Q,COLUMN()+2,0)),0,VLOOKUP($A5,'Man Tab'!$A:$Q,COLUMN()+2,0))</f>
        <v>128.91073</v>
      </c>
      <c r="C5" s="186">
        <f>IF(ISERROR(VLOOKUP($A5,'Man Tab'!$A:$Q,COLUMN()+2,0)),0,VLOOKUP($A5,'Man Tab'!$A:$Q,COLUMN()+2,0))</f>
        <v>162.0532</v>
      </c>
      <c r="D5" s="186">
        <f>IF(ISERROR(VLOOKUP($A5,'Man Tab'!$A:$Q,COLUMN()+2,0)),0,VLOOKUP($A5,'Man Tab'!$A:$Q,COLUMN()+2,0))</f>
        <v>132.19344000000001</v>
      </c>
      <c r="E5" s="186">
        <f>IF(ISERROR(VLOOKUP($A5,'Man Tab'!$A:$Q,COLUMN()+2,0)),0,VLOOKUP($A5,'Man Tab'!$A:$Q,COLUMN()+2,0))</f>
        <v>135.18737000000101</v>
      </c>
      <c r="F5" s="186">
        <f>IF(ISERROR(VLOOKUP($A5,'Man Tab'!$A:$Q,COLUMN()+2,0)),0,VLOOKUP($A5,'Man Tab'!$A:$Q,COLUMN()+2,0))</f>
        <v>139.98263</v>
      </c>
      <c r="G5" s="186">
        <f>IF(ISERROR(VLOOKUP($A5,'Man Tab'!$A:$Q,COLUMN()+2,0)),0,VLOOKUP($A5,'Man Tab'!$A:$Q,COLUMN()+2,0))</f>
        <v>152.92573999999999</v>
      </c>
      <c r="H5" s="186">
        <f>IF(ISERROR(VLOOKUP($A5,'Man Tab'!$A:$Q,COLUMN()+2,0)),0,VLOOKUP($A5,'Man Tab'!$A:$Q,COLUMN()+2,0))</f>
        <v>270.22163</v>
      </c>
      <c r="I5" s="186">
        <f>IF(ISERROR(VLOOKUP($A5,'Man Tab'!$A:$Q,COLUMN()+2,0)),0,VLOOKUP($A5,'Man Tab'!$A:$Q,COLUMN()+2,0))</f>
        <v>142.29277999999999</v>
      </c>
      <c r="J5" s="186">
        <f>IF(ISERROR(VLOOKUP($A5,'Man Tab'!$A:$Q,COLUMN()+2,0)),0,VLOOKUP($A5,'Man Tab'!$A:$Q,COLUMN()+2,0))</f>
        <v>141.51442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73</v>
      </c>
      <c r="B6" s="188">
        <f>B5</f>
        <v>128.91073</v>
      </c>
      <c r="C6" s="188">
        <f t="shared" ref="C6:M6" si="1">C5+B6</f>
        <v>290.96393</v>
      </c>
      <c r="D6" s="188">
        <f t="shared" si="1"/>
        <v>423.15737000000001</v>
      </c>
      <c r="E6" s="188">
        <f t="shared" si="1"/>
        <v>558.34474000000102</v>
      </c>
      <c r="F6" s="188">
        <f t="shared" si="1"/>
        <v>698.327370000001</v>
      </c>
      <c r="G6" s="188">
        <f t="shared" si="1"/>
        <v>851.25311000000102</v>
      </c>
      <c r="H6" s="188">
        <f t="shared" si="1"/>
        <v>1121.474740000001</v>
      </c>
      <c r="I6" s="188">
        <f t="shared" si="1"/>
        <v>1263.767520000001</v>
      </c>
      <c r="J6" s="188">
        <f t="shared" si="1"/>
        <v>1405.281940000001</v>
      </c>
      <c r="K6" s="188">
        <f t="shared" si="1"/>
        <v>1405.281940000001</v>
      </c>
      <c r="L6" s="188">
        <f t="shared" si="1"/>
        <v>1405.281940000001</v>
      </c>
      <c r="M6" s="188">
        <f t="shared" si="1"/>
        <v>1405.281940000001</v>
      </c>
    </row>
    <row r="7" spans="1:13" ht="14.4" customHeight="1" x14ac:dyDescent="0.3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99</v>
      </c>
      <c r="B9" s="187">
        <v>355</v>
      </c>
      <c r="C9" s="187">
        <v>355</v>
      </c>
      <c r="D9" s="187">
        <v>355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75</v>
      </c>
      <c r="B10" s="188">
        <f>B9/1000</f>
        <v>0.35499999999999998</v>
      </c>
      <c r="C10" s="188">
        <f t="shared" ref="C10:M10" si="3">C9/1000+B10</f>
        <v>0.71</v>
      </c>
      <c r="D10" s="188">
        <f t="shared" si="3"/>
        <v>1.0649999999999999</v>
      </c>
      <c r="E10" s="188">
        <f t="shared" si="3"/>
        <v>1.0649999999999999</v>
      </c>
      <c r="F10" s="188">
        <f t="shared" si="3"/>
        <v>1.0649999999999999</v>
      </c>
      <c r="G10" s="188">
        <f t="shared" si="3"/>
        <v>1.0649999999999999</v>
      </c>
      <c r="H10" s="188">
        <f t="shared" si="3"/>
        <v>1.0649999999999999</v>
      </c>
      <c r="I10" s="188">
        <f t="shared" si="3"/>
        <v>1.0649999999999999</v>
      </c>
      <c r="J10" s="188">
        <f t="shared" si="3"/>
        <v>1.0649999999999999</v>
      </c>
      <c r="K10" s="188">
        <f t="shared" si="3"/>
        <v>1.0649999999999999</v>
      </c>
      <c r="L10" s="188">
        <f t="shared" si="3"/>
        <v>1.0649999999999999</v>
      </c>
      <c r="M10" s="188">
        <f t="shared" si="3"/>
        <v>1.0649999999999999</v>
      </c>
    </row>
    <row r="11" spans="1:13" ht="14.4" customHeight="1" x14ac:dyDescent="0.3">
      <c r="A11" s="183"/>
      <c r="B11" s="183" t="s">
        <v>90</v>
      </c>
      <c r="C11" s="183">
        <f ca="1">IF(MONTH(TODAY())=1,12,MONTH(TODAY())-1)</f>
        <v>9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9" customFormat="1" ht="18.600000000000001" customHeight="1" thickBot="1" x14ac:dyDescent="0.4">
      <c r="A1" s="302" t="s">
        <v>234</v>
      </c>
      <c r="B1" s="302"/>
      <c r="C1" s="302"/>
      <c r="D1" s="302"/>
      <c r="E1" s="302"/>
      <c r="F1" s="302"/>
      <c r="G1" s="302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s="189" customFormat="1" ht="14.4" customHeight="1" thickBot="1" x14ac:dyDescent="0.3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7"/>
      <c r="B3" s="303" t="s">
        <v>26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23"/>
      <c r="Q3" s="125"/>
    </row>
    <row r="4" spans="1:17" ht="14.4" customHeight="1" x14ac:dyDescent="0.3">
      <c r="A4" s="68"/>
      <c r="B4" s="20">
        <v>2018</v>
      </c>
      <c r="C4" s="124" t="s">
        <v>27</v>
      </c>
      <c r="D4" s="227" t="s">
        <v>211</v>
      </c>
      <c r="E4" s="227" t="s">
        <v>212</v>
      </c>
      <c r="F4" s="227" t="s">
        <v>213</v>
      </c>
      <c r="G4" s="227" t="s">
        <v>214</v>
      </c>
      <c r="H4" s="227" t="s">
        <v>215</v>
      </c>
      <c r="I4" s="227" t="s">
        <v>216</v>
      </c>
      <c r="J4" s="227" t="s">
        <v>217</v>
      </c>
      <c r="K4" s="227" t="s">
        <v>218</v>
      </c>
      <c r="L4" s="227" t="s">
        <v>219</v>
      </c>
      <c r="M4" s="227" t="s">
        <v>220</v>
      </c>
      <c r="N4" s="227" t="s">
        <v>221</v>
      </c>
      <c r="O4" s="227" t="s">
        <v>222</v>
      </c>
      <c r="P4" s="305" t="s">
        <v>3</v>
      </c>
      <c r="Q4" s="306"/>
    </row>
    <row r="5" spans="1:17" ht="14.4" customHeight="1" thickBot="1" x14ac:dyDescent="0.3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" customHeight="1" x14ac:dyDescent="0.3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" customHeight="1" x14ac:dyDescent="0.3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" customHeight="1" x14ac:dyDescent="0.3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" customHeight="1" x14ac:dyDescent="0.3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" customHeight="1" x14ac:dyDescent="0.3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" customHeight="1" x14ac:dyDescent="0.3">
      <c r="A11" s="15" t="s">
        <v>36</v>
      </c>
      <c r="B11" s="46">
        <v>2.2017867764860002</v>
      </c>
      <c r="C11" s="47">
        <v>0.18348223137299999</v>
      </c>
      <c r="D11" s="47">
        <v>0.38719999999999999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0.38719999999999999</v>
      </c>
      <c r="Q11" s="84">
        <v>0.23447623183999999</v>
      </c>
    </row>
    <row r="12" spans="1:17" ht="14.4" customHeight="1" x14ac:dyDescent="0.3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" customHeight="1" x14ac:dyDescent="0.3">
      <c r="A13" s="15" t="s">
        <v>38</v>
      </c>
      <c r="B13" s="46">
        <v>1.7701851670440001</v>
      </c>
      <c r="C13" s="47">
        <v>0.14751543058700001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>
        <v>0</v>
      </c>
    </row>
    <row r="14" spans="1:17" ht="14.4" customHeight="1" x14ac:dyDescent="0.3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" customHeight="1" x14ac:dyDescent="0.3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" customHeight="1" x14ac:dyDescent="0.3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" customHeight="1" x14ac:dyDescent="0.3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" customHeight="1" x14ac:dyDescent="0.3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" customHeight="1" x14ac:dyDescent="0.3">
      <c r="A19" s="15" t="s">
        <v>44</v>
      </c>
      <c r="B19" s="46">
        <v>3.0975689951000002E-2</v>
      </c>
      <c r="C19" s="47">
        <v>2.5813074949999999E-3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84">
        <v>0</v>
      </c>
    </row>
    <row r="20" spans="1:17" ht="14.4" customHeight="1" x14ac:dyDescent="0.3">
      <c r="A20" s="15" t="s">
        <v>45</v>
      </c>
      <c r="B20" s="46">
        <v>1915.511</v>
      </c>
      <c r="C20" s="47">
        <v>159.625916666666</v>
      </c>
      <c r="D20" s="47">
        <v>128.52352999999999</v>
      </c>
      <c r="E20" s="47">
        <v>162.0532</v>
      </c>
      <c r="F20" s="47">
        <v>132.19344000000001</v>
      </c>
      <c r="G20" s="47">
        <v>127.187370000001</v>
      </c>
      <c r="H20" s="47">
        <v>139.98263</v>
      </c>
      <c r="I20" s="47">
        <v>152.42573999999999</v>
      </c>
      <c r="J20" s="47">
        <v>270.22163</v>
      </c>
      <c r="K20" s="47">
        <v>142.29277999999999</v>
      </c>
      <c r="L20" s="47">
        <v>141.51442</v>
      </c>
      <c r="M20" s="47">
        <v>0</v>
      </c>
      <c r="N20" s="47">
        <v>0</v>
      </c>
      <c r="O20" s="47">
        <v>0</v>
      </c>
      <c r="P20" s="48">
        <v>1396.39474</v>
      </c>
      <c r="Q20" s="84">
        <v>0.97199110489700002</v>
      </c>
    </row>
    <row r="21" spans="1:17" ht="14.4" customHeight="1" x14ac:dyDescent="0.3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" customHeight="1" x14ac:dyDescent="0.3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" customHeight="1" x14ac:dyDescent="0.3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" customHeight="1" x14ac:dyDescent="0.3">
      <c r="A24" s="16" t="s">
        <v>49</v>
      </c>
      <c r="B24" s="46">
        <v>7.7354132207830002</v>
      </c>
      <c r="C24" s="47">
        <v>0.644617768398</v>
      </c>
      <c r="D24" s="47">
        <v>0</v>
      </c>
      <c r="E24" s="47">
        <v>0</v>
      </c>
      <c r="F24" s="47">
        <v>0</v>
      </c>
      <c r="G24" s="47">
        <v>8</v>
      </c>
      <c r="H24" s="47">
        <v>0</v>
      </c>
      <c r="I24" s="47">
        <v>0.5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8.5</v>
      </c>
      <c r="Q24" s="84"/>
    </row>
    <row r="25" spans="1:17" ht="14.4" customHeight="1" x14ac:dyDescent="0.3">
      <c r="A25" s="17" t="s">
        <v>50</v>
      </c>
      <c r="B25" s="49">
        <v>1927.24936085426</v>
      </c>
      <c r="C25" s="50">
        <v>160.604113404522</v>
      </c>
      <c r="D25" s="50">
        <v>128.91073</v>
      </c>
      <c r="E25" s="50">
        <v>162.0532</v>
      </c>
      <c r="F25" s="50">
        <v>132.19344000000001</v>
      </c>
      <c r="G25" s="50">
        <v>135.18737000000101</v>
      </c>
      <c r="H25" s="50">
        <v>139.98263</v>
      </c>
      <c r="I25" s="50">
        <v>152.92573999999999</v>
      </c>
      <c r="J25" s="50">
        <v>270.22163</v>
      </c>
      <c r="K25" s="50">
        <v>142.29277999999999</v>
      </c>
      <c r="L25" s="50">
        <v>141.51442</v>
      </c>
      <c r="M25" s="50">
        <v>0</v>
      </c>
      <c r="N25" s="50">
        <v>0</v>
      </c>
      <c r="O25" s="50">
        <v>0</v>
      </c>
      <c r="P25" s="51">
        <v>1405.2819400000001</v>
      </c>
      <c r="Q25" s="85">
        <v>0.97221941871700002</v>
      </c>
    </row>
    <row r="26" spans="1:17" ht="14.4" customHeight="1" x14ac:dyDescent="0.3">
      <c r="A26" s="15" t="s">
        <v>51</v>
      </c>
      <c r="B26" s="46">
        <v>305.65539494870097</v>
      </c>
      <c r="C26" s="47">
        <v>25.471282912391001</v>
      </c>
      <c r="D26" s="47">
        <v>21.92408</v>
      </c>
      <c r="E26" s="47">
        <v>25.991900000000001</v>
      </c>
      <c r="F26" s="47">
        <v>21.982130000000002</v>
      </c>
      <c r="G26" s="47">
        <v>21.680569999999999</v>
      </c>
      <c r="H26" s="47">
        <v>21.742069999999998</v>
      </c>
      <c r="I26" s="47">
        <v>35.240200000000002</v>
      </c>
      <c r="J26" s="47">
        <v>36.212730000000001</v>
      </c>
      <c r="K26" s="47">
        <v>21.40971</v>
      </c>
      <c r="L26" s="47">
        <v>22.707660000000001</v>
      </c>
      <c r="M26" s="47">
        <v>0</v>
      </c>
      <c r="N26" s="47">
        <v>0</v>
      </c>
      <c r="O26" s="47">
        <v>0</v>
      </c>
      <c r="P26" s="48">
        <v>228.89105000000001</v>
      </c>
      <c r="Q26" s="84">
        <v>0.99847106156200005</v>
      </c>
    </row>
    <row r="27" spans="1:17" ht="14.4" customHeight="1" x14ac:dyDescent="0.3">
      <c r="A27" s="18" t="s">
        <v>52</v>
      </c>
      <c r="B27" s="49">
        <v>2232.9047558029602</v>
      </c>
      <c r="C27" s="50">
        <v>186.07539631691401</v>
      </c>
      <c r="D27" s="50">
        <v>150.83481</v>
      </c>
      <c r="E27" s="50">
        <v>188.04509999999999</v>
      </c>
      <c r="F27" s="50">
        <v>154.17556999999999</v>
      </c>
      <c r="G27" s="50">
        <v>156.867940000001</v>
      </c>
      <c r="H27" s="50">
        <v>161.72470000000001</v>
      </c>
      <c r="I27" s="50">
        <v>188.16594000000001</v>
      </c>
      <c r="J27" s="50">
        <v>306.43436000000003</v>
      </c>
      <c r="K27" s="50">
        <v>163.70249000000001</v>
      </c>
      <c r="L27" s="50">
        <v>164.22208000000001</v>
      </c>
      <c r="M27" s="50">
        <v>0</v>
      </c>
      <c r="N27" s="50">
        <v>0</v>
      </c>
      <c r="O27" s="50">
        <v>0</v>
      </c>
      <c r="P27" s="51">
        <v>1634.17299</v>
      </c>
      <c r="Q27" s="85">
        <v>0.97581292454900004</v>
      </c>
    </row>
    <row r="28" spans="1:17" ht="14.4" customHeight="1" x14ac:dyDescent="0.3">
      <c r="A28" s="16" t="s">
        <v>53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" customHeight="1" x14ac:dyDescent="0.3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" customHeight="1" x14ac:dyDescent="0.3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>
        <v>0</v>
      </c>
    </row>
    <row r="31" spans="1:17" ht="14.4" customHeight="1" thickBot="1" x14ac:dyDescent="0.3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231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55" customFormat="1" ht="18.600000000000001" customHeight="1" thickBot="1" x14ac:dyDescent="0.4">
      <c r="A1" s="302" t="s">
        <v>58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7"/>
      <c r="B3" s="303" t="s">
        <v>59</v>
      </c>
      <c r="C3" s="304"/>
      <c r="D3" s="304"/>
      <c r="E3" s="304"/>
      <c r="F3" s="310" t="s">
        <v>60</v>
      </c>
      <c r="G3" s="304"/>
      <c r="H3" s="304"/>
      <c r="I3" s="304"/>
      <c r="J3" s="304"/>
      <c r="K3" s="311"/>
    </row>
    <row r="4" spans="1:11" ht="14.4" customHeight="1" x14ac:dyDescent="0.3">
      <c r="A4" s="68"/>
      <c r="B4" s="308"/>
      <c r="C4" s="309"/>
      <c r="D4" s="309"/>
      <c r="E4" s="309"/>
      <c r="F4" s="312" t="s">
        <v>227</v>
      </c>
      <c r="G4" s="314" t="s">
        <v>61</v>
      </c>
      <c r="H4" s="126" t="s">
        <v>125</v>
      </c>
      <c r="I4" s="312" t="s">
        <v>62</v>
      </c>
      <c r="J4" s="314" t="s">
        <v>229</v>
      </c>
      <c r="K4" s="315" t="s">
        <v>230</v>
      </c>
    </row>
    <row r="5" spans="1:11" ht="42" thickBot="1" x14ac:dyDescent="0.35">
      <c r="A5" s="69"/>
      <c r="B5" s="24" t="s">
        <v>223</v>
      </c>
      <c r="C5" s="25" t="s">
        <v>224</v>
      </c>
      <c r="D5" s="26" t="s">
        <v>225</v>
      </c>
      <c r="E5" s="26" t="s">
        <v>226</v>
      </c>
      <c r="F5" s="313"/>
      <c r="G5" s="313"/>
      <c r="H5" s="25" t="s">
        <v>228</v>
      </c>
      <c r="I5" s="313"/>
      <c r="J5" s="313"/>
      <c r="K5" s="316"/>
    </row>
    <row r="6" spans="1:11" ht="14.4" customHeight="1" thickBot="1" x14ac:dyDescent="0.35">
      <c r="A6" s="413" t="s">
        <v>235</v>
      </c>
      <c r="B6" s="395">
        <v>1784.5230375256899</v>
      </c>
      <c r="C6" s="395">
        <v>2051.2419399999999</v>
      </c>
      <c r="D6" s="396">
        <v>266.71890247431099</v>
      </c>
      <c r="E6" s="397">
        <v>1.1494622915279999</v>
      </c>
      <c r="F6" s="395">
        <v>1927.24936085426</v>
      </c>
      <c r="G6" s="396">
        <v>1445.4370206407</v>
      </c>
      <c r="H6" s="398">
        <v>141.51442</v>
      </c>
      <c r="I6" s="395">
        <v>1405.2819400000001</v>
      </c>
      <c r="J6" s="396">
        <v>-40.155080640694003</v>
      </c>
      <c r="K6" s="399">
        <v>0.72916456403800001</v>
      </c>
    </row>
    <row r="7" spans="1:11" ht="14.4" customHeight="1" thickBot="1" x14ac:dyDescent="0.35">
      <c r="A7" s="414" t="s">
        <v>236</v>
      </c>
      <c r="B7" s="395">
        <v>2.5258086728019999</v>
      </c>
      <c r="C7" s="395">
        <v>2.0223599999999999</v>
      </c>
      <c r="D7" s="396">
        <v>-0.50344867280200001</v>
      </c>
      <c r="E7" s="397">
        <v>0.80067822308699999</v>
      </c>
      <c r="F7" s="395">
        <v>3.9719719435299998</v>
      </c>
      <c r="G7" s="396">
        <v>2.9789789576480001</v>
      </c>
      <c r="H7" s="398">
        <v>0</v>
      </c>
      <c r="I7" s="395">
        <v>0.38719999999999999</v>
      </c>
      <c r="J7" s="396">
        <v>-2.5917789576480001</v>
      </c>
      <c r="K7" s="399">
        <v>9.7483065214000006E-2</v>
      </c>
    </row>
    <row r="8" spans="1:11" ht="14.4" customHeight="1" thickBot="1" x14ac:dyDescent="0.35">
      <c r="A8" s="415" t="s">
        <v>237</v>
      </c>
      <c r="B8" s="395">
        <v>2.5258086728019999</v>
      </c>
      <c r="C8" s="395">
        <v>2.0223599999999999</v>
      </c>
      <c r="D8" s="396">
        <v>-0.50344867280200001</v>
      </c>
      <c r="E8" s="397">
        <v>0.80067822308699999</v>
      </c>
      <c r="F8" s="395">
        <v>3.9719719435299998</v>
      </c>
      <c r="G8" s="396">
        <v>2.9789789576480001</v>
      </c>
      <c r="H8" s="398">
        <v>0</v>
      </c>
      <c r="I8" s="395">
        <v>0.38719999999999999</v>
      </c>
      <c r="J8" s="396">
        <v>-2.5917789576480001</v>
      </c>
      <c r="K8" s="399">
        <v>9.7483065214000006E-2</v>
      </c>
    </row>
    <row r="9" spans="1:11" ht="14.4" customHeight="1" thickBot="1" x14ac:dyDescent="0.35">
      <c r="A9" s="416" t="s">
        <v>238</v>
      </c>
      <c r="B9" s="400">
        <v>2.5258086728019999</v>
      </c>
      <c r="C9" s="400">
        <v>0.43975999999999998</v>
      </c>
      <c r="D9" s="401">
        <v>-2.0860486728019998</v>
      </c>
      <c r="E9" s="402">
        <v>0.17410661572800001</v>
      </c>
      <c r="F9" s="400">
        <v>2.2017867764860002</v>
      </c>
      <c r="G9" s="401">
        <v>1.6513400823640001</v>
      </c>
      <c r="H9" s="403">
        <v>0</v>
      </c>
      <c r="I9" s="400">
        <v>0.38719999999999999</v>
      </c>
      <c r="J9" s="401">
        <v>-1.2641400823640001</v>
      </c>
      <c r="K9" s="404">
        <v>0.17585717388</v>
      </c>
    </row>
    <row r="10" spans="1:11" ht="14.4" customHeight="1" thickBot="1" x14ac:dyDescent="0.35">
      <c r="A10" s="417" t="s">
        <v>239</v>
      </c>
      <c r="B10" s="395">
        <v>2</v>
      </c>
      <c r="C10" s="395">
        <v>0.24056</v>
      </c>
      <c r="D10" s="396">
        <v>-1.7594399999999999</v>
      </c>
      <c r="E10" s="397">
        <v>0.12028</v>
      </c>
      <c r="F10" s="395">
        <v>2</v>
      </c>
      <c r="G10" s="396">
        <v>1.5</v>
      </c>
      <c r="H10" s="398">
        <v>0</v>
      </c>
      <c r="I10" s="395">
        <v>0</v>
      </c>
      <c r="J10" s="396">
        <v>-1.5</v>
      </c>
      <c r="K10" s="399">
        <v>0</v>
      </c>
    </row>
    <row r="11" spans="1:11" ht="14.4" customHeight="1" thickBot="1" x14ac:dyDescent="0.35">
      <c r="A11" s="417" t="s">
        <v>240</v>
      </c>
      <c r="B11" s="395">
        <v>0.52580867280200005</v>
      </c>
      <c r="C11" s="395">
        <v>0.19919999999999999</v>
      </c>
      <c r="D11" s="396">
        <v>-0.32660867280200001</v>
      </c>
      <c r="E11" s="397">
        <v>0.37884502539300002</v>
      </c>
      <c r="F11" s="395">
        <v>0.20178677648599999</v>
      </c>
      <c r="G11" s="396">
        <v>0.15134008236400001</v>
      </c>
      <c r="H11" s="398">
        <v>0</v>
      </c>
      <c r="I11" s="395">
        <v>0.38719999999999999</v>
      </c>
      <c r="J11" s="396">
        <v>0.235859917635</v>
      </c>
      <c r="K11" s="399">
        <v>1.918857155765</v>
      </c>
    </row>
    <row r="12" spans="1:11" ht="14.4" customHeight="1" thickBot="1" x14ac:dyDescent="0.35">
      <c r="A12" s="416" t="s">
        <v>241</v>
      </c>
      <c r="B12" s="400">
        <v>0</v>
      </c>
      <c r="C12" s="400">
        <v>1.5826</v>
      </c>
      <c r="D12" s="401">
        <v>1.5826</v>
      </c>
      <c r="E12" s="405" t="s">
        <v>242</v>
      </c>
      <c r="F12" s="400">
        <v>1.7701851670440001</v>
      </c>
      <c r="G12" s="401">
        <v>1.327638875283</v>
      </c>
      <c r="H12" s="403">
        <v>0</v>
      </c>
      <c r="I12" s="400">
        <v>0</v>
      </c>
      <c r="J12" s="401">
        <v>-1.327638875283</v>
      </c>
      <c r="K12" s="404">
        <v>0</v>
      </c>
    </row>
    <row r="13" spans="1:11" ht="14.4" customHeight="1" thickBot="1" x14ac:dyDescent="0.35">
      <c r="A13" s="417" t="s">
        <v>243</v>
      </c>
      <c r="B13" s="395">
        <v>0</v>
      </c>
      <c r="C13" s="395">
        <v>1.5826</v>
      </c>
      <c r="D13" s="396">
        <v>1.5826</v>
      </c>
      <c r="E13" s="406" t="s">
        <v>242</v>
      </c>
      <c r="F13" s="395">
        <v>1.7701851670440001</v>
      </c>
      <c r="G13" s="396">
        <v>1.327638875283</v>
      </c>
      <c r="H13" s="398">
        <v>0</v>
      </c>
      <c r="I13" s="395">
        <v>0</v>
      </c>
      <c r="J13" s="396">
        <v>-1.327638875283</v>
      </c>
      <c r="K13" s="399">
        <v>0</v>
      </c>
    </row>
    <row r="14" spans="1:11" ht="14.4" customHeight="1" thickBot="1" x14ac:dyDescent="0.35">
      <c r="A14" s="418" t="s">
        <v>244</v>
      </c>
      <c r="B14" s="400">
        <v>0.99722885288399998</v>
      </c>
      <c r="C14" s="400">
        <v>6.2521199999999997</v>
      </c>
      <c r="D14" s="401">
        <v>5.2548911471149999</v>
      </c>
      <c r="E14" s="402">
        <v>6.269493689351</v>
      </c>
      <c r="F14" s="400">
        <v>3.0975689951000002E-2</v>
      </c>
      <c r="G14" s="401">
        <v>2.3231767463E-2</v>
      </c>
      <c r="H14" s="403">
        <v>0</v>
      </c>
      <c r="I14" s="400">
        <v>0</v>
      </c>
      <c r="J14" s="401">
        <v>-2.3231767463E-2</v>
      </c>
      <c r="K14" s="404">
        <v>0</v>
      </c>
    </row>
    <row r="15" spans="1:11" ht="14.4" customHeight="1" thickBot="1" x14ac:dyDescent="0.35">
      <c r="A15" s="415" t="s">
        <v>42</v>
      </c>
      <c r="B15" s="395">
        <v>0.99999999999900002</v>
      </c>
      <c r="C15" s="395">
        <v>0</v>
      </c>
      <c r="D15" s="396">
        <v>-0.99999999999900002</v>
      </c>
      <c r="E15" s="397">
        <v>0</v>
      </c>
      <c r="F15" s="395">
        <v>0</v>
      </c>
      <c r="G15" s="396">
        <v>0</v>
      </c>
      <c r="H15" s="398">
        <v>0</v>
      </c>
      <c r="I15" s="395">
        <v>0</v>
      </c>
      <c r="J15" s="396">
        <v>0</v>
      </c>
      <c r="K15" s="399">
        <v>9</v>
      </c>
    </row>
    <row r="16" spans="1:11" ht="14.4" customHeight="1" thickBot="1" x14ac:dyDescent="0.35">
      <c r="A16" s="419" t="s">
        <v>245</v>
      </c>
      <c r="B16" s="395">
        <v>0.99999999999900002</v>
      </c>
      <c r="C16" s="395">
        <v>0</v>
      </c>
      <c r="D16" s="396">
        <v>-0.99999999999900002</v>
      </c>
      <c r="E16" s="397">
        <v>0</v>
      </c>
      <c r="F16" s="395">
        <v>0</v>
      </c>
      <c r="G16" s="396">
        <v>0</v>
      </c>
      <c r="H16" s="398">
        <v>0</v>
      </c>
      <c r="I16" s="395">
        <v>0</v>
      </c>
      <c r="J16" s="396">
        <v>0</v>
      </c>
      <c r="K16" s="399">
        <v>9</v>
      </c>
    </row>
    <row r="17" spans="1:11" ht="14.4" customHeight="1" thickBot="1" x14ac:dyDescent="0.35">
      <c r="A17" s="417" t="s">
        <v>246</v>
      </c>
      <c r="B17" s="395">
        <v>0.99999999999900002</v>
      </c>
      <c r="C17" s="395">
        <v>0</v>
      </c>
      <c r="D17" s="396">
        <v>-0.99999999999900002</v>
      </c>
      <c r="E17" s="397">
        <v>0</v>
      </c>
      <c r="F17" s="395">
        <v>0</v>
      </c>
      <c r="G17" s="396">
        <v>0</v>
      </c>
      <c r="H17" s="398">
        <v>0</v>
      </c>
      <c r="I17" s="395">
        <v>0</v>
      </c>
      <c r="J17" s="396">
        <v>0</v>
      </c>
      <c r="K17" s="399">
        <v>9</v>
      </c>
    </row>
    <row r="18" spans="1:11" ht="14.4" customHeight="1" thickBot="1" x14ac:dyDescent="0.35">
      <c r="A18" s="420" t="s">
        <v>43</v>
      </c>
      <c r="B18" s="400">
        <v>0</v>
      </c>
      <c r="C18" s="400">
        <v>6.2220000000000004</v>
      </c>
      <c r="D18" s="401">
        <v>6.2220000000000004</v>
      </c>
      <c r="E18" s="405" t="s">
        <v>242</v>
      </c>
      <c r="F18" s="400">
        <v>0</v>
      </c>
      <c r="G18" s="401">
        <v>0</v>
      </c>
      <c r="H18" s="403">
        <v>0</v>
      </c>
      <c r="I18" s="400">
        <v>0</v>
      </c>
      <c r="J18" s="401">
        <v>0</v>
      </c>
      <c r="K18" s="407" t="s">
        <v>233</v>
      </c>
    </row>
    <row r="19" spans="1:11" ht="14.4" customHeight="1" thickBot="1" x14ac:dyDescent="0.35">
      <c r="A19" s="416" t="s">
        <v>247</v>
      </c>
      <c r="B19" s="400">
        <v>0</v>
      </c>
      <c r="C19" s="400">
        <v>6.2220000000000004</v>
      </c>
      <c r="D19" s="401">
        <v>6.2220000000000004</v>
      </c>
      <c r="E19" s="405" t="s">
        <v>242</v>
      </c>
      <c r="F19" s="400">
        <v>0</v>
      </c>
      <c r="G19" s="401">
        <v>0</v>
      </c>
      <c r="H19" s="403">
        <v>0</v>
      </c>
      <c r="I19" s="400">
        <v>0</v>
      </c>
      <c r="J19" s="401">
        <v>0</v>
      </c>
      <c r="K19" s="407" t="s">
        <v>233</v>
      </c>
    </row>
    <row r="20" spans="1:11" ht="14.4" customHeight="1" thickBot="1" x14ac:dyDescent="0.35">
      <c r="A20" s="417" t="s">
        <v>248</v>
      </c>
      <c r="B20" s="395">
        <v>0</v>
      </c>
      <c r="C20" s="395">
        <v>6.2220000000000004</v>
      </c>
      <c r="D20" s="396">
        <v>6.2220000000000004</v>
      </c>
      <c r="E20" s="406" t="s">
        <v>242</v>
      </c>
      <c r="F20" s="395">
        <v>0</v>
      </c>
      <c r="G20" s="396">
        <v>0</v>
      </c>
      <c r="H20" s="398">
        <v>0</v>
      </c>
      <c r="I20" s="395">
        <v>0</v>
      </c>
      <c r="J20" s="396">
        <v>0</v>
      </c>
      <c r="K20" s="408" t="s">
        <v>233</v>
      </c>
    </row>
    <row r="21" spans="1:11" ht="14.4" customHeight="1" thickBot="1" x14ac:dyDescent="0.35">
      <c r="A21" s="415" t="s">
        <v>44</v>
      </c>
      <c r="B21" s="395">
        <v>-2.7711471149999998E-3</v>
      </c>
      <c r="C21" s="395">
        <v>3.0120000000000001E-2</v>
      </c>
      <c r="D21" s="396">
        <v>3.2891147114999998E-2</v>
      </c>
      <c r="E21" s="397">
        <v>-10.869145067764</v>
      </c>
      <c r="F21" s="395">
        <v>3.0975689951000002E-2</v>
      </c>
      <c r="G21" s="396">
        <v>2.3231767463E-2</v>
      </c>
      <c r="H21" s="398">
        <v>0</v>
      </c>
      <c r="I21" s="395">
        <v>0</v>
      </c>
      <c r="J21" s="396">
        <v>-2.3231767463E-2</v>
      </c>
      <c r="K21" s="399">
        <v>0</v>
      </c>
    </row>
    <row r="22" spans="1:11" ht="14.4" customHeight="1" thickBot="1" x14ac:dyDescent="0.35">
      <c r="A22" s="416" t="s">
        <v>249</v>
      </c>
      <c r="B22" s="400">
        <v>-2.7711471149999998E-3</v>
      </c>
      <c r="C22" s="400">
        <v>3.0120000000000001E-2</v>
      </c>
      <c r="D22" s="401">
        <v>3.2891147114999998E-2</v>
      </c>
      <c r="E22" s="402">
        <v>-10.869145067764</v>
      </c>
      <c r="F22" s="400">
        <v>3.0975689951000002E-2</v>
      </c>
      <c r="G22" s="401">
        <v>2.3231767463E-2</v>
      </c>
      <c r="H22" s="403">
        <v>0</v>
      </c>
      <c r="I22" s="400">
        <v>0</v>
      </c>
      <c r="J22" s="401">
        <v>-2.3231767463E-2</v>
      </c>
      <c r="K22" s="404">
        <v>0</v>
      </c>
    </row>
    <row r="23" spans="1:11" ht="14.4" customHeight="1" thickBot="1" x14ac:dyDescent="0.35">
      <c r="A23" s="417" t="s">
        <v>250</v>
      </c>
      <c r="B23" s="395">
        <v>-2.7711471149999998E-3</v>
      </c>
      <c r="C23" s="395">
        <v>3.0120000000000001E-2</v>
      </c>
      <c r="D23" s="396">
        <v>3.2891147114999998E-2</v>
      </c>
      <c r="E23" s="397">
        <v>-10.869145067764</v>
      </c>
      <c r="F23" s="395">
        <v>3.0975689951000002E-2</v>
      </c>
      <c r="G23" s="396">
        <v>2.3231767463E-2</v>
      </c>
      <c r="H23" s="398">
        <v>0</v>
      </c>
      <c r="I23" s="395">
        <v>0</v>
      </c>
      <c r="J23" s="396">
        <v>-2.3231767463E-2</v>
      </c>
      <c r="K23" s="399">
        <v>0</v>
      </c>
    </row>
    <row r="24" spans="1:11" ht="14.4" customHeight="1" thickBot="1" x14ac:dyDescent="0.35">
      <c r="A24" s="414" t="s">
        <v>45</v>
      </c>
      <c r="B24" s="395">
        <v>1781</v>
      </c>
      <c r="C24" s="395">
        <v>2028.2174600000001</v>
      </c>
      <c r="D24" s="396">
        <v>247.21745999999899</v>
      </c>
      <c r="E24" s="397">
        <v>1.1388082313300001</v>
      </c>
      <c r="F24" s="395">
        <v>1915.511</v>
      </c>
      <c r="G24" s="396">
        <v>1436.6332500000001</v>
      </c>
      <c r="H24" s="398">
        <v>141.51442</v>
      </c>
      <c r="I24" s="395">
        <v>1396.39474</v>
      </c>
      <c r="J24" s="396">
        <v>-40.238509999995003</v>
      </c>
      <c r="K24" s="399">
        <v>0.72899332867300004</v>
      </c>
    </row>
    <row r="25" spans="1:11" ht="14.4" customHeight="1" thickBot="1" x14ac:dyDescent="0.35">
      <c r="A25" s="420" t="s">
        <v>251</v>
      </c>
      <c r="B25" s="400">
        <v>1310</v>
      </c>
      <c r="C25" s="400">
        <v>1499.8340000000001</v>
      </c>
      <c r="D25" s="401">
        <v>189.83399999999901</v>
      </c>
      <c r="E25" s="402">
        <v>1.1449114503810001</v>
      </c>
      <c r="F25" s="400">
        <v>1409.3510000000001</v>
      </c>
      <c r="G25" s="401">
        <v>1057.01325</v>
      </c>
      <c r="H25" s="403">
        <v>104.056</v>
      </c>
      <c r="I25" s="400">
        <v>1027.5329999999999</v>
      </c>
      <c r="J25" s="401">
        <v>-29.480249999994999</v>
      </c>
      <c r="K25" s="404">
        <v>0.72908239324299995</v>
      </c>
    </row>
    <row r="26" spans="1:11" ht="14.4" customHeight="1" thickBot="1" x14ac:dyDescent="0.35">
      <c r="A26" s="416" t="s">
        <v>252</v>
      </c>
      <c r="B26" s="400">
        <v>1306</v>
      </c>
      <c r="C26" s="400">
        <v>1498.3340000000001</v>
      </c>
      <c r="D26" s="401">
        <v>192.33399999999901</v>
      </c>
      <c r="E26" s="402">
        <v>1.147269525267</v>
      </c>
      <c r="F26" s="400">
        <v>1406</v>
      </c>
      <c r="G26" s="401">
        <v>1054.5</v>
      </c>
      <c r="H26" s="403">
        <v>104.056</v>
      </c>
      <c r="I26" s="400">
        <v>1002.533</v>
      </c>
      <c r="J26" s="401">
        <v>-51.966999999994997</v>
      </c>
      <c r="K26" s="404">
        <v>0.71303911806499998</v>
      </c>
    </row>
    <row r="27" spans="1:11" ht="14.4" customHeight="1" thickBot="1" x14ac:dyDescent="0.35">
      <c r="A27" s="417" t="s">
        <v>253</v>
      </c>
      <c r="B27" s="395">
        <v>1306</v>
      </c>
      <c r="C27" s="395">
        <v>1498.3340000000001</v>
      </c>
      <c r="D27" s="396">
        <v>192.33399999999901</v>
      </c>
      <c r="E27" s="397">
        <v>1.147269525267</v>
      </c>
      <c r="F27" s="395">
        <v>1406</v>
      </c>
      <c r="G27" s="396">
        <v>1054.5</v>
      </c>
      <c r="H27" s="398">
        <v>104.056</v>
      </c>
      <c r="I27" s="395">
        <v>1002.533</v>
      </c>
      <c r="J27" s="396">
        <v>-51.966999999994997</v>
      </c>
      <c r="K27" s="399">
        <v>0.71303911806499998</v>
      </c>
    </row>
    <row r="28" spans="1:11" ht="14.4" customHeight="1" thickBot="1" x14ac:dyDescent="0.35">
      <c r="A28" s="416" t="s">
        <v>254</v>
      </c>
      <c r="B28" s="400">
        <v>4</v>
      </c>
      <c r="C28" s="400">
        <v>0</v>
      </c>
      <c r="D28" s="401">
        <v>-4</v>
      </c>
      <c r="E28" s="402">
        <v>0</v>
      </c>
      <c r="F28" s="400">
        <v>3.351</v>
      </c>
      <c r="G28" s="401">
        <v>2.5132500000000002</v>
      </c>
      <c r="H28" s="403">
        <v>0</v>
      </c>
      <c r="I28" s="400">
        <v>0</v>
      </c>
      <c r="J28" s="401">
        <v>-2.5132500000000002</v>
      </c>
      <c r="K28" s="404">
        <v>0</v>
      </c>
    </row>
    <row r="29" spans="1:11" ht="14.4" customHeight="1" thickBot="1" x14ac:dyDescent="0.35">
      <c r="A29" s="417" t="s">
        <v>255</v>
      </c>
      <c r="B29" s="395">
        <v>4</v>
      </c>
      <c r="C29" s="395">
        <v>0</v>
      </c>
      <c r="D29" s="396">
        <v>-4</v>
      </c>
      <c r="E29" s="397">
        <v>0</v>
      </c>
      <c r="F29" s="395">
        <v>3.351</v>
      </c>
      <c r="G29" s="396">
        <v>2.5132500000000002</v>
      </c>
      <c r="H29" s="398">
        <v>0</v>
      </c>
      <c r="I29" s="395">
        <v>0</v>
      </c>
      <c r="J29" s="396">
        <v>-2.5132500000000002</v>
      </c>
      <c r="K29" s="399">
        <v>0</v>
      </c>
    </row>
    <row r="30" spans="1:11" ht="14.4" customHeight="1" thickBot="1" x14ac:dyDescent="0.35">
      <c r="A30" s="419" t="s">
        <v>256</v>
      </c>
      <c r="B30" s="395">
        <v>0</v>
      </c>
      <c r="C30" s="395">
        <v>1.5</v>
      </c>
      <c r="D30" s="396">
        <v>1.5</v>
      </c>
      <c r="E30" s="406" t="s">
        <v>242</v>
      </c>
      <c r="F30" s="395">
        <v>0</v>
      </c>
      <c r="G30" s="396">
        <v>0</v>
      </c>
      <c r="H30" s="398">
        <v>0</v>
      </c>
      <c r="I30" s="395">
        <v>25</v>
      </c>
      <c r="J30" s="396">
        <v>25</v>
      </c>
      <c r="K30" s="408" t="s">
        <v>233</v>
      </c>
    </row>
    <row r="31" spans="1:11" ht="14.4" customHeight="1" thickBot="1" x14ac:dyDescent="0.35">
      <c r="A31" s="417" t="s">
        <v>257</v>
      </c>
      <c r="B31" s="395">
        <v>0</v>
      </c>
      <c r="C31" s="395">
        <v>1.5</v>
      </c>
      <c r="D31" s="396">
        <v>1.5</v>
      </c>
      <c r="E31" s="406" t="s">
        <v>242</v>
      </c>
      <c r="F31" s="395">
        <v>0</v>
      </c>
      <c r="G31" s="396">
        <v>0</v>
      </c>
      <c r="H31" s="398">
        <v>0</v>
      </c>
      <c r="I31" s="395">
        <v>25</v>
      </c>
      <c r="J31" s="396">
        <v>25</v>
      </c>
      <c r="K31" s="408" t="s">
        <v>233</v>
      </c>
    </row>
    <row r="32" spans="1:11" ht="14.4" customHeight="1" thickBot="1" x14ac:dyDescent="0.35">
      <c r="A32" s="415" t="s">
        <v>258</v>
      </c>
      <c r="B32" s="395">
        <v>444.99999999999898</v>
      </c>
      <c r="C32" s="395">
        <v>498.41825999999998</v>
      </c>
      <c r="D32" s="396">
        <v>53.418259999999997</v>
      </c>
      <c r="E32" s="397">
        <v>1.1200410337069999</v>
      </c>
      <c r="F32" s="395">
        <v>478.04</v>
      </c>
      <c r="G32" s="396">
        <v>358.53</v>
      </c>
      <c r="H32" s="398">
        <v>35.3782</v>
      </c>
      <c r="I32" s="395">
        <v>348.81799999999998</v>
      </c>
      <c r="J32" s="396">
        <v>-9.7119999999989997</v>
      </c>
      <c r="K32" s="399">
        <v>0.72968370847599995</v>
      </c>
    </row>
    <row r="33" spans="1:11" ht="14.4" customHeight="1" thickBot="1" x14ac:dyDescent="0.35">
      <c r="A33" s="416" t="s">
        <v>259</v>
      </c>
      <c r="B33" s="400">
        <v>118</v>
      </c>
      <c r="C33" s="400">
        <v>134.98201</v>
      </c>
      <c r="D33" s="401">
        <v>16.982009999999999</v>
      </c>
      <c r="E33" s="402">
        <v>1.1439153389829999</v>
      </c>
      <c r="F33" s="400">
        <v>126.54</v>
      </c>
      <c r="G33" s="401">
        <v>94.905000000000001</v>
      </c>
      <c r="H33" s="403">
        <v>9.3642000000000003</v>
      </c>
      <c r="I33" s="400">
        <v>92.471500000000006</v>
      </c>
      <c r="J33" s="401">
        <v>-2.4335</v>
      </c>
      <c r="K33" s="404">
        <v>0.73076892682100003</v>
      </c>
    </row>
    <row r="34" spans="1:11" ht="14.4" customHeight="1" thickBot="1" x14ac:dyDescent="0.35">
      <c r="A34" s="417" t="s">
        <v>260</v>
      </c>
      <c r="B34" s="395">
        <v>118</v>
      </c>
      <c r="C34" s="395">
        <v>134.98201</v>
      </c>
      <c r="D34" s="396">
        <v>16.982009999999999</v>
      </c>
      <c r="E34" s="397">
        <v>1.1439153389829999</v>
      </c>
      <c r="F34" s="395">
        <v>126.54</v>
      </c>
      <c r="G34" s="396">
        <v>94.905000000000001</v>
      </c>
      <c r="H34" s="398">
        <v>9.3642000000000003</v>
      </c>
      <c r="I34" s="395">
        <v>92.471500000000006</v>
      </c>
      <c r="J34" s="396">
        <v>-2.4335</v>
      </c>
      <c r="K34" s="399">
        <v>0.73076892682100003</v>
      </c>
    </row>
    <row r="35" spans="1:11" ht="14.4" customHeight="1" thickBot="1" x14ac:dyDescent="0.35">
      <c r="A35" s="416" t="s">
        <v>261</v>
      </c>
      <c r="B35" s="400">
        <v>327</v>
      </c>
      <c r="C35" s="400">
        <v>363.43624999999997</v>
      </c>
      <c r="D35" s="401">
        <v>36.436250000000001</v>
      </c>
      <c r="E35" s="402">
        <v>1.111425840978</v>
      </c>
      <c r="F35" s="400">
        <v>351.5</v>
      </c>
      <c r="G35" s="401">
        <v>263.625</v>
      </c>
      <c r="H35" s="403">
        <v>26.013999999999999</v>
      </c>
      <c r="I35" s="400">
        <v>256.34649999999999</v>
      </c>
      <c r="J35" s="401">
        <v>-7.2784999999990001</v>
      </c>
      <c r="K35" s="404">
        <v>0.72929302987099998</v>
      </c>
    </row>
    <row r="36" spans="1:11" ht="14.4" customHeight="1" thickBot="1" x14ac:dyDescent="0.35">
      <c r="A36" s="417" t="s">
        <v>262</v>
      </c>
      <c r="B36" s="395">
        <v>327</v>
      </c>
      <c r="C36" s="395">
        <v>363.43624999999997</v>
      </c>
      <c r="D36" s="396">
        <v>36.436250000000001</v>
      </c>
      <c r="E36" s="397">
        <v>1.111425840978</v>
      </c>
      <c r="F36" s="395">
        <v>351.5</v>
      </c>
      <c r="G36" s="396">
        <v>263.625</v>
      </c>
      <c r="H36" s="398">
        <v>26.013999999999999</v>
      </c>
      <c r="I36" s="395">
        <v>256.34649999999999</v>
      </c>
      <c r="J36" s="396">
        <v>-7.2784999999990001</v>
      </c>
      <c r="K36" s="399">
        <v>0.72929302987099998</v>
      </c>
    </row>
    <row r="37" spans="1:11" ht="14.4" customHeight="1" thickBot="1" x14ac:dyDescent="0.35">
      <c r="A37" s="415" t="s">
        <v>263</v>
      </c>
      <c r="B37" s="395">
        <v>26</v>
      </c>
      <c r="C37" s="395">
        <v>29.965199999999999</v>
      </c>
      <c r="D37" s="396">
        <v>3.9651999999990002</v>
      </c>
      <c r="E37" s="397">
        <v>1.1525076923069999</v>
      </c>
      <c r="F37" s="395">
        <v>28.12</v>
      </c>
      <c r="G37" s="396">
        <v>21.09</v>
      </c>
      <c r="H37" s="398">
        <v>2.0802200000000002</v>
      </c>
      <c r="I37" s="395">
        <v>20.04374</v>
      </c>
      <c r="J37" s="396">
        <v>-1.04626</v>
      </c>
      <c r="K37" s="399">
        <v>0.71279302987100002</v>
      </c>
    </row>
    <row r="38" spans="1:11" ht="14.4" customHeight="1" thickBot="1" x14ac:dyDescent="0.35">
      <c r="A38" s="416" t="s">
        <v>264</v>
      </c>
      <c r="B38" s="400">
        <v>26</v>
      </c>
      <c r="C38" s="400">
        <v>29.965199999999999</v>
      </c>
      <c r="D38" s="401">
        <v>3.9651999999990002</v>
      </c>
      <c r="E38" s="402">
        <v>1.1525076923069999</v>
      </c>
      <c r="F38" s="400">
        <v>28.12</v>
      </c>
      <c r="G38" s="401">
        <v>21.09</v>
      </c>
      <c r="H38" s="403">
        <v>2.0802200000000002</v>
      </c>
      <c r="I38" s="400">
        <v>20.04374</v>
      </c>
      <c r="J38" s="401">
        <v>-1.04626</v>
      </c>
      <c r="K38" s="404">
        <v>0.71279302987100002</v>
      </c>
    </row>
    <row r="39" spans="1:11" ht="14.4" customHeight="1" thickBot="1" x14ac:dyDescent="0.35">
      <c r="A39" s="417" t="s">
        <v>265</v>
      </c>
      <c r="B39" s="395">
        <v>26</v>
      </c>
      <c r="C39" s="395">
        <v>29.965199999999999</v>
      </c>
      <c r="D39" s="396">
        <v>3.9651999999990002</v>
      </c>
      <c r="E39" s="397">
        <v>1.1525076923069999</v>
      </c>
      <c r="F39" s="395">
        <v>28.12</v>
      </c>
      <c r="G39" s="396">
        <v>21.09</v>
      </c>
      <c r="H39" s="398">
        <v>2.0802200000000002</v>
      </c>
      <c r="I39" s="395">
        <v>20.04374</v>
      </c>
      <c r="J39" s="396">
        <v>-1.04626</v>
      </c>
      <c r="K39" s="399">
        <v>0.71279302987100002</v>
      </c>
    </row>
    <row r="40" spans="1:11" ht="14.4" customHeight="1" thickBot="1" x14ac:dyDescent="0.35">
      <c r="A40" s="414" t="s">
        <v>266</v>
      </c>
      <c r="B40" s="395">
        <v>0</v>
      </c>
      <c r="C40" s="395">
        <v>14.75</v>
      </c>
      <c r="D40" s="396">
        <v>14.75</v>
      </c>
      <c r="E40" s="406" t="s">
        <v>233</v>
      </c>
      <c r="F40" s="395">
        <v>7.7354132207830002</v>
      </c>
      <c r="G40" s="396">
        <v>5.8015599155870001</v>
      </c>
      <c r="H40" s="398">
        <v>0</v>
      </c>
      <c r="I40" s="395">
        <v>8.5</v>
      </c>
      <c r="J40" s="396">
        <v>2.6984400844119998</v>
      </c>
      <c r="K40" s="399">
        <v>1.0988423963130001</v>
      </c>
    </row>
    <row r="41" spans="1:11" ht="14.4" customHeight="1" thickBot="1" x14ac:dyDescent="0.35">
      <c r="A41" s="415" t="s">
        <v>267</v>
      </c>
      <c r="B41" s="395">
        <v>0</v>
      </c>
      <c r="C41" s="395">
        <v>14.75</v>
      </c>
      <c r="D41" s="396">
        <v>14.75</v>
      </c>
      <c r="E41" s="406" t="s">
        <v>233</v>
      </c>
      <c r="F41" s="395">
        <v>7.7354132207830002</v>
      </c>
      <c r="G41" s="396">
        <v>5.8015599155870001</v>
      </c>
      <c r="H41" s="398">
        <v>0</v>
      </c>
      <c r="I41" s="395">
        <v>8.5</v>
      </c>
      <c r="J41" s="396">
        <v>2.6984400844119998</v>
      </c>
      <c r="K41" s="399">
        <v>1.0988423963130001</v>
      </c>
    </row>
    <row r="42" spans="1:11" ht="14.4" customHeight="1" thickBot="1" x14ac:dyDescent="0.35">
      <c r="A42" s="416" t="s">
        <v>268</v>
      </c>
      <c r="B42" s="400">
        <v>0</v>
      </c>
      <c r="C42" s="400">
        <v>4.9499999999990001</v>
      </c>
      <c r="D42" s="401">
        <v>4.9499999999990001</v>
      </c>
      <c r="E42" s="405" t="s">
        <v>233</v>
      </c>
      <c r="F42" s="400">
        <v>0</v>
      </c>
      <c r="G42" s="401">
        <v>0</v>
      </c>
      <c r="H42" s="403">
        <v>0</v>
      </c>
      <c r="I42" s="400">
        <v>8.5</v>
      </c>
      <c r="J42" s="401">
        <v>8.5</v>
      </c>
      <c r="K42" s="407" t="s">
        <v>242</v>
      </c>
    </row>
    <row r="43" spans="1:11" ht="14.4" customHeight="1" thickBot="1" x14ac:dyDescent="0.35">
      <c r="A43" s="417" t="s">
        <v>269</v>
      </c>
      <c r="B43" s="395">
        <v>0</v>
      </c>
      <c r="C43" s="395">
        <v>4.9499999999990001</v>
      </c>
      <c r="D43" s="396">
        <v>4.9499999999990001</v>
      </c>
      <c r="E43" s="406" t="s">
        <v>233</v>
      </c>
      <c r="F43" s="395">
        <v>0</v>
      </c>
      <c r="G43" s="396">
        <v>0</v>
      </c>
      <c r="H43" s="398">
        <v>0</v>
      </c>
      <c r="I43" s="395">
        <v>8.5</v>
      </c>
      <c r="J43" s="396">
        <v>8.5</v>
      </c>
      <c r="K43" s="408" t="s">
        <v>242</v>
      </c>
    </row>
    <row r="44" spans="1:11" ht="14.4" customHeight="1" thickBot="1" x14ac:dyDescent="0.35">
      <c r="A44" s="419" t="s">
        <v>270</v>
      </c>
      <c r="B44" s="395">
        <v>0</v>
      </c>
      <c r="C44" s="395">
        <v>9.8000000000000007</v>
      </c>
      <c r="D44" s="396">
        <v>9.8000000000000007</v>
      </c>
      <c r="E44" s="406" t="s">
        <v>242</v>
      </c>
      <c r="F44" s="395">
        <v>7.7354132207830002</v>
      </c>
      <c r="G44" s="396">
        <v>5.8015599155870001</v>
      </c>
      <c r="H44" s="398">
        <v>0</v>
      </c>
      <c r="I44" s="395">
        <v>0</v>
      </c>
      <c r="J44" s="396">
        <v>-5.8015599155870001</v>
      </c>
      <c r="K44" s="399">
        <v>0</v>
      </c>
    </row>
    <row r="45" spans="1:11" ht="14.4" customHeight="1" thickBot="1" x14ac:dyDescent="0.35">
      <c r="A45" s="417" t="s">
        <v>271</v>
      </c>
      <c r="B45" s="395">
        <v>0</v>
      </c>
      <c r="C45" s="395">
        <v>9.8000000000000007</v>
      </c>
      <c r="D45" s="396">
        <v>9.8000000000000007</v>
      </c>
      <c r="E45" s="406" t="s">
        <v>242</v>
      </c>
      <c r="F45" s="395">
        <v>7.7354132207830002</v>
      </c>
      <c r="G45" s="396">
        <v>5.8015599155870001</v>
      </c>
      <c r="H45" s="398">
        <v>0</v>
      </c>
      <c r="I45" s="395">
        <v>0</v>
      </c>
      <c r="J45" s="396">
        <v>-5.8015599155870001</v>
      </c>
      <c r="K45" s="399">
        <v>0</v>
      </c>
    </row>
    <row r="46" spans="1:11" ht="14.4" customHeight="1" thickBot="1" x14ac:dyDescent="0.35">
      <c r="A46" s="413" t="s">
        <v>272</v>
      </c>
      <c r="B46" s="395">
        <v>48</v>
      </c>
      <c r="C46" s="395">
        <v>60.269359999999999</v>
      </c>
      <c r="D46" s="396">
        <v>12.269360000000001</v>
      </c>
      <c r="E46" s="397">
        <v>1.255611666666</v>
      </c>
      <c r="F46" s="395">
        <v>60.976339613748998</v>
      </c>
      <c r="G46" s="396">
        <v>45.732254710310997</v>
      </c>
      <c r="H46" s="398">
        <v>7.0292000000000003</v>
      </c>
      <c r="I46" s="395">
        <v>101.43057</v>
      </c>
      <c r="J46" s="396">
        <v>55.698315289687997</v>
      </c>
      <c r="K46" s="399">
        <v>1.6634414371620001</v>
      </c>
    </row>
    <row r="47" spans="1:11" ht="14.4" customHeight="1" thickBot="1" x14ac:dyDescent="0.35">
      <c r="A47" s="414" t="s">
        <v>273</v>
      </c>
      <c r="B47" s="395">
        <v>48</v>
      </c>
      <c r="C47" s="395">
        <v>58.769359999999999</v>
      </c>
      <c r="D47" s="396">
        <v>10.769360000000001</v>
      </c>
      <c r="E47" s="397">
        <v>1.224361666666</v>
      </c>
      <c r="F47" s="395">
        <v>60.976339613748998</v>
      </c>
      <c r="G47" s="396">
        <v>45.732254710310997</v>
      </c>
      <c r="H47" s="398">
        <v>7.0292000000000003</v>
      </c>
      <c r="I47" s="395">
        <v>73.538020000000003</v>
      </c>
      <c r="J47" s="396">
        <v>27.805765289688001</v>
      </c>
      <c r="K47" s="399">
        <v>1.2060090924739999</v>
      </c>
    </row>
    <row r="48" spans="1:11" ht="14.4" customHeight="1" thickBot="1" x14ac:dyDescent="0.35">
      <c r="A48" s="415" t="s">
        <v>274</v>
      </c>
      <c r="B48" s="395">
        <v>48</v>
      </c>
      <c r="C48" s="395">
        <v>58.769359999999999</v>
      </c>
      <c r="D48" s="396">
        <v>10.769360000000001</v>
      </c>
      <c r="E48" s="397">
        <v>1.224361666666</v>
      </c>
      <c r="F48" s="395">
        <v>60.976339613748998</v>
      </c>
      <c r="G48" s="396">
        <v>45.732254710310997</v>
      </c>
      <c r="H48" s="398">
        <v>7.0292000000000003</v>
      </c>
      <c r="I48" s="395">
        <v>73.538020000000003</v>
      </c>
      <c r="J48" s="396">
        <v>27.805765289688001</v>
      </c>
      <c r="K48" s="399">
        <v>1.2060090924739999</v>
      </c>
    </row>
    <row r="49" spans="1:11" ht="14.4" customHeight="1" thickBot="1" x14ac:dyDescent="0.35">
      <c r="A49" s="416" t="s">
        <v>275</v>
      </c>
      <c r="B49" s="400">
        <v>0</v>
      </c>
      <c r="C49" s="400">
        <v>0.59584000000000004</v>
      </c>
      <c r="D49" s="401">
        <v>0.59584000000000004</v>
      </c>
      <c r="E49" s="405" t="s">
        <v>242</v>
      </c>
      <c r="F49" s="400">
        <v>1.274917889605</v>
      </c>
      <c r="G49" s="401">
        <v>0.95618841720400005</v>
      </c>
      <c r="H49" s="403">
        <v>0</v>
      </c>
      <c r="I49" s="400">
        <v>0.15561</v>
      </c>
      <c r="J49" s="401">
        <v>-0.80057841720400003</v>
      </c>
      <c r="K49" s="404">
        <v>0.122054919198</v>
      </c>
    </row>
    <row r="50" spans="1:11" ht="14.4" customHeight="1" thickBot="1" x14ac:dyDescent="0.35">
      <c r="A50" s="417" t="s">
        <v>276</v>
      </c>
      <c r="B50" s="395">
        <v>0</v>
      </c>
      <c r="C50" s="395">
        <v>0.59584000000000004</v>
      </c>
      <c r="D50" s="396">
        <v>0.59584000000000004</v>
      </c>
      <c r="E50" s="406" t="s">
        <v>242</v>
      </c>
      <c r="F50" s="395">
        <v>1.274917889605</v>
      </c>
      <c r="G50" s="396">
        <v>0.95618841720400005</v>
      </c>
      <c r="H50" s="398">
        <v>0</v>
      </c>
      <c r="I50" s="395">
        <v>0.15561</v>
      </c>
      <c r="J50" s="396">
        <v>-0.80057841720400003</v>
      </c>
      <c r="K50" s="399">
        <v>0.122054919198</v>
      </c>
    </row>
    <row r="51" spans="1:11" ht="14.4" customHeight="1" thickBot="1" x14ac:dyDescent="0.35">
      <c r="A51" s="416" t="s">
        <v>277</v>
      </c>
      <c r="B51" s="400">
        <v>0</v>
      </c>
      <c r="C51" s="400">
        <v>0.39760000000000001</v>
      </c>
      <c r="D51" s="401">
        <v>0.39760000000000001</v>
      </c>
      <c r="E51" s="405" t="s">
        <v>242</v>
      </c>
      <c r="F51" s="400">
        <v>0.39765726080000002</v>
      </c>
      <c r="G51" s="401">
        <v>0.29824294559999998</v>
      </c>
      <c r="H51" s="403">
        <v>1.4679199999999999</v>
      </c>
      <c r="I51" s="400">
        <v>1.4679199999999999</v>
      </c>
      <c r="J51" s="401">
        <v>1.169677054399</v>
      </c>
      <c r="K51" s="404">
        <v>3.6914200863470001</v>
      </c>
    </row>
    <row r="52" spans="1:11" ht="14.4" customHeight="1" thickBot="1" x14ac:dyDescent="0.35">
      <c r="A52" s="417" t="s">
        <v>278</v>
      </c>
      <c r="B52" s="395">
        <v>0</v>
      </c>
      <c r="C52" s="395">
        <v>0.39760000000000001</v>
      </c>
      <c r="D52" s="396">
        <v>0.39760000000000001</v>
      </c>
      <c r="E52" s="406" t="s">
        <v>242</v>
      </c>
      <c r="F52" s="395">
        <v>0.39765726080000002</v>
      </c>
      <c r="G52" s="396">
        <v>0.29824294559999998</v>
      </c>
      <c r="H52" s="398">
        <v>1.4679199999999999</v>
      </c>
      <c r="I52" s="395">
        <v>1.4679199999999999</v>
      </c>
      <c r="J52" s="396">
        <v>1.169677054399</v>
      </c>
      <c r="K52" s="399">
        <v>3.6914200863470001</v>
      </c>
    </row>
    <row r="53" spans="1:11" ht="14.4" customHeight="1" thickBot="1" x14ac:dyDescent="0.35">
      <c r="A53" s="416" t="s">
        <v>279</v>
      </c>
      <c r="B53" s="400">
        <v>48</v>
      </c>
      <c r="C53" s="400">
        <v>56.968600000000002</v>
      </c>
      <c r="D53" s="401">
        <v>8.9686000000000003</v>
      </c>
      <c r="E53" s="402">
        <v>1.1868458333330001</v>
      </c>
      <c r="F53" s="400">
        <v>59.303764463341999</v>
      </c>
      <c r="G53" s="401">
        <v>44.477823347506998</v>
      </c>
      <c r="H53" s="403">
        <v>5.2298</v>
      </c>
      <c r="I53" s="400">
        <v>69.886589999999998</v>
      </c>
      <c r="J53" s="401">
        <v>25.408766652492002</v>
      </c>
      <c r="K53" s="404">
        <v>1.178451159592</v>
      </c>
    </row>
    <row r="54" spans="1:11" ht="14.4" customHeight="1" thickBot="1" x14ac:dyDescent="0.35">
      <c r="A54" s="417" t="s">
        <v>280</v>
      </c>
      <c r="B54" s="395">
        <v>23</v>
      </c>
      <c r="C54" s="395">
        <v>23.046009999999999</v>
      </c>
      <c r="D54" s="396">
        <v>4.6009999998999997E-2</v>
      </c>
      <c r="E54" s="397">
        <v>1.002000434782</v>
      </c>
      <c r="F54" s="395">
        <v>24.835623740237999</v>
      </c>
      <c r="G54" s="396">
        <v>18.626717805178</v>
      </c>
      <c r="H54" s="398">
        <v>1.52807</v>
      </c>
      <c r="I54" s="395">
        <v>26.90625</v>
      </c>
      <c r="J54" s="396">
        <v>8.2795321948209999</v>
      </c>
      <c r="K54" s="399">
        <v>1.0833732336020001</v>
      </c>
    </row>
    <row r="55" spans="1:11" ht="14.4" customHeight="1" thickBot="1" x14ac:dyDescent="0.35">
      <c r="A55" s="417" t="s">
        <v>281</v>
      </c>
      <c r="B55" s="395">
        <v>25</v>
      </c>
      <c r="C55" s="395">
        <v>33.92259</v>
      </c>
      <c r="D55" s="396">
        <v>8.9225899999999996</v>
      </c>
      <c r="E55" s="397">
        <v>1.3569036000000001</v>
      </c>
      <c r="F55" s="395">
        <v>34.468140723104</v>
      </c>
      <c r="G55" s="396">
        <v>25.851105542328</v>
      </c>
      <c r="H55" s="398">
        <v>3.70173</v>
      </c>
      <c r="I55" s="395">
        <v>42.980339999999998</v>
      </c>
      <c r="J55" s="396">
        <v>17.129234457671</v>
      </c>
      <c r="K55" s="399">
        <v>1.2469584694239999</v>
      </c>
    </row>
    <row r="56" spans="1:11" ht="14.4" customHeight="1" thickBot="1" x14ac:dyDescent="0.35">
      <c r="A56" s="416" t="s">
        <v>282</v>
      </c>
      <c r="B56" s="400">
        <v>0</v>
      </c>
      <c r="C56" s="400">
        <v>0.80732000000000004</v>
      </c>
      <c r="D56" s="401">
        <v>0.80732000000000004</v>
      </c>
      <c r="E56" s="405" t="s">
        <v>233</v>
      </c>
      <c r="F56" s="400">
        <v>0</v>
      </c>
      <c r="G56" s="401">
        <v>0</v>
      </c>
      <c r="H56" s="403">
        <v>0.33148</v>
      </c>
      <c r="I56" s="400">
        <v>2.0278999999999998</v>
      </c>
      <c r="J56" s="401">
        <v>2.0278999999999998</v>
      </c>
      <c r="K56" s="407" t="s">
        <v>233</v>
      </c>
    </row>
    <row r="57" spans="1:11" ht="14.4" customHeight="1" thickBot="1" x14ac:dyDescent="0.35">
      <c r="A57" s="417" t="s">
        <v>283</v>
      </c>
      <c r="B57" s="395">
        <v>0</v>
      </c>
      <c r="C57" s="395">
        <v>0.60794999999999999</v>
      </c>
      <c r="D57" s="396">
        <v>0.60794999999999999</v>
      </c>
      <c r="E57" s="406" t="s">
        <v>233</v>
      </c>
      <c r="F57" s="395">
        <v>0</v>
      </c>
      <c r="G57" s="396">
        <v>0</v>
      </c>
      <c r="H57" s="398">
        <v>0</v>
      </c>
      <c r="I57" s="395">
        <v>1.03813</v>
      </c>
      <c r="J57" s="396">
        <v>1.03813</v>
      </c>
      <c r="K57" s="408" t="s">
        <v>233</v>
      </c>
    </row>
    <row r="58" spans="1:11" ht="14.4" customHeight="1" thickBot="1" x14ac:dyDescent="0.35">
      <c r="A58" s="417" t="s">
        <v>284</v>
      </c>
      <c r="B58" s="395">
        <v>0</v>
      </c>
      <c r="C58" s="395">
        <v>0.19936999999999999</v>
      </c>
      <c r="D58" s="396">
        <v>0.19936999999999999</v>
      </c>
      <c r="E58" s="406" t="s">
        <v>233</v>
      </c>
      <c r="F58" s="395">
        <v>0</v>
      </c>
      <c r="G58" s="396">
        <v>0</v>
      </c>
      <c r="H58" s="398">
        <v>0.33148</v>
      </c>
      <c r="I58" s="395">
        <v>0.98977000000000004</v>
      </c>
      <c r="J58" s="396">
        <v>0.98977000000000004</v>
      </c>
      <c r="K58" s="408" t="s">
        <v>233</v>
      </c>
    </row>
    <row r="59" spans="1:11" ht="14.4" customHeight="1" thickBot="1" x14ac:dyDescent="0.35">
      <c r="A59" s="414" t="s">
        <v>285</v>
      </c>
      <c r="B59" s="395">
        <v>0</v>
      </c>
      <c r="C59" s="395">
        <v>1.5</v>
      </c>
      <c r="D59" s="396">
        <v>1.5</v>
      </c>
      <c r="E59" s="406" t="s">
        <v>233</v>
      </c>
      <c r="F59" s="395">
        <v>0</v>
      </c>
      <c r="G59" s="396">
        <v>0</v>
      </c>
      <c r="H59" s="398">
        <v>0</v>
      </c>
      <c r="I59" s="395">
        <v>27.89255</v>
      </c>
      <c r="J59" s="396">
        <v>27.89255</v>
      </c>
      <c r="K59" s="408" t="s">
        <v>233</v>
      </c>
    </row>
    <row r="60" spans="1:11" ht="14.4" customHeight="1" thickBot="1" x14ac:dyDescent="0.35">
      <c r="A60" s="415" t="s">
        <v>286</v>
      </c>
      <c r="B60" s="395">
        <v>0</v>
      </c>
      <c r="C60" s="395">
        <v>1.5</v>
      </c>
      <c r="D60" s="396">
        <v>1.5</v>
      </c>
      <c r="E60" s="406" t="s">
        <v>242</v>
      </c>
      <c r="F60" s="395">
        <v>0</v>
      </c>
      <c r="G60" s="396">
        <v>0</v>
      </c>
      <c r="H60" s="398">
        <v>0</v>
      </c>
      <c r="I60" s="395">
        <v>25</v>
      </c>
      <c r="J60" s="396">
        <v>25</v>
      </c>
      <c r="K60" s="408" t="s">
        <v>233</v>
      </c>
    </row>
    <row r="61" spans="1:11" ht="14.4" customHeight="1" thickBot="1" x14ac:dyDescent="0.35">
      <c r="A61" s="416" t="s">
        <v>287</v>
      </c>
      <c r="B61" s="400">
        <v>0</v>
      </c>
      <c r="C61" s="400">
        <v>1.5</v>
      </c>
      <c r="D61" s="401">
        <v>1.5</v>
      </c>
      <c r="E61" s="405" t="s">
        <v>242</v>
      </c>
      <c r="F61" s="400">
        <v>0</v>
      </c>
      <c r="G61" s="401">
        <v>0</v>
      </c>
      <c r="H61" s="403">
        <v>0</v>
      </c>
      <c r="I61" s="400">
        <v>25</v>
      </c>
      <c r="J61" s="401">
        <v>25</v>
      </c>
      <c r="K61" s="407" t="s">
        <v>233</v>
      </c>
    </row>
    <row r="62" spans="1:11" ht="14.4" customHeight="1" thickBot="1" x14ac:dyDescent="0.35">
      <c r="A62" s="417" t="s">
        <v>288</v>
      </c>
      <c r="B62" s="395">
        <v>0</v>
      </c>
      <c r="C62" s="395">
        <v>1.5</v>
      </c>
      <c r="D62" s="396">
        <v>1.5</v>
      </c>
      <c r="E62" s="406" t="s">
        <v>242</v>
      </c>
      <c r="F62" s="395">
        <v>0</v>
      </c>
      <c r="G62" s="396">
        <v>0</v>
      </c>
      <c r="H62" s="398">
        <v>0</v>
      </c>
      <c r="I62" s="395">
        <v>25</v>
      </c>
      <c r="J62" s="396">
        <v>25</v>
      </c>
      <c r="K62" s="408" t="s">
        <v>233</v>
      </c>
    </row>
    <row r="63" spans="1:11" ht="14.4" customHeight="1" thickBot="1" x14ac:dyDescent="0.35">
      <c r="A63" s="420" t="s">
        <v>289</v>
      </c>
      <c r="B63" s="400">
        <v>0</v>
      </c>
      <c r="C63" s="400">
        <v>0</v>
      </c>
      <c r="D63" s="401">
        <v>0</v>
      </c>
      <c r="E63" s="405" t="s">
        <v>233</v>
      </c>
      <c r="F63" s="400">
        <v>0</v>
      </c>
      <c r="G63" s="401">
        <v>0</v>
      </c>
      <c r="H63" s="403">
        <v>0</v>
      </c>
      <c r="I63" s="400">
        <v>2.89255</v>
      </c>
      <c r="J63" s="401">
        <v>2.89255</v>
      </c>
      <c r="K63" s="407" t="s">
        <v>233</v>
      </c>
    </row>
    <row r="64" spans="1:11" ht="14.4" customHeight="1" thickBot="1" x14ac:dyDescent="0.35">
      <c r="A64" s="416" t="s">
        <v>290</v>
      </c>
      <c r="B64" s="400">
        <v>0</v>
      </c>
      <c r="C64" s="400">
        <v>0</v>
      </c>
      <c r="D64" s="401">
        <v>0</v>
      </c>
      <c r="E64" s="402">
        <v>1</v>
      </c>
      <c r="F64" s="400">
        <v>0</v>
      </c>
      <c r="G64" s="401">
        <v>0</v>
      </c>
      <c r="H64" s="403">
        <v>0</v>
      </c>
      <c r="I64" s="400">
        <v>-5.0000000000000002E-5</v>
      </c>
      <c r="J64" s="401">
        <v>-5.0000000000000002E-5</v>
      </c>
      <c r="K64" s="407" t="s">
        <v>233</v>
      </c>
    </row>
    <row r="65" spans="1:11" ht="14.4" customHeight="1" thickBot="1" x14ac:dyDescent="0.35">
      <c r="A65" s="417" t="s">
        <v>291</v>
      </c>
      <c r="B65" s="395">
        <v>0</v>
      </c>
      <c r="C65" s="395">
        <v>0</v>
      </c>
      <c r="D65" s="396">
        <v>0</v>
      </c>
      <c r="E65" s="397">
        <v>1</v>
      </c>
      <c r="F65" s="395">
        <v>0</v>
      </c>
      <c r="G65" s="396">
        <v>0</v>
      </c>
      <c r="H65" s="398">
        <v>0</v>
      </c>
      <c r="I65" s="395">
        <v>-5.0000000000000002E-5</v>
      </c>
      <c r="J65" s="396">
        <v>-5.0000000000000002E-5</v>
      </c>
      <c r="K65" s="408" t="s">
        <v>242</v>
      </c>
    </row>
    <row r="66" spans="1:11" ht="14.4" customHeight="1" thickBot="1" x14ac:dyDescent="0.35">
      <c r="A66" s="416" t="s">
        <v>292</v>
      </c>
      <c r="B66" s="400">
        <v>0</v>
      </c>
      <c r="C66" s="400">
        <v>0</v>
      </c>
      <c r="D66" s="401">
        <v>0</v>
      </c>
      <c r="E66" s="405" t="s">
        <v>233</v>
      </c>
      <c r="F66" s="400">
        <v>0</v>
      </c>
      <c r="G66" s="401">
        <v>0</v>
      </c>
      <c r="H66" s="403">
        <v>0</v>
      </c>
      <c r="I66" s="400">
        <v>2.8925999999999998</v>
      </c>
      <c r="J66" s="401">
        <v>2.8925999999999998</v>
      </c>
      <c r="K66" s="407" t="s">
        <v>242</v>
      </c>
    </row>
    <row r="67" spans="1:11" ht="14.4" customHeight="1" thickBot="1" x14ac:dyDescent="0.35">
      <c r="A67" s="417" t="s">
        <v>293</v>
      </c>
      <c r="B67" s="395">
        <v>0</v>
      </c>
      <c r="C67" s="395">
        <v>0</v>
      </c>
      <c r="D67" s="396">
        <v>0</v>
      </c>
      <c r="E67" s="397">
        <v>1</v>
      </c>
      <c r="F67" s="395">
        <v>0</v>
      </c>
      <c r="G67" s="396">
        <v>0</v>
      </c>
      <c r="H67" s="398">
        <v>0</v>
      </c>
      <c r="I67" s="395">
        <v>2.8925999999999998</v>
      </c>
      <c r="J67" s="396">
        <v>2.8925999999999998</v>
      </c>
      <c r="K67" s="408" t="s">
        <v>242</v>
      </c>
    </row>
    <row r="68" spans="1:11" ht="14.4" customHeight="1" thickBot="1" x14ac:dyDescent="0.35">
      <c r="A68" s="413" t="s">
        <v>294</v>
      </c>
      <c r="B68" s="395">
        <v>278.85684610689401</v>
      </c>
      <c r="C68" s="395">
        <v>321.21145000000001</v>
      </c>
      <c r="D68" s="396">
        <v>42.354603893106002</v>
      </c>
      <c r="E68" s="397">
        <v>1.151886548544</v>
      </c>
      <c r="F68" s="395">
        <v>305.65539494870097</v>
      </c>
      <c r="G68" s="396">
        <v>229.24154621152499</v>
      </c>
      <c r="H68" s="398">
        <v>22.707660000000001</v>
      </c>
      <c r="I68" s="395">
        <v>228.89105000000001</v>
      </c>
      <c r="J68" s="396">
        <v>-0.35049621152499999</v>
      </c>
      <c r="K68" s="399">
        <v>0.74885329617100005</v>
      </c>
    </row>
    <row r="69" spans="1:11" ht="14.4" customHeight="1" thickBot="1" x14ac:dyDescent="0.35">
      <c r="A69" s="418" t="s">
        <v>295</v>
      </c>
      <c r="B69" s="400">
        <v>278.85684610689401</v>
      </c>
      <c r="C69" s="400">
        <v>321.21145000000001</v>
      </c>
      <c r="D69" s="401">
        <v>42.354603893106002</v>
      </c>
      <c r="E69" s="402">
        <v>1.151886548544</v>
      </c>
      <c r="F69" s="400">
        <v>305.65539494870097</v>
      </c>
      <c r="G69" s="401">
        <v>229.24154621152499</v>
      </c>
      <c r="H69" s="403">
        <v>22.707660000000001</v>
      </c>
      <c r="I69" s="400">
        <v>228.89105000000001</v>
      </c>
      <c r="J69" s="401">
        <v>-0.35049621152499999</v>
      </c>
      <c r="K69" s="404">
        <v>0.74885329617100005</v>
      </c>
    </row>
    <row r="70" spans="1:11" ht="14.4" customHeight="1" thickBot="1" x14ac:dyDescent="0.35">
      <c r="A70" s="420" t="s">
        <v>51</v>
      </c>
      <c r="B70" s="400">
        <v>278.85684610689401</v>
      </c>
      <c r="C70" s="400">
        <v>321.21145000000001</v>
      </c>
      <c r="D70" s="401">
        <v>42.354603893106002</v>
      </c>
      <c r="E70" s="402">
        <v>1.151886548544</v>
      </c>
      <c r="F70" s="400">
        <v>305.65539494870097</v>
      </c>
      <c r="G70" s="401">
        <v>229.24154621152499</v>
      </c>
      <c r="H70" s="403">
        <v>22.707660000000001</v>
      </c>
      <c r="I70" s="400">
        <v>228.89105000000001</v>
      </c>
      <c r="J70" s="401">
        <v>-0.35049621152499999</v>
      </c>
      <c r="K70" s="404">
        <v>0.74885329617100005</v>
      </c>
    </row>
    <row r="71" spans="1:11" ht="14.4" customHeight="1" thickBot="1" x14ac:dyDescent="0.35">
      <c r="A71" s="416" t="s">
        <v>296</v>
      </c>
      <c r="B71" s="400">
        <v>119.44878591118599</v>
      </c>
      <c r="C71" s="400">
        <v>122.49681</v>
      </c>
      <c r="D71" s="401">
        <v>3.0480240888129999</v>
      </c>
      <c r="E71" s="402">
        <v>1.0255174137230001</v>
      </c>
      <c r="F71" s="400">
        <v>133.88959628331199</v>
      </c>
      <c r="G71" s="401">
        <v>100.417197212484</v>
      </c>
      <c r="H71" s="403">
        <v>8.5822199999999995</v>
      </c>
      <c r="I71" s="400">
        <v>83.694410000000005</v>
      </c>
      <c r="J71" s="401">
        <v>-16.722787212484</v>
      </c>
      <c r="K71" s="404">
        <v>0.62510017449599997</v>
      </c>
    </row>
    <row r="72" spans="1:11" ht="14.4" customHeight="1" thickBot="1" x14ac:dyDescent="0.35">
      <c r="A72" s="417" t="s">
        <v>297</v>
      </c>
      <c r="B72" s="395">
        <v>119.44878591118599</v>
      </c>
      <c r="C72" s="395">
        <v>122.49681</v>
      </c>
      <c r="D72" s="396">
        <v>3.0480240888129999</v>
      </c>
      <c r="E72" s="397">
        <v>1.0255174137230001</v>
      </c>
      <c r="F72" s="395">
        <v>133.88959628331199</v>
      </c>
      <c r="G72" s="396">
        <v>100.417197212484</v>
      </c>
      <c r="H72" s="398">
        <v>8.5822199999999995</v>
      </c>
      <c r="I72" s="395">
        <v>83.694410000000005</v>
      </c>
      <c r="J72" s="396">
        <v>-16.722787212484</v>
      </c>
      <c r="K72" s="399">
        <v>0.62510017449599997</v>
      </c>
    </row>
    <row r="73" spans="1:11" ht="14.4" customHeight="1" thickBot="1" x14ac:dyDescent="0.35">
      <c r="A73" s="416" t="s">
        <v>298</v>
      </c>
      <c r="B73" s="400">
        <v>159.40806019570701</v>
      </c>
      <c r="C73" s="400">
        <v>198.71464</v>
      </c>
      <c r="D73" s="401">
        <v>39.306579804291999</v>
      </c>
      <c r="E73" s="402">
        <v>1.24657837098</v>
      </c>
      <c r="F73" s="400">
        <v>171.76579866538799</v>
      </c>
      <c r="G73" s="401">
        <v>128.82434899904101</v>
      </c>
      <c r="H73" s="403">
        <v>14.125439999999999</v>
      </c>
      <c r="I73" s="400">
        <v>145.19664</v>
      </c>
      <c r="J73" s="401">
        <v>16.372291000958</v>
      </c>
      <c r="K73" s="404">
        <v>0.84531752612</v>
      </c>
    </row>
    <row r="74" spans="1:11" ht="14.4" customHeight="1" thickBot="1" x14ac:dyDescent="0.35">
      <c r="A74" s="417" t="s">
        <v>299</v>
      </c>
      <c r="B74" s="395">
        <v>159.40806019570701</v>
      </c>
      <c r="C74" s="395">
        <v>198.71464</v>
      </c>
      <c r="D74" s="396">
        <v>39.306579804291999</v>
      </c>
      <c r="E74" s="397">
        <v>1.24657837098</v>
      </c>
      <c r="F74" s="395">
        <v>171.76579866538799</v>
      </c>
      <c r="G74" s="396">
        <v>128.82434899904101</v>
      </c>
      <c r="H74" s="398">
        <v>14.125439999999999</v>
      </c>
      <c r="I74" s="395">
        <v>145.19664</v>
      </c>
      <c r="J74" s="396">
        <v>16.372291000958</v>
      </c>
      <c r="K74" s="399">
        <v>0.84531752612</v>
      </c>
    </row>
    <row r="75" spans="1:11" ht="14.4" customHeight="1" thickBot="1" x14ac:dyDescent="0.35">
      <c r="A75" s="421"/>
      <c r="B75" s="395">
        <v>-2015.37988363258</v>
      </c>
      <c r="C75" s="395">
        <v>-2312.1840299999999</v>
      </c>
      <c r="D75" s="396">
        <v>-296.80414636741801</v>
      </c>
      <c r="E75" s="397">
        <v>1.147269578692</v>
      </c>
      <c r="F75" s="395">
        <v>-2171.9284161892101</v>
      </c>
      <c r="G75" s="396">
        <v>-1628.9463121419101</v>
      </c>
      <c r="H75" s="398">
        <v>-157.19288</v>
      </c>
      <c r="I75" s="395">
        <v>-1532.74242</v>
      </c>
      <c r="J75" s="396">
        <v>96.203892141908</v>
      </c>
      <c r="K75" s="399">
        <v>0.70570577214899999</v>
      </c>
    </row>
    <row r="76" spans="1:11" ht="14.4" customHeight="1" thickBot="1" x14ac:dyDescent="0.35">
      <c r="A76" s="422" t="s">
        <v>63</v>
      </c>
      <c r="B76" s="409">
        <v>-2015.37988363258</v>
      </c>
      <c r="C76" s="409">
        <v>-2312.1840299999999</v>
      </c>
      <c r="D76" s="410">
        <v>-296.80414636741801</v>
      </c>
      <c r="E76" s="411">
        <v>-1.0457371734059999</v>
      </c>
      <c r="F76" s="409">
        <v>-2171.9284161892101</v>
      </c>
      <c r="G76" s="410">
        <v>-1628.9463121419101</v>
      </c>
      <c r="H76" s="409">
        <v>-157.19288</v>
      </c>
      <c r="I76" s="409">
        <v>-1532.74242</v>
      </c>
      <c r="J76" s="410">
        <v>96.203892141908</v>
      </c>
      <c r="K76" s="412">
        <v>0.70570577214899999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5" customWidth="1"/>
    <col min="2" max="2" width="34.21875" style="115" customWidth="1"/>
    <col min="3" max="3" width="11.109375" style="115" bestFit="1" customWidth="1"/>
    <col min="4" max="4" width="7.33203125" style="115" bestFit="1" customWidth="1"/>
    <col min="5" max="5" width="11.109375" style="115" bestFit="1" customWidth="1"/>
    <col min="6" max="6" width="5.33203125" style="115" customWidth="1"/>
    <col min="7" max="7" width="7.33203125" style="115" bestFit="1" customWidth="1"/>
    <col min="8" max="8" width="5.33203125" style="115" customWidth="1"/>
    <col min="9" max="9" width="11.109375" style="115" customWidth="1"/>
    <col min="10" max="10" width="5.33203125" style="115" customWidth="1"/>
    <col min="11" max="11" width="7.33203125" style="115" customWidth="1"/>
    <col min="12" max="12" width="5.33203125" style="115" customWidth="1"/>
    <col min="13" max="13" width="0" style="115" hidden="1" customWidth="1"/>
    <col min="14" max="16384" width="8.88671875" style="115"/>
  </cols>
  <sheetData>
    <row r="1" spans="1:14" ht="18.600000000000001" customHeight="1" thickBot="1" x14ac:dyDescent="0.4">
      <c r="A1" s="319" t="s">
        <v>123</v>
      </c>
      <c r="B1" s="319"/>
      <c r="C1" s="319"/>
      <c r="D1" s="319"/>
      <c r="E1" s="319"/>
      <c r="F1" s="319"/>
      <c r="G1" s="319"/>
      <c r="H1" s="319"/>
      <c r="I1" s="291"/>
      <c r="J1" s="291"/>
      <c r="K1" s="291"/>
      <c r="L1" s="291"/>
    </row>
    <row r="2" spans="1:14" ht="14.4" customHeight="1" thickBot="1" x14ac:dyDescent="0.3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" customHeight="1" thickBot="1" x14ac:dyDescent="0.35">
      <c r="A3" s="128"/>
      <c r="B3" s="128"/>
      <c r="C3" s="321" t="s">
        <v>12</v>
      </c>
      <c r="D3" s="320"/>
      <c r="E3" s="320" t="s">
        <v>13</v>
      </c>
      <c r="F3" s="320"/>
      <c r="G3" s="320"/>
      <c r="H3" s="320"/>
      <c r="I3" s="320" t="s">
        <v>126</v>
      </c>
      <c r="J3" s="320"/>
      <c r="K3" s="320"/>
      <c r="L3" s="322"/>
    </row>
    <row r="4" spans="1:14" ht="14.4" customHeight="1" thickBot="1" x14ac:dyDescent="0.3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" customHeight="1" x14ac:dyDescent="0.3">
      <c r="A5" s="423">
        <v>43</v>
      </c>
      <c r="B5" s="424" t="s">
        <v>300</v>
      </c>
      <c r="C5" s="425">
        <v>38.56</v>
      </c>
      <c r="D5" s="425">
        <v>1</v>
      </c>
      <c r="E5" s="425">
        <v>38.56</v>
      </c>
      <c r="F5" s="426">
        <v>1</v>
      </c>
      <c r="G5" s="425">
        <v>1</v>
      </c>
      <c r="H5" s="426">
        <v>1</v>
      </c>
      <c r="I5" s="425" t="s">
        <v>301</v>
      </c>
      <c r="J5" s="426">
        <v>0</v>
      </c>
      <c r="K5" s="425" t="s">
        <v>301</v>
      </c>
      <c r="L5" s="426">
        <v>0</v>
      </c>
      <c r="M5" s="425" t="s">
        <v>65</v>
      </c>
      <c r="N5" s="135"/>
    </row>
    <row r="6" spans="1:14" ht="14.4" customHeight="1" x14ac:dyDescent="0.3">
      <c r="A6" s="423">
        <v>43</v>
      </c>
      <c r="B6" s="424" t="s">
        <v>302</v>
      </c>
      <c r="C6" s="425">
        <v>38.56</v>
      </c>
      <c r="D6" s="425">
        <v>1</v>
      </c>
      <c r="E6" s="425">
        <v>38.56</v>
      </c>
      <c r="F6" s="426">
        <v>1</v>
      </c>
      <c r="G6" s="425">
        <v>1</v>
      </c>
      <c r="H6" s="426">
        <v>1</v>
      </c>
      <c r="I6" s="425" t="s">
        <v>301</v>
      </c>
      <c r="J6" s="426">
        <v>0</v>
      </c>
      <c r="K6" s="425" t="s">
        <v>301</v>
      </c>
      <c r="L6" s="426">
        <v>0</v>
      </c>
      <c r="M6" s="425" t="s">
        <v>1</v>
      </c>
      <c r="N6" s="135"/>
    </row>
    <row r="7" spans="1:14" ht="14.4" customHeight="1" x14ac:dyDescent="0.3">
      <c r="A7" s="423" t="s">
        <v>303</v>
      </c>
      <c r="B7" s="424" t="s">
        <v>3</v>
      </c>
      <c r="C7" s="425">
        <v>38.56</v>
      </c>
      <c r="D7" s="425">
        <v>1</v>
      </c>
      <c r="E7" s="425">
        <v>38.56</v>
      </c>
      <c r="F7" s="426">
        <v>1</v>
      </c>
      <c r="G7" s="425">
        <v>1</v>
      </c>
      <c r="H7" s="426">
        <v>1</v>
      </c>
      <c r="I7" s="425" t="s">
        <v>301</v>
      </c>
      <c r="J7" s="426">
        <v>0</v>
      </c>
      <c r="K7" s="425" t="s">
        <v>301</v>
      </c>
      <c r="L7" s="426">
        <v>0</v>
      </c>
      <c r="M7" s="425" t="s">
        <v>304</v>
      </c>
      <c r="N7" s="135"/>
    </row>
    <row r="9" spans="1:14" ht="14.4" customHeight="1" x14ac:dyDescent="0.3">
      <c r="A9" s="423">
        <v>43</v>
      </c>
      <c r="B9" s="424" t="s">
        <v>300</v>
      </c>
      <c r="C9" s="425" t="s">
        <v>301</v>
      </c>
      <c r="D9" s="425" t="s">
        <v>301</v>
      </c>
      <c r="E9" s="425" t="s">
        <v>301</v>
      </c>
      <c r="F9" s="426" t="s">
        <v>301</v>
      </c>
      <c r="G9" s="425" t="s">
        <v>301</v>
      </c>
      <c r="H9" s="426" t="s">
        <v>301</v>
      </c>
      <c r="I9" s="425" t="s">
        <v>301</v>
      </c>
      <c r="J9" s="426" t="s">
        <v>301</v>
      </c>
      <c r="K9" s="425" t="s">
        <v>301</v>
      </c>
      <c r="L9" s="426" t="s">
        <v>301</v>
      </c>
      <c r="M9" s="425" t="s">
        <v>65</v>
      </c>
      <c r="N9" s="135"/>
    </row>
    <row r="10" spans="1:14" ht="14.4" customHeight="1" x14ac:dyDescent="0.3">
      <c r="A10" s="423" t="s">
        <v>305</v>
      </c>
      <c r="B10" s="424" t="s">
        <v>302</v>
      </c>
      <c r="C10" s="425">
        <v>38.56</v>
      </c>
      <c r="D10" s="425">
        <v>1</v>
      </c>
      <c r="E10" s="425">
        <v>38.56</v>
      </c>
      <c r="F10" s="426">
        <v>1</v>
      </c>
      <c r="G10" s="425">
        <v>1</v>
      </c>
      <c r="H10" s="426">
        <v>1</v>
      </c>
      <c r="I10" s="425" t="s">
        <v>301</v>
      </c>
      <c r="J10" s="426">
        <v>0</v>
      </c>
      <c r="K10" s="425" t="s">
        <v>301</v>
      </c>
      <c r="L10" s="426">
        <v>0</v>
      </c>
      <c r="M10" s="425" t="s">
        <v>1</v>
      </c>
      <c r="N10" s="135"/>
    </row>
    <row r="11" spans="1:14" ht="14.4" customHeight="1" x14ac:dyDescent="0.3">
      <c r="A11" s="423" t="s">
        <v>305</v>
      </c>
      <c r="B11" s="424" t="s">
        <v>306</v>
      </c>
      <c r="C11" s="425">
        <v>38.56</v>
      </c>
      <c r="D11" s="425">
        <v>1</v>
      </c>
      <c r="E11" s="425">
        <v>38.56</v>
      </c>
      <c r="F11" s="426">
        <v>1</v>
      </c>
      <c r="G11" s="425">
        <v>1</v>
      </c>
      <c r="H11" s="426">
        <v>1</v>
      </c>
      <c r="I11" s="425" t="s">
        <v>301</v>
      </c>
      <c r="J11" s="426">
        <v>0</v>
      </c>
      <c r="K11" s="425" t="s">
        <v>301</v>
      </c>
      <c r="L11" s="426">
        <v>0</v>
      </c>
      <c r="M11" s="425" t="s">
        <v>307</v>
      </c>
      <c r="N11" s="135"/>
    </row>
    <row r="12" spans="1:14" ht="14.4" customHeight="1" x14ac:dyDescent="0.3">
      <c r="A12" s="423" t="s">
        <v>301</v>
      </c>
      <c r="B12" s="424" t="s">
        <v>301</v>
      </c>
      <c r="C12" s="425" t="s">
        <v>301</v>
      </c>
      <c r="D12" s="425" t="s">
        <v>301</v>
      </c>
      <c r="E12" s="425" t="s">
        <v>301</v>
      </c>
      <c r="F12" s="426" t="s">
        <v>301</v>
      </c>
      <c r="G12" s="425" t="s">
        <v>301</v>
      </c>
      <c r="H12" s="426" t="s">
        <v>301</v>
      </c>
      <c r="I12" s="425" t="s">
        <v>301</v>
      </c>
      <c r="J12" s="426" t="s">
        <v>301</v>
      </c>
      <c r="K12" s="425" t="s">
        <v>301</v>
      </c>
      <c r="L12" s="426" t="s">
        <v>301</v>
      </c>
      <c r="M12" s="425" t="s">
        <v>308</v>
      </c>
      <c r="N12" s="135"/>
    </row>
    <row r="13" spans="1:14" ht="14.4" customHeight="1" x14ac:dyDescent="0.3">
      <c r="A13" s="423" t="s">
        <v>303</v>
      </c>
      <c r="B13" s="424" t="s">
        <v>309</v>
      </c>
      <c r="C13" s="425">
        <v>38.56</v>
      </c>
      <c r="D13" s="425">
        <v>1</v>
      </c>
      <c r="E13" s="425">
        <v>38.56</v>
      </c>
      <c r="F13" s="426">
        <v>1</v>
      </c>
      <c r="G13" s="425">
        <v>1</v>
      </c>
      <c r="H13" s="426">
        <v>1</v>
      </c>
      <c r="I13" s="425" t="s">
        <v>301</v>
      </c>
      <c r="J13" s="426">
        <v>0</v>
      </c>
      <c r="K13" s="425" t="s">
        <v>301</v>
      </c>
      <c r="L13" s="426">
        <v>0</v>
      </c>
      <c r="M13" s="425" t="s">
        <v>304</v>
      </c>
      <c r="N13" s="135"/>
    </row>
    <row r="14" spans="1:14" ht="14.4" customHeight="1" x14ac:dyDescent="0.3">
      <c r="A14" s="427" t="s">
        <v>209</v>
      </c>
    </row>
    <row r="15" spans="1:14" ht="14.4" customHeight="1" x14ac:dyDescent="0.3">
      <c r="A15" s="428" t="s">
        <v>310</v>
      </c>
    </row>
    <row r="16" spans="1:14" ht="14.4" customHeight="1" x14ac:dyDescent="0.3">
      <c r="A16" s="427" t="s">
        <v>311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5" customWidth="1"/>
    <col min="2" max="2" width="11.109375" style="192" bestFit="1" customWidth="1"/>
    <col min="3" max="3" width="11.109375" style="115" hidden="1" customWidth="1"/>
    <col min="4" max="4" width="7.33203125" style="192" bestFit="1" customWidth="1"/>
    <col min="5" max="5" width="7.33203125" style="115" hidden="1" customWidth="1"/>
    <col min="6" max="6" width="11.109375" style="192" bestFit="1" customWidth="1"/>
    <col min="7" max="7" width="5.33203125" style="195" customWidth="1"/>
    <col min="8" max="8" width="7.33203125" style="192" bestFit="1" customWidth="1"/>
    <col min="9" max="9" width="5.33203125" style="195" customWidth="1"/>
    <col min="10" max="10" width="11.109375" style="192" customWidth="1"/>
    <col min="11" max="11" width="5.33203125" style="195" customWidth="1"/>
    <col min="12" max="12" width="7.33203125" style="192" customWidth="1"/>
    <col min="13" max="13" width="5.33203125" style="195" customWidth="1"/>
    <col min="14" max="14" width="0" style="115" hidden="1" customWidth="1"/>
    <col min="15" max="16384" width="8.88671875" style="115"/>
  </cols>
  <sheetData>
    <row r="1" spans="1:13" ht="18.600000000000001" customHeight="1" thickBot="1" x14ac:dyDescent="0.4">
      <c r="A1" s="319" t="s">
        <v>127</v>
      </c>
      <c r="B1" s="319"/>
      <c r="C1" s="319"/>
      <c r="D1" s="319"/>
      <c r="E1" s="319"/>
      <c r="F1" s="319"/>
      <c r="G1" s="319"/>
      <c r="H1" s="319"/>
      <c r="I1" s="319"/>
      <c r="J1" s="291"/>
      <c r="K1" s="291"/>
      <c r="L1" s="291"/>
      <c r="M1" s="291"/>
    </row>
    <row r="2" spans="1:13" ht="14.4" customHeight="1" thickBot="1" x14ac:dyDescent="0.3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" customHeight="1" thickBot="1" x14ac:dyDescent="0.35">
      <c r="A3" s="128"/>
      <c r="B3" s="321" t="s">
        <v>12</v>
      </c>
      <c r="C3" s="323"/>
      <c r="D3" s="320"/>
      <c r="E3" s="127"/>
      <c r="F3" s="320" t="s">
        <v>13</v>
      </c>
      <c r="G3" s="320"/>
      <c r="H3" s="320"/>
      <c r="I3" s="320"/>
      <c r="J3" s="320" t="s">
        <v>126</v>
      </c>
      <c r="K3" s="320"/>
      <c r="L3" s="320"/>
      <c r="M3" s="322"/>
    </row>
    <row r="4" spans="1:13" ht="14.4" customHeight="1" thickBot="1" x14ac:dyDescent="0.35">
      <c r="A4" s="429" t="s">
        <v>121</v>
      </c>
      <c r="B4" s="432" t="s">
        <v>16</v>
      </c>
      <c r="C4" s="433"/>
      <c r="D4" s="432" t="s">
        <v>17</v>
      </c>
      <c r="E4" s="433"/>
      <c r="F4" s="432" t="s">
        <v>16</v>
      </c>
      <c r="G4" s="438" t="s">
        <v>2</v>
      </c>
      <c r="H4" s="432" t="s">
        <v>17</v>
      </c>
      <c r="I4" s="438" t="s">
        <v>2</v>
      </c>
      <c r="J4" s="432" t="s">
        <v>16</v>
      </c>
      <c r="K4" s="438" t="s">
        <v>2</v>
      </c>
      <c r="L4" s="432" t="s">
        <v>17</v>
      </c>
      <c r="M4" s="439" t="s">
        <v>2</v>
      </c>
    </row>
    <row r="5" spans="1:13" ht="14.4" customHeight="1" thickBot="1" x14ac:dyDescent="0.35">
      <c r="A5" s="431" t="s">
        <v>312</v>
      </c>
      <c r="B5" s="434">
        <v>38.56</v>
      </c>
      <c r="C5" s="435">
        <v>1</v>
      </c>
      <c r="D5" s="437">
        <v>1</v>
      </c>
      <c r="E5" s="430" t="s">
        <v>312</v>
      </c>
      <c r="F5" s="434">
        <v>38.56</v>
      </c>
      <c r="G5" s="440">
        <v>1</v>
      </c>
      <c r="H5" s="436">
        <v>1</v>
      </c>
      <c r="I5" s="441">
        <v>1</v>
      </c>
      <c r="J5" s="442"/>
      <c r="K5" s="440">
        <v>0</v>
      </c>
      <c r="L5" s="436"/>
      <c r="M5" s="44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5" hidden="1" customWidth="1" outlineLevel="1"/>
    <col min="2" max="2" width="28.33203125" style="115" hidden="1" customWidth="1" outlineLevel="1"/>
    <col min="3" max="3" width="9" style="115" customWidth="1" collapsed="1"/>
    <col min="4" max="4" width="18.77734375" style="200" customWidth="1"/>
    <col min="5" max="5" width="13.5546875" style="193" customWidth="1"/>
    <col min="6" max="6" width="6" style="115" bestFit="1" customWidth="1"/>
    <col min="7" max="7" width="8.77734375" style="115" customWidth="1"/>
    <col min="8" max="8" width="5" style="115" bestFit="1" customWidth="1"/>
    <col min="9" max="9" width="8.5546875" style="115" hidden="1" customWidth="1" outlineLevel="1"/>
    <col min="10" max="10" width="25.77734375" style="115" customWidth="1" collapsed="1"/>
    <col min="11" max="11" width="8.77734375" style="115" customWidth="1"/>
    <col min="12" max="12" width="7.77734375" style="194" customWidth="1"/>
    <col min="13" max="13" width="11.109375" style="194" customWidth="1"/>
    <col min="14" max="14" width="7.77734375" style="115" customWidth="1"/>
    <col min="15" max="15" width="7.77734375" style="201" customWidth="1"/>
    <col min="16" max="16" width="11.109375" style="194" customWidth="1"/>
    <col min="17" max="17" width="5.44140625" style="195" bestFit="1" customWidth="1"/>
    <col min="18" max="18" width="7.77734375" style="115" customWidth="1"/>
    <col min="19" max="19" width="5.44140625" style="195" bestFit="1" customWidth="1"/>
    <col min="20" max="20" width="7.77734375" style="201" customWidth="1"/>
    <col min="21" max="21" width="5.44140625" style="195" bestFit="1" customWidth="1"/>
    <col min="22" max="16384" width="8.88671875" style="115"/>
  </cols>
  <sheetData>
    <row r="1" spans="1:21" ht="18.600000000000001" customHeight="1" thickBot="1" x14ac:dyDescent="0.4">
      <c r="A1" s="317" t="s">
        <v>318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ht="14.4" customHeight="1" thickBot="1" x14ac:dyDescent="0.3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" customHeight="1" thickBot="1" x14ac:dyDescent="0.35">
      <c r="A3" s="327"/>
      <c r="B3" s="328"/>
      <c r="C3" s="328"/>
      <c r="D3" s="328"/>
      <c r="E3" s="328"/>
      <c r="F3" s="328"/>
      <c r="G3" s="328"/>
      <c r="H3" s="328"/>
      <c r="I3" s="328"/>
      <c r="J3" s="328"/>
      <c r="K3" s="329" t="s">
        <v>120</v>
      </c>
      <c r="L3" s="330"/>
      <c r="M3" s="57">
        <f>SUBTOTAL(9,M7:M1048576)</f>
        <v>38.56</v>
      </c>
      <c r="N3" s="57">
        <f>SUBTOTAL(9,N7:N1048576)</f>
        <v>1</v>
      </c>
      <c r="O3" s="57">
        <f>SUBTOTAL(9,O7:O1048576)</f>
        <v>1</v>
      </c>
      <c r="P3" s="57">
        <f>SUBTOTAL(9,P7:P1048576)</f>
        <v>38.56</v>
      </c>
      <c r="Q3" s="58">
        <f>IF(M3=0,0,P3/M3)</f>
        <v>1</v>
      </c>
      <c r="R3" s="57">
        <f>SUBTOTAL(9,R7:R1048576)</f>
        <v>1</v>
      </c>
      <c r="S3" s="58">
        <f>IF(N3=0,0,R3/N3)</f>
        <v>1</v>
      </c>
      <c r="T3" s="57">
        <f>SUBTOTAL(9,T7:T1048576)</f>
        <v>1</v>
      </c>
      <c r="U3" s="59">
        <f>IF(O3=0,0,T3/O3)</f>
        <v>1</v>
      </c>
    </row>
    <row r="4" spans="1:21" ht="14.4" customHeight="1" x14ac:dyDescent="0.3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31" t="s">
        <v>12</v>
      </c>
      <c r="N4" s="332"/>
      <c r="O4" s="332"/>
      <c r="P4" s="333" t="s">
        <v>18</v>
      </c>
      <c r="Q4" s="332"/>
      <c r="R4" s="332"/>
      <c r="S4" s="332"/>
      <c r="T4" s="332"/>
      <c r="U4" s="334"/>
    </row>
    <row r="5" spans="1:21" ht="14.4" customHeight="1" thickBot="1" x14ac:dyDescent="0.3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4" t="s">
        <v>19</v>
      </c>
      <c r="Q5" s="325"/>
      <c r="R5" s="324" t="s">
        <v>10</v>
      </c>
      <c r="S5" s="325"/>
      <c r="T5" s="324" t="s">
        <v>17</v>
      </c>
      <c r="U5" s="326"/>
    </row>
    <row r="6" spans="1:21" s="193" customFormat="1" ht="14.4" customHeight="1" thickBot="1" x14ac:dyDescent="0.35">
      <c r="A6" s="443" t="s">
        <v>20</v>
      </c>
      <c r="B6" s="444" t="s">
        <v>4</v>
      </c>
      <c r="C6" s="443" t="s">
        <v>21</v>
      </c>
      <c r="D6" s="444" t="s">
        <v>5</v>
      </c>
      <c r="E6" s="444" t="s">
        <v>129</v>
      </c>
      <c r="F6" s="444" t="s">
        <v>22</v>
      </c>
      <c r="G6" s="444" t="s">
        <v>23</v>
      </c>
      <c r="H6" s="444" t="s">
        <v>6</v>
      </c>
      <c r="I6" s="444" t="s">
        <v>7</v>
      </c>
      <c r="J6" s="444" t="s">
        <v>8</v>
      </c>
      <c r="K6" s="444" t="s">
        <v>9</v>
      </c>
      <c r="L6" s="444" t="s">
        <v>24</v>
      </c>
      <c r="M6" s="445" t="s">
        <v>11</v>
      </c>
      <c r="N6" s="446" t="s">
        <v>25</v>
      </c>
      <c r="O6" s="446" t="s">
        <v>25</v>
      </c>
      <c r="P6" s="446" t="s">
        <v>11</v>
      </c>
      <c r="Q6" s="446" t="s">
        <v>2</v>
      </c>
      <c r="R6" s="446" t="s">
        <v>25</v>
      </c>
      <c r="S6" s="446" t="s">
        <v>2</v>
      </c>
      <c r="T6" s="446" t="s">
        <v>25</v>
      </c>
      <c r="U6" s="447" t="s">
        <v>2</v>
      </c>
    </row>
    <row r="7" spans="1:21" ht="14.4" customHeight="1" thickBot="1" x14ac:dyDescent="0.35">
      <c r="A7" s="448">
        <v>43</v>
      </c>
      <c r="B7" s="449" t="s">
        <v>300</v>
      </c>
      <c r="C7" s="449" t="s">
        <v>305</v>
      </c>
      <c r="D7" s="450" t="s">
        <v>317</v>
      </c>
      <c r="E7" s="451" t="s">
        <v>312</v>
      </c>
      <c r="F7" s="449" t="s">
        <v>302</v>
      </c>
      <c r="G7" s="449" t="s">
        <v>313</v>
      </c>
      <c r="H7" s="449" t="s">
        <v>301</v>
      </c>
      <c r="I7" s="449" t="s">
        <v>314</v>
      </c>
      <c r="J7" s="449" t="s">
        <v>315</v>
      </c>
      <c r="K7" s="449" t="s">
        <v>316</v>
      </c>
      <c r="L7" s="452">
        <v>38.56</v>
      </c>
      <c r="M7" s="452">
        <v>38.56</v>
      </c>
      <c r="N7" s="449">
        <v>1</v>
      </c>
      <c r="O7" s="453">
        <v>1</v>
      </c>
      <c r="P7" s="452">
        <v>38.56</v>
      </c>
      <c r="Q7" s="220">
        <v>1</v>
      </c>
      <c r="R7" s="449">
        <v>1</v>
      </c>
      <c r="S7" s="220">
        <v>1</v>
      </c>
      <c r="T7" s="453">
        <v>1</v>
      </c>
      <c r="U7" s="22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3" customWidth="1"/>
    <col min="18" max="18" width="7.33203125" style="237" customWidth="1"/>
    <col min="19" max="19" width="8" style="213" customWidth="1"/>
    <col min="21" max="21" width="11.21875" bestFit="1" customWidth="1"/>
  </cols>
  <sheetData>
    <row r="1" spans="1:19" ht="18.600000000000001" thickBot="1" x14ac:dyDescent="0.4">
      <c r="A1" s="335" t="s">
        <v>102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5" thickBot="1" x14ac:dyDescent="0.35">
      <c r="A2" s="214" t="s">
        <v>232</v>
      </c>
      <c r="B2" s="215"/>
    </row>
    <row r="3" spans="1:19" x14ac:dyDescent="0.3">
      <c r="A3" s="349" t="s">
        <v>165</v>
      </c>
      <c r="B3" s="350"/>
      <c r="C3" s="351" t="s">
        <v>154</v>
      </c>
      <c r="D3" s="352"/>
      <c r="E3" s="352"/>
      <c r="F3" s="353"/>
      <c r="G3" s="354" t="s">
        <v>155</v>
      </c>
      <c r="H3" s="355"/>
      <c r="I3" s="355"/>
      <c r="J3" s="356"/>
      <c r="K3" s="357" t="s">
        <v>164</v>
      </c>
      <c r="L3" s="358"/>
      <c r="M3" s="358"/>
      <c r="N3" s="358"/>
      <c r="O3" s="359"/>
      <c r="P3" s="355" t="s">
        <v>207</v>
      </c>
      <c r="Q3" s="355"/>
      <c r="R3" s="355"/>
      <c r="S3" s="356"/>
    </row>
    <row r="4" spans="1:19" ht="15" thickBot="1" x14ac:dyDescent="0.35">
      <c r="A4" s="368">
        <v>2018</v>
      </c>
      <c r="B4" s="369"/>
      <c r="C4" s="370" t="s">
        <v>206</v>
      </c>
      <c r="D4" s="372" t="s">
        <v>103</v>
      </c>
      <c r="E4" s="372" t="s">
        <v>71</v>
      </c>
      <c r="F4" s="347" t="s">
        <v>64</v>
      </c>
      <c r="G4" s="362" t="s">
        <v>156</v>
      </c>
      <c r="H4" s="364" t="s">
        <v>160</v>
      </c>
      <c r="I4" s="364" t="s">
        <v>205</v>
      </c>
      <c r="J4" s="366" t="s">
        <v>157</v>
      </c>
      <c r="K4" s="344" t="s">
        <v>204</v>
      </c>
      <c r="L4" s="345"/>
      <c r="M4" s="345"/>
      <c r="N4" s="346"/>
      <c r="O4" s="347" t="s">
        <v>203</v>
      </c>
      <c r="P4" s="336" t="s">
        <v>202</v>
      </c>
      <c r="Q4" s="336" t="s">
        <v>167</v>
      </c>
      <c r="R4" s="338" t="s">
        <v>71</v>
      </c>
      <c r="S4" s="340" t="s">
        <v>166</v>
      </c>
    </row>
    <row r="5" spans="1:19" s="272" customFormat="1" ht="19.2" customHeight="1" x14ac:dyDescent="0.3">
      <c r="A5" s="342" t="s">
        <v>201</v>
      </c>
      <c r="B5" s="343"/>
      <c r="C5" s="371"/>
      <c r="D5" s="373"/>
      <c r="E5" s="373"/>
      <c r="F5" s="348"/>
      <c r="G5" s="363"/>
      <c r="H5" s="365"/>
      <c r="I5" s="365"/>
      <c r="J5" s="367"/>
      <c r="K5" s="275" t="s">
        <v>158</v>
      </c>
      <c r="L5" s="274" t="s">
        <v>159</v>
      </c>
      <c r="M5" s="274" t="s">
        <v>200</v>
      </c>
      <c r="N5" s="273" t="s">
        <v>3</v>
      </c>
      <c r="O5" s="348"/>
      <c r="P5" s="337"/>
      <c r="Q5" s="337"/>
      <c r="R5" s="339"/>
      <c r="S5" s="341"/>
    </row>
    <row r="6" spans="1:19" ht="15" thickBot="1" x14ac:dyDescent="0.35">
      <c r="A6" s="360" t="s">
        <v>153</v>
      </c>
      <c r="B6" s="361"/>
      <c r="C6" s="271">
        <f ca="1">SUM(Tabulka[01 uv_sk])/2</f>
        <v>2.3722222222222218</v>
      </c>
      <c r="D6" s="269"/>
      <c r="E6" s="269"/>
      <c r="F6" s="268"/>
      <c r="G6" s="270">
        <f ca="1">SUM(Tabulka[05 h_vram])/2</f>
        <v>3206.4000000000005</v>
      </c>
      <c r="H6" s="269">
        <f ca="1">SUM(Tabulka[06 h_naduv])/2</f>
        <v>0</v>
      </c>
      <c r="I6" s="269">
        <f ca="1">SUM(Tabulka[07 h_nadzk])/2</f>
        <v>0</v>
      </c>
      <c r="J6" s="268">
        <f ca="1">SUM(Tabulka[08 h_oon])/2</f>
        <v>0</v>
      </c>
      <c r="K6" s="270">
        <f ca="1">SUM(Tabulka[09 m_kl])/2</f>
        <v>0</v>
      </c>
      <c r="L6" s="269">
        <f ca="1">SUM(Tabulka[10 m_gr])/2</f>
        <v>0</v>
      </c>
      <c r="M6" s="269">
        <f ca="1">SUM(Tabulka[11 m_jo])/2</f>
        <v>115869</v>
      </c>
      <c r="N6" s="269">
        <f ca="1">SUM(Tabulka[12 m_oc])/2</f>
        <v>115869</v>
      </c>
      <c r="O6" s="268">
        <f ca="1">SUM(Tabulka[13 m_sk])/2</f>
        <v>1002533</v>
      </c>
      <c r="P6" s="267">
        <f ca="1">SUM(Tabulka[14_vzsk])/2</f>
        <v>9950</v>
      </c>
      <c r="Q6" s="267">
        <f ca="1">SUM(Tabulka[15_vzpl])/2</f>
        <v>4721.0687053895308</v>
      </c>
      <c r="R6" s="266">
        <f ca="1">IF(Q6=0,0,P6/Q6)</f>
        <v>2.1075736492970685</v>
      </c>
      <c r="S6" s="265">
        <f ca="1">Q6-P6</f>
        <v>-5228.9312946104692</v>
      </c>
    </row>
    <row r="7" spans="1:19" hidden="1" x14ac:dyDescent="0.3">
      <c r="A7" s="264" t="s">
        <v>199</v>
      </c>
      <c r="B7" s="263" t="s">
        <v>198</v>
      </c>
      <c r="C7" s="262" t="s">
        <v>197</v>
      </c>
      <c r="D7" s="261" t="s">
        <v>196</v>
      </c>
      <c r="E7" s="260" t="s">
        <v>195</v>
      </c>
      <c r="F7" s="259" t="s">
        <v>194</v>
      </c>
      <c r="G7" s="258" t="s">
        <v>193</v>
      </c>
      <c r="H7" s="256" t="s">
        <v>192</v>
      </c>
      <c r="I7" s="256" t="s">
        <v>191</v>
      </c>
      <c r="J7" s="255" t="s">
        <v>190</v>
      </c>
      <c r="K7" s="257" t="s">
        <v>189</v>
      </c>
      <c r="L7" s="256" t="s">
        <v>188</v>
      </c>
      <c r="M7" s="256" t="s">
        <v>187</v>
      </c>
      <c r="N7" s="255" t="s">
        <v>186</v>
      </c>
      <c r="O7" s="254" t="s">
        <v>185</v>
      </c>
      <c r="P7" s="253" t="s">
        <v>184</v>
      </c>
      <c r="Q7" s="252" t="s">
        <v>183</v>
      </c>
      <c r="R7" s="251" t="s">
        <v>182</v>
      </c>
      <c r="S7" s="250" t="s">
        <v>181</v>
      </c>
    </row>
    <row r="8" spans="1:19" x14ac:dyDescent="0.3">
      <c r="A8" s="247" t="s">
        <v>180</v>
      </c>
      <c r="B8" s="246"/>
      <c r="C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1.6111111111111109</v>
      </c>
      <c r="D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2255.1999999999998</v>
      </c>
      <c r="H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848049</v>
      </c>
      <c r="P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4721.0687053895308</v>
      </c>
      <c r="R8" s="249">
        <f ca="1">IF(Tabulka[[#This Row],[15_vzpl]]=0,"",Tabulka[[#This Row],[14_vzsk]]/Tabulka[[#This Row],[15_vzpl]])</f>
        <v>2.1075736492970685</v>
      </c>
      <c r="S8" s="248">
        <f ca="1">IF(Tabulka[[#This Row],[15_vzpl]]-Tabulka[[#This Row],[14_vzsk]]=0,"",Tabulka[[#This Row],[15_vzpl]]-Tabulka[[#This Row],[14_vzsk]])</f>
        <v>-5228.9312946104692</v>
      </c>
    </row>
    <row r="9" spans="1:19" x14ac:dyDescent="0.3">
      <c r="A9" s="247">
        <v>99</v>
      </c>
      <c r="B9" s="246" t="s">
        <v>331</v>
      </c>
      <c r="C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4721.0687053895308</v>
      </c>
      <c r="R9" s="249">
        <f ca="1">IF(Tabulka[[#This Row],[15_vzpl]]=0,"",Tabulka[[#This Row],[14_vzsk]]/Tabulka[[#This Row],[15_vzpl]])</f>
        <v>2.1075736492970685</v>
      </c>
      <c r="S9" s="248">
        <f ca="1">IF(Tabulka[[#This Row],[15_vzpl]]-Tabulka[[#This Row],[14_vzsk]]=0,"",Tabulka[[#This Row],[15_vzpl]]-Tabulka[[#This Row],[14_vzsk]])</f>
        <v>-5228.9312946104692</v>
      </c>
    </row>
    <row r="10" spans="1:19" x14ac:dyDescent="0.3">
      <c r="A10" s="247">
        <v>100</v>
      </c>
      <c r="B10" s="246" t="s">
        <v>332</v>
      </c>
      <c r="C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9" t="str">
        <f ca="1">IF(Tabulka[[#This Row],[15_vzpl]]=0,"",Tabulka[[#This Row],[14_vzsk]]/Tabulka[[#This Row],[15_vzpl]])</f>
        <v/>
      </c>
      <c r="S10" s="248" t="str">
        <f ca="1">IF(Tabulka[[#This Row],[15_vzpl]]-Tabulka[[#This Row],[14_vzsk]]=0,"",Tabulka[[#This Row],[15_vzpl]]-Tabulka[[#This Row],[14_vzsk]])</f>
        <v/>
      </c>
    </row>
    <row r="11" spans="1:19" x14ac:dyDescent="0.3">
      <c r="A11" s="247">
        <v>101</v>
      </c>
      <c r="B11" s="246" t="s">
        <v>333</v>
      </c>
      <c r="C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</v>
      </c>
      <c r="H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708129</v>
      </c>
      <c r="P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9" t="str">
        <f ca="1">IF(Tabulka[[#This Row],[15_vzpl]]=0,"",Tabulka[[#This Row],[14_vzsk]]/Tabulka[[#This Row],[15_vzpl]])</f>
        <v/>
      </c>
      <c r="S11" s="248" t="str">
        <f ca="1">IF(Tabulka[[#This Row],[15_vzpl]]-Tabulka[[#This Row],[14_vzsk]]=0,"",Tabulka[[#This Row],[15_vzpl]]-Tabulka[[#This Row],[14_vzsk]])</f>
        <v/>
      </c>
    </row>
    <row r="12" spans="1:19" x14ac:dyDescent="0.3">
      <c r="A12" s="247">
        <v>203</v>
      </c>
      <c r="B12" s="246" t="s">
        <v>334</v>
      </c>
      <c r="C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155.19999999999999</v>
      </c>
      <c r="H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25793</v>
      </c>
      <c r="P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9" t="str">
        <f ca="1">IF(Tabulka[[#This Row],[15_vzpl]]=0,"",Tabulka[[#This Row],[14_vzsk]]/Tabulka[[#This Row],[15_vzpl]])</f>
        <v/>
      </c>
      <c r="S12" s="248" t="str">
        <f ca="1">IF(Tabulka[[#This Row],[15_vzpl]]-Tabulka[[#This Row],[14_vzsk]]=0,"",Tabulka[[#This Row],[15_vzpl]]-Tabulka[[#This Row],[14_vzsk]])</f>
        <v/>
      </c>
    </row>
    <row r="13" spans="1:19" x14ac:dyDescent="0.3">
      <c r="A13" s="247" t="s">
        <v>319</v>
      </c>
      <c r="B13" s="246"/>
      <c r="C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73.599999999999994</v>
      </c>
      <c r="H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24153</v>
      </c>
      <c r="P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9" t="str">
        <f ca="1">IF(Tabulka[[#This Row],[15_vzpl]]=0,"",Tabulka[[#This Row],[14_vzsk]]/Tabulka[[#This Row],[15_vzpl]])</f>
        <v/>
      </c>
      <c r="S13" s="248" t="str">
        <f ca="1">IF(Tabulka[[#This Row],[15_vzpl]]-Tabulka[[#This Row],[14_vzsk]]=0,"",Tabulka[[#This Row],[15_vzpl]]-Tabulka[[#This Row],[14_vzsk]])</f>
        <v/>
      </c>
    </row>
    <row r="14" spans="1:19" x14ac:dyDescent="0.3">
      <c r="A14" s="247">
        <v>526</v>
      </c>
      <c r="B14" s="246" t="s">
        <v>335</v>
      </c>
      <c r="C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73.599999999999994</v>
      </c>
      <c r="H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24153</v>
      </c>
      <c r="P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9" t="str">
        <f ca="1">IF(Tabulka[[#This Row],[15_vzpl]]=0,"",Tabulka[[#This Row],[14_vzsk]]/Tabulka[[#This Row],[15_vzpl]])</f>
        <v/>
      </c>
      <c r="S14" s="248" t="str">
        <f ca="1">IF(Tabulka[[#This Row],[15_vzpl]]-Tabulka[[#This Row],[14_vzsk]]=0,"",Tabulka[[#This Row],[15_vzpl]]-Tabulka[[#This Row],[14_vzsk]])</f>
        <v/>
      </c>
    </row>
    <row r="15" spans="1:19" x14ac:dyDescent="0.3">
      <c r="A15" s="247" t="s">
        <v>320</v>
      </c>
      <c r="B15" s="246"/>
      <c r="C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0.71111111111111092</v>
      </c>
      <c r="D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877.6</v>
      </c>
      <c r="H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130331</v>
      </c>
      <c r="P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9" t="str">
        <f ca="1">IF(Tabulka[[#This Row],[15_vzpl]]=0,"",Tabulka[[#This Row],[14_vzsk]]/Tabulka[[#This Row],[15_vzpl]])</f>
        <v/>
      </c>
      <c r="S15" s="248" t="str">
        <f ca="1">IF(Tabulka[[#This Row],[15_vzpl]]-Tabulka[[#This Row],[14_vzsk]]=0,"",Tabulka[[#This Row],[15_vzpl]]-Tabulka[[#This Row],[14_vzsk]])</f>
        <v/>
      </c>
    </row>
    <row r="16" spans="1:19" x14ac:dyDescent="0.3">
      <c r="A16" s="247">
        <v>30</v>
      </c>
      <c r="B16" s="246" t="s">
        <v>336</v>
      </c>
      <c r="C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0.71111111111111092</v>
      </c>
      <c r="D16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877.6</v>
      </c>
      <c r="H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6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130331</v>
      </c>
      <c r="P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9" t="str">
        <f ca="1">IF(Tabulka[[#This Row],[15_vzpl]]=0,"",Tabulka[[#This Row],[14_vzsk]]/Tabulka[[#This Row],[15_vzpl]])</f>
        <v/>
      </c>
      <c r="S16" s="24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209</v>
      </c>
    </row>
    <row r="18" spans="1:1" x14ac:dyDescent="0.3">
      <c r="A18" s="99" t="s">
        <v>137</v>
      </c>
    </row>
    <row r="19" spans="1:1" x14ac:dyDescent="0.3">
      <c r="A19" s="100" t="s">
        <v>179</v>
      </c>
    </row>
    <row r="20" spans="1:1" x14ac:dyDescent="0.3">
      <c r="A20" s="239" t="s">
        <v>178</v>
      </c>
    </row>
    <row r="21" spans="1:1" x14ac:dyDescent="0.3">
      <c r="A21" s="217" t="s">
        <v>163</v>
      </c>
    </row>
    <row r="22" spans="1:1" x14ac:dyDescent="0.3">
      <c r="A22" s="219" t="s">
        <v>168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330</v>
      </c>
    </row>
    <row r="2" spans="1:19" x14ac:dyDescent="0.3">
      <c r="A2" s="214" t="s">
        <v>232</v>
      </c>
    </row>
    <row r="3" spans="1:19" x14ac:dyDescent="0.3">
      <c r="A3" s="285" t="s">
        <v>140</v>
      </c>
      <c r="B3" s="284">
        <v>2018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3">
      <c r="A4" s="283" t="s">
        <v>141</v>
      </c>
      <c r="B4" s="282">
        <v>1</v>
      </c>
      <c r="C4" s="277">
        <v>1</v>
      </c>
      <c r="D4" s="277" t="s">
        <v>180</v>
      </c>
      <c r="E4" s="276">
        <v>1.5</v>
      </c>
      <c r="F4" s="276"/>
      <c r="G4" s="276"/>
      <c r="H4" s="276"/>
      <c r="I4" s="276">
        <v>256</v>
      </c>
      <c r="J4" s="276"/>
      <c r="K4" s="276"/>
      <c r="L4" s="276"/>
      <c r="M4" s="276"/>
      <c r="N4" s="276"/>
      <c r="O4" s="276"/>
      <c r="P4" s="276"/>
      <c r="Q4" s="276">
        <v>81946</v>
      </c>
      <c r="R4" s="276">
        <v>1950</v>
      </c>
      <c r="S4" s="276">
        <v>524.56318948772559</v>
      </c>
    </row>
    <row r="5" spans="1:19" x14ac:dyDescent="0.3">
      <c r="A5" s="281" t="s">
        <v>142</v>
      </c>
      <c r="B5" s="280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83" t="s">
        <v>143</v>
      </c>
      <c r="B6" s="282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81" t="s">
        <v>144</v>
      </c>
      <c r="B7" s="280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83" t="s">
        <v>145</v>
      </c>
      <c r="B8" s="282">
        <v>5</v>
      </c>
      <c r="C8">
        <v>1</v>
      </c>
      <c r="D8" t="s">
        <v>319</v>
      </c>
      <c r="E8">
        <v>0.05</v>
      </c>
      <c r="I8">
        <v>9.1999999999999993</v>
      </c>
      <c r="Q8">
        <v>2606</v>
      </c>
    </row>
    <row r="9" spans="1:19" x14ac:dyDescent="0.3">
      <c r="A9" s="281" t="s">
        <v>146</v>
      </c>
      <c r="B9" s="280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83" t="s">
        <v>147</v>
      </c>
      <c r="B10" s="282">
        <v>7</v>
      </c>
      <c r="C10">
        <v>1</v>
      </c>
      <c r="D10" t="s">
        <v>320</v>
      </c>
      <c r="E10">
        <v>0.6</v>
      </c>
      <c r="I10">
        <v>110.4</v>
      </c>
      <c r="Q10">
        <v>10347</v>
      </c>
    </row>
    <row r="11" spans="1:19" x14ac:dyDescent="0.3">
      <c r="A11" s="281" t="s">
        <v>148</v>
      </c>
      <c r="B11" s="280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83" t="s">
        <v>149</v>
      </c>
      <c r="B12" s="282">
        <v>9</v>
      </c>
      <c r="C12" t="s">
        <v>321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81" t="s">
        <v>150</v>
      </c>
      <c r="B13" s="280">
        <v>10</v>
      </c>
      <c r="C13">
        <v>2</v>
      </c>
      <c r="D13" t="s">
        <v>180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83" t="s">
        <v>151</v>
      </c>
      <c r="B14" s="282">
        <v>11</v>
      </c>
      <c r="C14">
        <v>2</v>
      </c>
      <c r="D14">
        <v>99</v>
      </c>
      <c r="S14">
        <v>524.56318948772559</v>
      </c>
    </row>
    <row r="15" spans="1:19" x14ac:dyDescent="0.3">
      <c r="A15" s="281" t="s">
        <v>152</v>
      </c>
      <c r="B15" s="280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79" t="s">
        <v>140</v>
      </c>
      <c r="B16" s="278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319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320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322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180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319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320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323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180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319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320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324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180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319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320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325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180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319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320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326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180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319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320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327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  <row r="69" spans="3:19" x14ac:dyDescent="0.3">
      <c r="C69">
        <v>8</v>
      </c>
      <c r="D69" t="s">
        <v>180</v>
      </c>
      <c r="E69">
        <v>1.7</v>
      </c>
      <c r="I69">
        <v>256.8</v>
      </c>
      <c r="Q69">
        <v>89171</v>
      </c>
      <c r="S69">
        <v>524.56318948772559</v>
      </c>
    </row>
    <row r="70" spans="3:19" x14ac:dyDescent="0.3">
      <c r="C70">
        <v>8</v>
      </c>
      <c r="D70">
        <v>99</v>
      </c>
      <c r="S70">
        <v>524.56318948772559</v>
      </c>
    </row>
    <row r="71" spans="3:19" x14ac:dyDescent="0.3">
      <c r="C71">
        <v>8</v>
      </c>
      <c r="D71">
        <v>101</v>
      </c>
      <c r="E71">
        <v>1.5</v>
      </c>
      <c r="I71">
        <v>236</v>
      </c>
      <c r="Q71">
        <v>83930</v>
      </c>
    </row>
    <row r="72" spans="3:19" x14ac:dyDescent="0.3">
      <c r="C72">
        <v>8</v>
      </c>
      <c r="D72">
        <v>203</v>
      </c>
      <c r="E72">
        <v>0.2</v>
      </c>
      <c r="I72">
        <v>20.8</v>
      </c>
      <c r="Q72">
        <v>5241</v>
      </c>
    </row>
    <row r="73" spans="3:19" x14ac:dyDescent="0.3">
      <c r="C73">
        <v>8</v>
      </c>
      <c r="D73" t="s">
        <v>319</v>
      </c>
      <c r="E73">
        <v>0.05</v>
      </c>
      <c r="I73">
        <v>9.1999999999999993</v>
      </c>
      <c r="Q73">
        <v>2606</v>
      </c>
    </row>
    <row r="74" spans="3:19" x14ac:dyDescent="0.3">
      <c r="C74">
        <v>8</v>
      </c>
      <c r="D74">
        <v>526</v>
      </c>
      <c r="E74">
        <v>0.05</v>
      </c>
      <c r="I74">
        <v>9.1999999999999993</v>
      </c>
      <c r="Q74">
        <v>2606</v>
      </c>
    </row>
    <row r="75" spans="3:19" x14ac:dyDescent="0.3">
      <c r="C75">
        <v>8</v>
      </c>
      <c r="D75" t="s">
        <v>320</v>
      </c>
      <c r="E75">
        <v>0.6</v>
      </c>
      <c r="I75">
        <v>98.4</v>
      </c>
      <c r="Q75">
        <v>12851</v>
      </c>
    </row>
    <row r="76" spans="3:19" x14ac:dyDescent="0.3">
      <c r="C76">
        <v>8</v>
      </c>
      <c r="D76">
        <v>30</v>
      </c>
      <c r="E76">
        <v>0.6</v>
      </c>
      <c r="I76">
        <v>98.4</v>
      </c>
      <c r="Q76">
        <v>12851</v>
      </c>
    </row>
    <row r="77" spans="3:19" x14ac:dyDescent="0.3">
      <c r="C77" t="s">
        <v>328</v>
      </c>
      <c r="E77">
        <v>2.35</v>
      </c>
      <c r="I77">
        <v>364.4</v>
      </c>
      <c r="Q77">
        <v>104628</v>
      </c>
      <c r="S77">
        <v>524.56318948772559</v>
      </c>
    </row>
    <row r="78" spans="3:19" x14ac:dyDescent="0.3">
      <c r="C78">
        <v>9</v>
      </c>
      <c r="D78" t="s">
        <v>180</v>
      </c>
      <c r="E78">
        <v>1.7</v>
      </c>
      <c r="I78">
        <v>272</v>
      </c>
      <c r="Q78">
        <v>88678</v>
      </c>
      <c r="S78">
        <v>524.56318948772559</v>
      </c>
    </row>
    <row r="79" spans="3:19" x14ac:dyDescent="0.3">
      <c r="C79">
        <v>9</v>
      </c>
      <c r="D79">
        <v>99</v>
      </c>
      <c r="S79">
        <v>524.56318948772559</v>
      </c>
    </row>
    <row r="80" spans="3:19" x14ac:dyDescent="0.3">
      <c r="C80">
        <v>9</v>
      </c>
      <c r="D80">
        <v>101</v>
      </c>
      <c r="E80">
        <v>1.5</v>
      </c>
      <c r="I80">
        <v>240</v>
      </c>
      <c r="Q80">
        <v>83540</v>
      </c>
    </row>
    <row r="81" spans="3:19" x14ac:dyDescent="0.3">
      <c r="C81">
        <v>9</v>
      </c>
      <c r="D81">
        <v>203</v>
      </c>
      <c r="E81">
        <v>0.2</v>
      </c>
      <c r="I81">
        <v>32</v>
      </c>
      <c r="Q81">
        <v>5138</v>
      </c>
    </row>
    <row r="82" spans="3:19" x14ac:dyDescent="0.3">
      <c r="C82">
        <v>9</v>
      </c>
      <c r="D82" t="s">
        <v>319</v>
      </c>
      <c r="E82">
        <v>0.05</v>
      </c>
      <c r="I82">
        <v>8</v>
      </c>
      <c r="Q82">
        <v>2606</v>
      </c>
    </row>
    <row r="83" spans="3:19" x14ac:dyDescent="0.3">
      <c r="C83">
        <v>9</v>
      </c>
      <c r="D83">
        <v>526</v>
      </c>
      <c r="E83">
        <v>0.05</v>
      </c>
      <c r="I83">
        <v>8</v>
      </c>
      <c r="Q83">
        <v>2606</v>
      </c>
    </row>
    <row r="84" spans="3:19" x14ac:dyDescent="0.3">
      <c r="C84">
        <v>9</v>
      </c>
      <c r="D84" t="s">
        <v>320</v>
      </c>
      <c r="E84">
        <v>0.6</v>
      </c>
      <c r="I84">
        <v>96</v>
      </c>
      <c r="Q84">
        <v>12772</v>
      </c>
    </row>
    <row r="85" spans="3:19" x14ac:dyDescent="0.3">
      <c r="C85">
        <v>9</v>
      </c>
      <c r="D85">
        <v>30</v>
      </c>
      <c r="E85">
        <v>0.6</v>
      </c>
      <c r="I85">
        <v>96</v>
      </c>
      <c r="Q85">
        <v>12772</v>
      </c>
    </row>
    <row r="86" spans="3:19" x14ac:dyDescent="0.3">
      <c r="C86" t="s">
        <v>329</v>
      </c>
      <c r="E86">
        <v>2.35</v>
      </c>
      <c r="I86">
        <v>376</v>
      </c>
      <c r="Q86">
        <v>104056</v>
      </c>
      <c r="S86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5" hidden="1" customWidth="1" outlineLevel="1"/>
    <col min="10" max="10" width="7.77734375" style="195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5" hidden="1" customWidth="1" outlineLevel="1"/>
    <col min="19" max="19" width="7.77734375" style="195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5" hidden="1" customWidth="1" outlineLevel="1"/>
    <col min="28" max="28" width="7.77734375" style="195" customWidth="1" collapsed="1"/>
    <col min="29" max="16384" width="8.88671875" style="115"/>
  </cols>
  <sheetData>
    <row r="1" spans="1:28" ht="18.600000000000001" customHeight="1" thickBot="1" x14ac:dyDescent="0.4">
      <c r="A1" s="374" t="s">
        <v>339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" customHeight="1" thickBot="1" x14ac:dyDescent="0.35">
      <c r="A3" s="202" t="s">
        <v>120</v>
      </c>
      <c r="B3" s="203">
        <f>SUBTOTAL(9,B6:B1048576)/4</f>
        <v>0</v>
      </c>
      <c r="C3" s="204">
        <f t="shared" ref="C3:Z3" si="0">SUBTOTAL(9,C6:C1048576)</f>
        <v>0</v>
      </c>
      <c r="D3" s="204"/>
      <c r="E3" s="204">
        <f>SUBTOTAL(9,E6:E1048576)/4</f>
        <v>0</v>
      </c>
      <c r="F3" s="204"/>
      <c r="G3" s="204">
        <f t="shared" si="0"/>
        <v>0</v>
      </c>
      <c r="H3" s="204">
        <f>SUBTOTAL(9,H6:H1048576)/4</f>
        <v>1065</v>
      </c>
      <c r="I3" s="207" t="str">
        <f>IF(B3&lt;&gt;0,H3/B3,"")</f>
        <v/>
      </c>
      <c r="J3" s="205" t="str">
        <f>IF(E3&lt;&gt;0,H3/E3,"")</f>
        <v/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" customHeight="1" x14ac:dyDescent="0.3">
      <c r="A4" s="375" t="s">
        <v>172</v>
      </c>
      <c r="B4" s="376" t="s">
        <v>95</v>
      </c>
      <c r="C4" s="377"/>
      <c r="D4" s="378"/>
      <c r="E4" s="377"/>
      <c r="F4" s="378"/>
      <c r="G4" s="377"/>
      <c r="H4" s="377"/>
      <c r="I4" s="378"/>
      <c r="J4" s="379"/>
      <c r="K4" s="376" t="s">
        <v>96</v>
      </c>
      <c r="L4" s="378"/>
      <c r="M4" s="377"/>
      <c r="N4" s="377"/>
      <c r="O4" s="378"/>
      <c r="P4" s="377"/>
      <c r="Q4" s="377"/>
      <c r="R4" s="378"/>
      <c r="S4" s="379"/>
      <c r="T4" s="376" t="s">
        <v>97</v>
      </c>
      <c r="U4" s="378"/>
      <c r="V4" s="377"/>
      <c r="W4" s="377"/>
      <c r="X4" s="378"/>
      <c r="Y4" s="377"/>
      <c r="Z4" s="377"/>
      <c r="AA4" s="378"/>
      <c r="AB4" s="379"/>
    </row>
    <row r="5" spans="1:28" ht="14.4" customHeight="1" thickBot="1" x14ac:dyDescent="0.35">
      <c r="A5" s="454"/>
      <c r="B5" s="455">
        <v>2015</v>
      </c>
      <c r="C5" s="456"/>
      <c r="D5" s="456"/>
      <c r="E5" s="456">
        <v>2017</v>
      </c>
      <c r="F5" s="456"/>
      <c r="G5" s="456"/>
      <c r="H5" s="456">
        <v>2018</v>
      </c>
      <c r="I5" s="457" t="s">
        <v>173</v>
      </c>
      <c r="J5" s="458" t="s">
        <v>2</v>
      </c>
      <c r="K5" s="455">
        <v>2015</v>
      </c>
      <c r="L5" s="456"/>
      <c r="M5" s="456"/>
      <c r="N5" s="456">
        <v>2017</v>
      </c>
      <c r="O5" s="456"/>
      <c r="P5" s="456"/>
      <c r="Q5" s="456">
        <v>2018</v>
      </c>
      <c r="R5" s="457" t="s">
        <v>173</v>
      </c>
      <c r="S5" s="458" t="s">
        <v>2</v>
      </c>
      <c r="T5" s="455">
        <v>2015</v>
      </c>
      <c r="U5" s="456"/>
      <c r="V5" s="456"/>
      <c r="W5" s="456">
        <v>2017</v>
      </c>
      <c r="X5" s="456"/>
      <c r="Y5" s="456"/>
      <c r="Z5" s="456">
        <v>2018</v>
      </c>
      <c r="AA5" s="457" t="s">
        <v>173</v>
      </c>
      <c r="AB5" s="458" t="s">
        <v>2</v>
      </c>
    </row>
    <row r="6" spans="1:28" ht="14.4" customHeight="1" x14ac:dyDescent="0.3">
      <c r="A6" s="459" t="s">
        <v>337</v>
      </c>
      <c r="B6" s="460"/>
      <c r="C6" s="461"/>
      <c r="D6" s="461"/>
      <c r="E6" s="460"/>
      <c r="F6" s="461"/>
      <c r="G6" s="461"/>
      <c r="H6" s="460">
        <v>1065</v>
      </c>
      <c r="I6" s="461"/>
      <c r="J6" s="461"/>
      <c r="K6" s="460"/>
      <c r="L6" s="461"/>
      <c r="M6" s="461"/>
      <c r="N6" s="460"/>
      <c r="O6" s="461"/>
      <c r="P6" s="461"/>
      <c r="Q6" s="460"/>
      <c r="R6" s="461"/>
      <c r="S6" s="461"/>
      <c r="T6" s="460"/>
      <c r="U6" s="461"/>
      <c r="V6" s="461"/>
      <c r="W6" s="460"/>
      <c r="X6" s="461"/>
      <c r="Y6" s="461"/>
      <c r="Z6" s="460"/>
      <c r="AA6" s="461"/>
      <c r="AB6" s="462"/>
    </row>
    <row r="7" spans="1:28" ht="14.4" customHeight="1" thickBot="1" x14ac:dyDescent="0.35">
      <c r="A7" s="466" t="s">
        <v>338</v>
      </c>
      <c r="B7" s="463"/>
      <c r="C7" s="464"/>
      <c r="D7" s="464"/>
      <c r="E7" s="463"/>
      <c r="F7" s="464"/>
      <c r="G7" s="464"/>
      <c r="H7" s="463">
        <v>1065</v>
      </c>
      <c r="I7" s="464"/>
      <c r="J7" s="464"/>
      <c r="K7" s="463"/>
      <c r="L7" s="464"/>
      <c r="M7" s="464"/>
      <c r="N7" s="463"/>
      <c r="O7" s="464"/>
      <c r="P7" s="464"/>
      <c r="Q7" s="463"/>
      <c r="R7" s="464"/>
      <c r="S7" s="464"/>
      <c r="T7" s="463"/>
      <c r="U7" s="464"/>
      <c r="V7" s="464"/>
      <c r="W7" s="463"/>
      <c r="X7" s="464"/>
      <c r="Y7" s="464"/>
      <c r="Z7" s="463"/>
      <c r="AA7" s="464"/>
      <c r="AB7" s="465"/>
    </row>
    <row r="8" spans="1:28" ht="14.4" customHeight="1" thickBot="1" x14ac:dyDescent="0.35"/>
    <row r="9" spans="1:28" ht="14.4" customHeight="1" x14ac:dyDescent="0.3">
      <c r="A9" s="459" t="s">
        <v>340</v>
      </c>
      <c r="B9" s="460"/>
      <c r="C9" s="461"/>
      <c r="D9" s="461"/>
      <c r="E9" s="460"/>
      <c r="F9" s="461"/>
      <c r="G9" s="461"/>
      <c r="H9" s="460">
        <v>1065</v>
      </c>
      <c r="I9" s="461"/>
      <c r="J9" s="462"/>
    </row>
    <row r="10" spans="1:28" ht="14.4" customHeight="1" thickBot="1" x14ac:dyDescent="0.35">
      <c r="A10" s="466" t="s">
        <v>341</v>
      </c>
      <c r="B10" s="463"/>
      <c r="C10" s="464"/>
      <c r="D10" s="464"/>
      <c r="E10" s="463"/>
      <c r="F10" s="464"/>
      <c r="G10" s="464"/>
      <c r="H10" s="463">
        <v>1065</v>
      </c>
      <c r="I10" s="464"/>
      <c r="J10" s="465"/>
    </row>
    <row r="11" spans="1:28" ht="14.4" customHeight="1" x14ac:dyDescent="0.3">
      <c r="A11" s="427" t="s">
        <v>209</v>
      </c>
    </row>
    <row r="12" spans="1:28" ht="14.4" customHeight="1" x14ac:dyDescent="0.3">
      <c r="A12" s="428" t="s">
        <v>310</v>
      </c>
    </row>
    <row r="13" spans="1:28" ht="14.4" customHeight="1" x14ac:dyDescent="0.3">
      <c r="A13" s="427" t="s">
        <v>342</v>
      </c>
    </row>
    <row r="14" spans="1:28" ht="14.4" customHeight="1" x14ac:dyDescent="0.3">
      <c r="A14" s="427" t="s">
        <v>343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2" hidden="1" customWidth="1" outlineLevel="1"/>
    <col min="3" max="3" width="7.77734375" style="192" customWidth="1" collapsed="1"/>
    <col min="4" max="4" width="7.77734375" style="192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74" t="s">
        <v>344</v>
      </c>
      <c r="B1" s="290"/>
      <c r="C1" s="290"/>
      <c r="D1" s="290"/>
      <c r="E1" s="290"/>
      <c r="F1" s="290"/>
      <c r="G1" s="290"/>
    </row>
    <row r="2" spans="1:7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36" t="s">
        <v>120</v>
      </c>
      <c r="B3" s="224">
        <f t="shared" ref="B3:G3" si="0">SUBTOTAL(9,B6:B1048576)</f>
        <v>0</v>
      </c>
      <c r="C3" s="225">
        <f t="shared" si="0"/>
        <v>0</v>
      </c>
      <c r="D3" s="235">
        <f t="shared" si="0"/>
        <v>3</v>
      </c>
      <c r="E3" s="206">
        <f t="shared" si="0"/>
        <v>0</v>
      </c>
      <c r="F3" s="204">
        <f t="shared" si="0"/>
        <v>0</v>
      </c>
      <c r="G3" s="226">
        <f t="shared" si="0"/>
        <v>1065</v>
      </c>
    </row>
    <row r="4" spans="1:7" ht="14.4" customHeight="1" x14ac:dyDescent="0.3">
      <c r="A4" s="375" t="s">
        <v>121</v>
      </c>
      <c r="B4" s="380" t="s">
        <v>170</v>
      </c>
      <c r="C4" s="378"/>
      <c r="D4" s="381"/>
      <c r="E4" s="380" t="s">
        <v>95</v>
      </c>
      <c r="F4" s="378"/>
      <c r="G4" s="381"/>
    </row>
    <row r="5" spans="1:7" ht="14.4" customHeight="1" thickBot="1" x14ac:dyDescent="0.35">
      <c r="A5" s="454"/>
      <c r="B5" s="455">
        <v>2015</v>
      </c>
      <c r="C5" s="456">
        <v>2017</v>
      </c>
      <c r="D5" s="467">
        <v>2018</v>
      </c>
      <c r="E5" s="455">
        <v>2015</v>
      </c>
      <c r="F5" s="456">
        <v>2017</v>
      </c>
      <c r="G5" s="467">
        <v>2018</v>
      </c>
    </row>
    <row r="6" spans="1:7" ht="14.4" customHeight="1" thickBot="1" x14ac:dyDescent="0.35">
      <c r="A6" s="471" t="s">
        <v>312</v>
      </c>
      <c r="B6" s="468"/>
      <c r="C6" s="468"/>
      <c r="D6" s="468">
        <v>3</v>
      </c>
      <c r="E6" s="469"/>
      <c r="F6" s="469"/>
      <c r="G6" s="470">
        <v>1065</v>
      </c>
    </row>
    <row r="7" spans="1:7" ht="14.4" customHeight="1" x14ac:dyDescent="0.3">
      <c r="A7" s="427" t="s">
        <v>209</v>
      </c>
    </row>
    <row r="8" spans="1:7" ht="14.4" customHeight="1" x14ac:dyDescent="0.3">
      <c r="A8" s="428" t="s">
        <v>310</v>
      </c>
    </row>
    <row r="9" spans="1:7" ht="14.4" customHeight="1" x14ac:dyDescent="0.3">
      <c r="A9" s="427" t="s">
        <v>342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2" hidden="1" customWidth="1" outlineLevel="1"/>
    <col min="9" max="10" width="9.33203125" style="115" hidden="1" customWidth="1"/>
    <col min="11" max="12" width="11.109375" style="192" customWidth="1"/>
    <col min="13" max="14" width="9.33203125" style="115" hidden="1" customWidth="1"/>
    <col min="15" max="16" width="11.109375" style="192" customWidth="1"/>
    <col min="17" max="17" width="11.109375" style="195" customWidth="1"/>
    <col min="18" max="18" width="11.109375" style="192" customWidth="1"/>
    <col min="19" max="16384" width="8.88671875" style="115"/>
  </cols>
  <sheetData>
    <row r="1" spans="1:18" ht="18.600000000000001" customHeight="1" thickBot="1" x14ac:dyDescent="0.4">
      <c r="A1" s="290" t="s">
        <v>351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ht="14.4" customHeight="1" thickBot="1" x14ac:dyDescent="0.3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" customHeight="1" thickBot="1" x14ac:dyDescent="0.35">
      <c r="F3" s="76" t="s">
        <v>120</v>
      </c>
      <c r="G3" s="88">
        <f t="shared" ref="G3:P3" si="0">SUBTOTAL(9,G6:G1048576)</f>
        <v>0</v>
      </c>
      <c r="H3" s="89">
        <f t="shared" si="0"/>
        <v>0</v>
      </c>
      <c r="I3" s="65"/>
      <c r="J3" s="65"/>
      <c r="K3" s="89">
        <f t="shared" si="0"/>
        <v>0</v>
      </c>
      <c r="L3" s="89">
        <f t="shared" si="0"/>
        <v>0</v>
      </c>
      <c r="M3" s="65"/>
      <c r="N3" s="65"/>
      <c r="O3" s="89">
        <f t="shared" si="0"/>
        <v>3</v>
      </c>
      <c r="P3" s="89">
        <f t="shared" si="0"/>
        <v>1065</v>
      </c>
      <c r="Q3" s="66">
        <f>IF(L3=0,0,P3/L3)</f>
        <v>0</v>
      </c>
      <c r="R3" s="90">
        <f>IF(O3=0,0,P3/O3)</f>
        <v>355</v>
      </c>
    </row>
    <row r="4" spans="1:18" ht="14.4" customHeight="1" x14ac:dyDescent="0.3">
      <c r="A4" s="382" t="s">
        <v>174</v>
      </c>
      <c r="B4" s="382" t="s">
        <v>91</v>
      </c>
      <c r="C4" s="390" t="s">
        <v>0</v>
      </c>
      <c r="D4" s="384" t="s">
        <v>92</v>
      </c>
      <c r="E4" s="389" t="s">
        <v>67</v>
      </c>
      <c r="F4" s="385" t="s">
        <v>66</v>
      </c>
      <c r="G4" s="386">
        <v>2015</v>
      </c>
      <c r="H4" s="387"/>
      <c r="I4" s="87"/>
      <c r="J4" s="87"/>
      <c r="K4" s="386">
        <v>2017</v>
      </c>
      <c r="L4" s="387"/>
      <c r="M4" s="87"/>
      <c r="N4" s="87"/>
      <c r="O4" s="386">
        <v>2018</v>
      </c>
      <c r="P4" s="387"/>
      <c r="Q4" s="388" t="s">
        <v>2</v>
      </c>
      <c r="R4" s="383" t="s">
        <v>94</v>
      </c>
    </row>
    <row r="5" spans="1:18" ht="14.4" customHeight="1" thickBot="1" x14ac:dyDescent="0.35">
      <c r="A5" s="472"/>
      <c r="B5" s="472"/>
      <c r="C5" s="473"/>
      <c r="D5" s="474"/>
      <c r="E5" s="475"/>
      <c r="F5" s="476"/>
      <c r="G5" s="477" t="s">
        <v>68</v>
      </c>
      <c r="H5" s="478" t="s">
        <v>11</v>
      </c>
      <c r="I5" s="479"/>
      <c r="J5" s="479"/>
      <c r="K5" s="477" t="s">
        <v>68</v>
      </c>
      <c r="L5" s="478" t="s">
        <v>11</v>
      </c>
      <c r="M5" s="479"/>
      <c r="N5" s="479"/>
      <c r="O5" s="477" t="s">
        <v>68</v>
      </c>
      <c r="P5" s="478" t="s">
        <v>11</v>
      </c>
      <c r="Q5" s="480"/>
      <c r="R5" s="481"/>
    </row>
    <row r="6" spans="1:18" ht="14.4" customHeight="1" x14ac:dyDescent="0.3">
      <c r="A6" s="482" t="s">
        <v>345</v>
      </c>
      <c r="B6" s="483" t="s">
        <v>346</v>
      </c>
      <c r="C6" s="483" t="s">
        <v>340</v>
      </c>
      <c r="D6" s="483" t="s">
        <v>347</v>
      </c>
      <c r="E6" s="483" t="s">
        <v>348</v>
      </c>
      <c r="F6" s="483" t="s">
        <v>349</v>
      </c>
      <c r="G6" s="102"/>
      <c r="H6" s="102"/>
      <c r="I6" s="483"/>
      <c r="J6" s="483"/>
      <c r="K6" s="102"/>
      <c r="L6" s="102"/>
      <c r="M6" s="483"/>
      <c r="N6" s="483"/>
      <c r="O6" s="102">
        <v>2</v>
      </c>
      <c r="P6" s="102">
        <v>710</v>
      </c>
      <c r="Q6" s="484"/>
      <c r="R6" s="485">
        <v>355</v>
      </c>
    </row>
    <row r="7" spans="1:18" ht="14.4" customHeight="1" thickBot="1" x14ac:dyDescent="0.35">
      <c r="A7" s="486" t="s">
        <v>345</v>
      </c>
      <c r="B7" s="487" t="s">
        <v>346</v>
      </c>
      <c r="C7" s="487" t="s">
        <v>340</v>
      </c>
      <c r="D7" s="487" t="s">
        <v>347</v>
      </c>
      <c r="E7" s="487" t="s">
        <v>348</v>
      </c>
      <c r="F7" s="487" t="s">
        <v>350</v>
      </c>
      <c r="G7" s="488"/>
      <c r="H7" s="488"/>
      <c r="I7" s="487"/>
      <c r="J7" s="487"/>
      <c r="K7" s="488"/>
      <c r="L7" s="488"/>
      <c r="M7" s="487"/>
      <c r="N7" s="487"/>
      <c r="O7" s="488">
        <v>1</v>
      </c>
      <c r="P7" s="488">
        <v>355</v>
      </c>
      <c r="Q7" s="489"/>
      <c r="R7" s="490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2" hidden="1" customWidth="1" outlineLevel="1"/>
    <col min="10" max="11" width="9.33203125" style="115" hidden="1" customWidth="1"/>
    <col min="12" max="13" width="11.109375" style="192" customWidth="1"/>
    <col min="14" max="15" width="9.33203125" style="115" hidden="1" customWidth="1"/>
    <col min="16" max="17" width="11.109375" style="192" customWidth="1"/>
    <col min="18" max="18" width="11.109375" style="195" customWidth="1"/>
    <col min="19" max="19" width="11.109375" style="192" customWidth="1"/>
    <col min="20" max="16384" width="8.88671875" style="115"/>
  </cols>
  <sheetData>
    <row r="1" spans="1:19" ht="18.600000000000001" customHeight="1" thickBot="1" x14ac:dyDescent="0.4">
      <c r="A1" s="290" t="s">
        <v>352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" customHeight="1" thickBot="1" x14ac:dyDescent="0.35">
      <c r="G3" s="76" t="s">
        <v>120</v>
      </c>
      <c r="H3" s="88">
        <f t="shared" ref="H3:Q3" si="0">SUBTOTAL(9,H6:H1048576)</f>
        <v>0</v>
      </c>
      <c r="I3" s="89">
        <f t="shared" si="0"/>
        <v>0</v>
      </c>
      <c r="J3" s="65"/>
      <c r="K3" s="65"/>
      <c r="L3" s="89">
        <f t="shared" si="0"/>
        <v>0</v>
      </c>
      <c r="M3" s="89">
        <f t="shared" si="0"/>
        <v>0</v>
      </c>
      <c r="N3" s="65"/>
      <c r="O3" s="65"/>
      <c r="P3" s="89">
        <f t="shared" si="0"/>
        <v>3</v>
      </c>
      <c r="Q3" s="89">
        <f t="shared" si="0"/>
        <v>1065</v>
      </c>
      <c r="R3" s="66">
        <f>IF(M3=0,0,Q3/M3)</f>
        <v>0</v>
      </c>
      <c r="S3" s="90">
        <f>IF(P3=0,0,Q3/P3)</f>
        <v>355</v>
      </c>
    </row>
    <row r="4" spans="1:19" ht="14.4" customHeight="1" x14ac:dyDescent="0.3">
      <c r="A4" s="382" t="s">
        <v>174</v>
      </c>
      <c r="B4" s="382" t="s">
        <v>91</v>
      </c>
      <c r="C4" s="390" t="s">
        <v>0</v>
      </c>
      <c r="D4" s="231" t="s">
        <v>121</v>
      </c>
      <c r="E4" s="384" t="s">
        <v>92</v>
      </c>
      <c r="F4" s="389" t="s">
        <v>67</v>
      </c>
      <c r="G4" s="385" t="s">
        <v>66</v>
      </c>
      <c r="H4" s="386">
        <v>2015</v>
      </c>
      <c r="I4" s="387"/>
      <c r="J4" s="87"/>
      <c r="K4" s="87"/>
      <c r="L4" s="386">
        <v>2017</v>
      </c>
      <c r="M4" s="387"/>
      <c r="N4" s="87"/>
      <c r="O4" s="87"/>
      <c r="P4" s="386">
        <v>2018</v>
      </c>
      <c r="Q4" s="387"/>
      <c r="R4" s="388" t="s">
        <v>2</v>
      </c>
      <c r="S4" s="383" t="s">
        <v>94</v>
      </c>
    </row>
    <row r="5" spans="1:19" ht="14.4" customHeight="1" thickBot="1" x14ac:dyDescent="0.35">
      <c r="A5" s="472"/>
      <c r="B5" s="472"/>
      <c r="C5" s="473"/>
      <c r="D5" s="491"/>
      <c r="E5" s="474"/>
      <c r="F5" s="475"/>
      <c r="G5" s="476"/>
      <c r="H5" s="477" t="s">
        <v>68</v>
      </c>
      <c r="I5" s="478" t="s">
        <v>11</v>
      </c>
      <c r="J5" s="479"/>
      <c r="K5" s="479"/>
      <c r="L5" s="477" t="s">
        <v>68</v>
      </c>
      <c r="M5" s="478" t="s">
        <v>11</v>
      </c>
      <c r="N5" s="479"/>
      <c r="O5" s="479"/>
      <c r="P5" s="477" t="s">
        <v>68</v>
      </c>
      <c r="Q5" s="478" t="s">
        <v>11</v>
      </c>
      <c r="R5" s="480"/>
      <c r="S5" s="481"/>
    </row>
    <row r="6" spans="1:19" ht="14.4" customHeight="1" x14ac:dyDescent="0.3">
      <c r="A6" s="482" t="s">
        <v>345</v>
      </c>
      <c r="B6" s="483" t="s">
        <v>346</v>
      </c>
      <c r="C6" s="483" t="s">
        <v>340</v>
      </c>
      <c r="D6" s="483" t="s">
        <v>312</v>
      </c>
      <c r="E6" s="483" t="s">
        <v>347</v>
      </c>
      <c r="F6" s="483" t="s">
        <v>348</v>
      </c>
      <c r="G6" s="483" t="s">
        <v>349</v>
      </c>
      <c r="H6" s="102"/>
      <c r="I6" s="102"/>
      <c r="J6" s="483"/>
      <c r="K6" s="483"/>
      <c r="L6" s="102"/>
      <c r="M6" s="102"/>
      <c r="N6" s="483"/>
      <c r="O6" s="483"/>
      <c r="P6" s="102">
        <v>2</v>
      </c>
      <c r="Q6" s="102">
        <v>710</v>
      </c>
      <c r="R6" s="484"/>
      <c r="S6" s="485">
        <v>355</v>
      </c>
    </row>
    <row r="7" spans="1:19" ht="14.4" customHeight="1" thickBot="1" x14ac:dyDescent="0.35">
      <c r="A7" s="486" t="s">
        <v>345</v>
      </c>
      <c r="B7" s="487" t="s">
        <v>346</v>
      </c>
      <c r="C7" s="487" t="s">
        <v>340</v>
      </c>
      <c r="D7" s="487" t="s">
        <v>312</v>
      </c>
      <c r="E7" s="487" t="s">
        <v>347</v>
      </c>
      <c r="F7" s="487" t="s">
        <v>348</v>
      </c>
      <c r="G7" s="487" t="s">
        <v>350</v>
      </c>
      <c r="H7" s="488"/>
      <c r="I7" s="488"/>
      <c r="J7" s="487"/>
      <c r="K7" s="487"/>
      <c r="L7" s="488"/>
      <c r="M7" s="488"/>
      <c r="N7" s="487"/>
      <c r="O7" s="487"/>
      <c r="P7" s="488">
        <v>1</v>
      </c>
      <c r="Q7" s="488">
        <v>355</v>
      </c>
      <c r="R7" s="489"/>
      <c r="S7" s="490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5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5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5" customWidth="1"/>
    <col min="20" max="16384" width="8.88671875" style="115"/>
  </cols>
  <sheetData>
    <row r="1" spans="1:19" ht="18.600000000000001" customHeight="1" thickBot="1" x14ac:dyDescent="0.4">
      <c r="A1" s="302" t="s">
        <v>119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" customHeight="1" thickBot="1" x14ac:dyDescent="0.35">
      <c r="A3" s="202" t="s">
        <v>120</v>
      </c>
      <c r="B3" s="203">
        <f>SUBTOTAL(9,B6:B1048576)</f>
        <v>19470</v>
      </c>
      <c r="C3" s="204">
        <f t="shared" ref="C3:R3" si="0">SUBTOTAL(9,C6:C1048576)</f>
        <v>4.9831445854622105</v>
      </c>
      <c r="D3" s="204">
        <f t="shared" si="0"/>
        <v>40978</v>
      </c>
      <c r="E3" s="204">
        <f t="shared" si="0"/>
        <v>14</v>
      </c>
      <c r="F3" s="204">
        <f t="shared" si="0"/>
        <v>60380</v>
      </c>
      <c r="G3" s="207">
        <f>IF(D3&lt;&gt;0,F3/D3,"")</f>
        <v>1.4734735711845381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" customHeight="1" x14ac:dyDescent="0.3">
      <c r="A4" s="375" t="s">
        <v>101</v>
      </c>
      <c r="B4" s="376" t="s">
        <v>95</v>
      </c>
      <c r="C4" s="377"/>
      <c r="D4" s="377"/>
      <c r="E4" s="377"/>
      <c r="F4" s="377"/>
      <c r="G4" s="379"/>
      <c r="H4" s="376" t="s">
        <v>96</v>
      </c>
      <c r="I4" s="377"/>
      <c r="J4" s="377"/>
      <c r="K4" s="377"/>
      <c r="L4" s="377"/>
      <c r="M4" s="379"/>
      <c r="N4" s="376" t="s">
        <v>97</v>
      </c>
      <c r="O4" s="377"/>
      <c r="P4" s="377"/>
      <c r="Q4" s="377"/>
      <c r="R4" s="377"/>
      <c r="S4" s="379"/>
    </row>
    <row r="5" spans="1:19" ht="14.4" customHeight="1" thickBot="1" x14ac:dyDescent="0.35">
      <c r="A5" s="454"/>
      <c r="B5" s="455">
        <v>2015</v>
      </c>
      <c r="C5" s="456"/>
      <c r="D5" s="456">
        <v>2017</v>
      </c>
      <c r="E5" s="456"/>
      <c r="F5" s="456">
        <v>2018</v>
      </c>
      <c r="G5" s="492" t="s">
        <v>2</v>
      </c>
      <c r="H5" s="455">
        <v>2015</v>
      </c>
      <c r="I5" s="456"/>
      <c r="J5" s="456">
        <v>2017</v>
      </c>
      <c r="K5" s="456"/>
      <c r="L5" s="456">
        <v>2018</v>
      </c>
      <c r="M5" s="492" t="s">
        <v>2</v>
      </c>
      <c r="N5" s="455">
        <v>2015</v>
      </c>
      <c r="O5" s="456"/>
      <c r="P5" s="456">
        <v>2017</v>
      </c>
      <c r="Q5" s="456"/>
      <c r="R5" s="456">
        <v>2018</v>
      </c>
      <c r="S5" s="492" t="s">
        <v>2</v>
      </c>
    </row>
    <row r="6" spans="1:19" ht="14.4" customHeight="1" x14ac:dyDescent="0.3">
      <c r="A6" s="501" t="s">
        <v>353</v>
      </c>
      <c r="B6" s="493">
        <v>1770</v>
      </c>
      <c r="C6" s="483">
        <v>0.66566378337720944</v>
      </c>
      <c r="D6" s="493">
        <v>2659</v>
      </c>
      <c r="E6" s="483">
        <v>1</v>
      </c>
      <c r="F6" s="493">
        <v>2486</v>
      </c>
      <c r="G6" s="484">
        <v>0.93493794659646479</v>
      </c>
      <c r="H6" s="493"/>
      <c r="I6" s="483"/>
      <c r="J6" s="493"/>
      <c r="K6" s="483"/>
      <c r="L6" s="493"/>
      <c r="M6" s="484"/>
      <c r="N6" s="493"/>
      <c r="O6" s="483"/>
      <c r="P6" s="493"/>
      <c r="Q6" s="483"/>
      <c r="R6" s="493"/>
      <c r="S6" s="108"/>
    </row>
    <row r="7" spans="1:19" ht="14.4" customHeight="1" x14ac:dyDescent="0.3">
      <c r="A7" s="502" t="s">
        <v>354</v>
      </c>
      <c r="B7" s="495">
        <v>2478</v>
      </c>
      <c r="C7" s="496">
        <v>0.5586113615870153</v>
      </c>
      <c r="D7" s="495">
        <v>4436</v>
      </c>
      <c r="E7" s="496">
        <v>1</v>
      </c>
      <c r="F7" s="495">
        <v>11897</v>
      </c>
      <c r="G7" s="497">
        <v>2.6819206492335437</v>
      </c>
      <c r="H7" s="495"/>
      <c r="I7" s="496"/>
      <c r="J7" s="495"/>
      <c r="K7" s="496"/>
      <c r="L7" s="495"/>
      <c r="M7" s="497"/>
      <c r="N7" s="495"/>
      <c r="O7" s="496"/>
      <c r="P7" s="495"/>
      <c r="Q7" s="496"/>
      <c r="R7" s="495"/>
      <c r="S7" s="498"/>
    </row>
    <row r="8" spans="1:19" ht="14.4" customHeight="1" x14ac:dyDescent="0.3">
      <c r="A8" s="502" t="s">
        <v>355</v>
      </c>
      <c r="B8" s="495">
        <v>2478</v>
      </c>
      <c r="C8" s="496">
        <v>0.35814424049718169</v>
      </c>
      <c r="D8" s="495">
        <v>6919</v>
      </c>
      <c r="E8" s="496">
        <v>1</v>
      </c>
      <c r="F8" s="495">
        <v>7097</v>
      </c>
      <c r="G8" s="497">
        <v>1.0257262610203786</v>
      </c>
      <c r="H8" s="495"/>
      <c r="I8" s="496"/>
      <c r="J8" s="495"/>
      <c r="K8" s="496"/>
      <c r="L8" s="495"/>
      <c r="M8" s="497"/>
      <c r="N8" s="495"/>
      <c r="O8" s="496"/>
      <c r="P8" s="495"/>
      <c r="Q8" s="496"/>
      <c r="R8" s="495"/>
      <c r="S8" s="498"/>
    </row>
    <row r="9" spans="1:19" ht="14.4" customHeight="1" x14ac:dyDescent="0.3">
      <c r="A9" s="502" t="s">
        <v>356</v>
      </c>
      <c r="B9" s="495"/>
      <c r="C9" s="496"/>
      <c r="D9" s="495"/>
      <c r="E9" s="496"/>
      <c r="F9" s="495">
        <v>355</v>
      </c>
      <c r="G9" s="497"/>
      <c r="H9" s="495"/>
      <c r="I9" s="496"/>
      <c r="J9" s="495"/>
      <c r="K9" s="496"/>
      <c r="L9" s="495"/>
      <c r="M9" s="497"/>
      <c r="N9" s="495"/>
      <c r="O9" s="496"/>
      <c r="P9" s="495"/>
      <c r="Q9" s="496"/>
      <c r="R9" s="495"/>
      <c r="S9" s="498"/>
    </row>
    <row r="10" spans="1:19" ht="14.4" customHeight="1" x14ac:dyDescent="0.3">
      <c r="A10" s="502" t="s">
        <v>357</v>
      </c>
      <c r="B10" s="495"/>
      <c r="C10" s="496"/>
      <c r="D10" s="495">
        <v>355</v>
      </c>
      <c r="E10" s="496">
        <v>1</v>
      </c>
      <c r="F10" s="495">
        <v>355</v>
      </c>
      <c r="G10" s="497">
        <v>1</v>
      </c>
      <c r="H10" s="495"/>
      <c r="I10" s="496"/>
      <c r="J10" s="495"/>
      <c r="K10" s="496"/>
      <c r="L10" s="495"/>
      <c r="M10" s="497"/>
      <c r="N10" s="495"/>
      <c r="O10" s="496"/>
      <c r="P10" s="495"/>
      <c r="Q10" s="496"/>
      <c r="R10" s="495"/>
      <c r="S10" s="498"/>
    </row>
    <row r="11" spans="1:19" ht="14.4" customHeight="1" x14ac:dyDescent="0.3">
      <c r="A11" s="502" t="s">
        <v>358</v>
      </c>
      <c r="B11" s="495"/>
      <c r="C11" s="496"/>
      <c r="D11" s="495"/>
      <c r="E11" s="496"/>
      <c r="F11" s="495">
        <v>355</v>
      </c>
      <c r="G11" s="497"/>
      <c r="H11" s="495"/>
      <c r="I11" s="496"/>
      <c r="J11" s="495"/>
      <c r="K11" s="496"/>
      <c r="L11" s="495"/>
      <c r="M11" s="497"/>
      <c r="N11" s="495"/>
      <c r="O11" s="496"/>
      <c r="P11" s="495"/>
      <c r="Q11" s="496"/>
      <c r="R11" s="495"/>
      <c r="S11" s="498"/>
    </row>
    <row r="12" spans="1:19" ht="14.4" customHeight="1" x14ac:dyDescent="0.3">
      <c r="A12" s="502" t="s">
        <v>359</v>
      </c>
      <c r="B12" s="495">
        <v>3540</v>
      </c>
      <c r="C12" s="496">
        <v>0.3912466843501326</v>
      </c>
      <c r="D12" s="495">
        <v>9048</v>
      </c>
      <c r="E12" s="496">
        <v>1</v>
      </c>
      <c r="F12" s="495">
        <v>21318</v>
      </c>
      <c r="G12" s="497">
        <v>2.3561007957559683</v>
      </c>
      <c r="H12" s="495"/>
      <c r="I12" s="496"/>
      <c r="J12" s="495"/>
      <c r="K12" s="496"/>
      <c r="L12" s="495"/>
      <c r="M12" s="497"/>
      <c r="N12" s="495"/>
      <c r="O12" s="496"/>
      <c r="P12" s="495"/>
      <c r="Q12" s="496"/>
      <c r="R12" s="495"/>
      <c r="S12" s="498"/>
    </row>
    <row r="13" spans="1:19" ht="14.4" customHeight="1" x14ac:dyDescent="0.3">
      <c r="A13" s="502" t="s">
        <v>360</v>
      </c>
      <c r="B13" s="495">
        <v>354</v>
      </c>
      <c r="C13" s="496"/>
      <c r="D13" s="495"/>
      <c r="E13" s="496"/>
      <c r="F13" s="495">
        <v>355</v>
      </c>
      <c r="G13" s="497"/>
      <c r="H13" s="495"/>
      <c r="I13" s="496"/>
      <c r="J13" s="495"/>
      <c r="K13" s="496"/>
      <c r="L13" s="495"/>
      <c r="M13" s="497"/>
      <c r="N13" s="495"/>
      <c r="O13" s="496"/>
      <c r="P13" s="495"/>
      <c r="Q13" s="496"/>
      <c r="R13" s="495"/>
      <c r="S13" s="498"/>
    </row>
    <row r="14" spans="1:19" ht="14.4" customHeight="1" x14ac:dyDescent="0.3">
      <c r="A14" s="502" t="s">
        <v>361</v>
      </c>
      <c r="B14" s="495">
        <v>3540</v>
      </c>
      <c r="C14" s="496">
        <v>0.90722706304459255</v>
      </c>
      <c r="D14" s="495">
        <v>3902</v>
      </c>
      <c r="E14" s="496">
        <v>1</v>
      </c>
      <c r="F14" s="495">
        <v>2664</v>
      </c>
      <c r="G14" s="497">
        <v>0.68272680676576114</v>
      </c>
      <c r="H14" s="495"/>
      <c r="I14" s="496"/>
      <c r="J14" s="495"/>
      <c r="K14" s="496"/>
      <c r="L14" s="495"/>
      <c r="M14" s="497"/>
      <c r="N14" s="495"/>
      <c r="O14" s="496"/>
      <c r="P14" s="495"/>
      <c r="Q14" s="496"/>
      <c r="R14" s="495"/>
      <c r="S14" s="498"/>
    </row>
    <row r="15" spans="1:19" ht="14.4" customHeight="1" x14ac:dyDescent="0.3">
      <c r="A15" s="502" t="s">
        <v>362</v>
      </c>
      <c r="B15" s="495"/>
      <c r="C15" s="496"/>
      <c r="D15" s="495">
        <v>887</v>
      </c>
      <c r="E15" s="496">
        <v>1</v>
      </c>
      <c r="F15" s="495"/>
      <c r="G15" s="497"/>
      <c r="H15" s="495"/>
      <c r="I15" s="496"/>
      <c r="J15" s="495"/>
      <c r="K15" s="496"/>
      <c r="L15" s="495"/>
      <c r="M15" s="497"/>
      <c r="N15" s="495"/>
      <c r="O15" s="496"/>
      <c r="P15" s="495"/>
      <c r="Q15" s="496"/>
      <c r="R15" s="495"/>
      <c r="S15" s="498"/>
    </row>
    <row r="16" spans="1:19" ht="14.4" customHeight="1" x14ac:dyDescent="0.3">
      <c r="A16" s="502" t="s">
        <v>363</v>
      </c>
      <c r="B16" s="495">
        <v>1770</v>
      </c>
      <c r="C16" s="496"/>
      <c r="D16" s="495"/>
      <c r="E16" s="496"/>
      <c r="F16" s="495">
        <v>1065</v>
      </c>
      <c r="G16" s="497"/>
      <c r="H16" s="495"/>
      <c r="I16" s="496"/>
      <c r="J16" s="495"/>
      <c r="K16" s="496"/>
      <c r="L16" s="495"/>
      <c r="M16" s="497"/>
      <c r="N16" s="495"/>
      <c r="O16" s="496"/>
      <c r="P16" s="495"/>
      <c r="Q16" s="496"/>
      <c r="R16" s="495"/>
      <c r="S16" s="498"/>
    </row>
    <row r="17" spans="1:19" ht="14.4" customHeight="1" x14ac:dyDescent="0.3">
      <c r="A17" s="502" t="s">
        <v>364</v>
      </c>
      <c r="B17" s="495">
        <v>354</v>
      </c>
      <c r="C17" s="496">
        <v>0.11086752270591919</v>
      </c>
      <c r="D17" s="495">
        <v>3193</v>
      </c>
      <c r="E17" s="496">
        <v>1</v>
      </c>
      <c r="F17" s="495">
        <v>2308</v>
      </c>
      <c r="G17" s="497">
        <v>0.72283119323520195</v>
      </c>
      <c r="H17" s="495"/>
      <c r="I17" s="496"/>
      <c r="J17" s="495"/>
      <c r="K17" s="496"/>
      <c r="L17" s="495"/>
      <c r="M17" s="497"/>
      <c r="N17" s="495"/>
      <c r="O17" s="496"/>
      <c r="P17" s="495"/>
      <c r="Q17" s="496"/>
      <c r="R17" s="495"/>
      <c r="S17" s="498"/>
    </row>
    <row r="18" spans="1:19" ht="14.4" customHeight="1" x14ac:dyDescent="0.3">
      <c r="A18" s="502" t="s">
        <v>365</v>
      </c>
      <c r="B18" s="495">
        <v>354</v>
      </c>
      <c r="C18" s="496">
        <v>0.49859154929577465</v>
      </c>
      <c r="D18" s="495">
        <v>710</v>
      </c>
      <c r="E18" s="496">
        <v>1</v>
      </c>
      <c r="F18" s="495">
        <v>1066</v>
      </c>
      <c r="G18" s="497">
        <v>1.5014084507042254</v>
      </c>
      <c r="H18" s="495"/>
      <c r="I18" s="496"/>
      <c r="J18" s="495"/>
      <c r="K18" s="496"/>
      <c r="L18" s="495"/>
      <c r="M18" s="497"/>
      <c r="N18" s="495"/>
      <c r="O18" s="496"/>
      <c r="P18" s="495"/>
      <c r="Q18" s="496"/>
      <c r="R18" s="495"/>
      <c r="S18" s="498"/>
    </row>
    <row r="19" spans="1:19" ht="14.4" customHeight="1" x14ac:dyDescent="0.3">
      <c r="A19" s="502" t="s">
        <v>366</v>
      </c>
      <c r="B19" s="495"/>
      <c r="C19" s="496"/>
      <c r="D19" s="495"/>
      <c r="E19" s="496"/>
      <c r="F19" s="495">
        <v>1243</v>
      </c>
      <c r="G19" s="497"/>
      <c r="H19" s="495"/>
      <c r="I19" s="496"/>
      <c r="J19" s="495"/>
      <c r="K19" s="496"/>
      <c r="L19" s="495"/>
      <c r="M19" s="497"/>
      <c r="N19" s="495"/>
      <c r="O19" s="496"/>
      <c r="P19" s="495"/>
      <c r="Q19" s="496"/>
      <c r="R19" s="495"/>
      <c r="S19" s="498"/>
    </row>
    <row r="20" spans="1:19" ht="14.4" customHeight="1" x14ac:dyDescent="0.3">
      <c r="A20" s="502" t="s">
        <v>367</v>
      </c>
      <c r="B20" s="495">
        <v>354</v>
      </c>
      <c r="C20" s="496">
        <v>0.66541353383458646</v>
      </c>
      <c r="D20" s="495">
        <v>532</v>
      </c>
      <c r="E20" s="496">
        <v>1</v>
      </c>
      <c r="F20" s="495">
        <v>2486</v>
      </c>
      <c r="G20" s="497">
        <v>4.6729323308270674</v>
      </c>
      <c r="H20" s="495"/>
      <c r="I20" s="496"/>
      <c r="J20" s="495"/>
      <c r="K20" s="496"/>
      <c r="L20" s="495"/>
      <c r="M20" s="497"/>
      <c r="N20" s="495"/>
      <c r="O20" s="496"/>
      <c r="P20" s="495"/>
      <c r="Q20" s="496"/>
      <c r="R20" s="495"/>
      <c r="S20" s="498"/>
    </row>
    <row r="21" spans="1:19" ht="14.4" customHeight="1" x14ac:dyDescent="0.3">
      <c r="A21" s="502" t="s">
        <v>368</v>
      </c>
      <c r="B21" s="495">
        <v>1416</v>
      </c>
      <c r="C21" s="496">
        <v>0.22805604767273313</v>
      </c>
      <c r="D21" s="495">
        <v>6209</v>
      </c>
      <c r="E21" s="496">
        <v>1</v>
      </c>
      <c r="F21" s="495">
        <v>3553</v>
      </c>
      <c r="G21" s="497">
        <v>0.57223385408278304</v>
      </c>
      <c r="H21" s="495"/>
      <c r="I21" s="496"/>
      <c r="J21" s="495"/>
      <c r="K21" s="496"/>
      <c r="L21" s="495"/>
      <c r="M21" s="497"/>
      <c r="N21" s="495"/>
      <c r="O21" s="496"/>
      <c r="P21" s="495"/>
      <c r="Q21" s="496"/>
      <c r="R21" s="495"/>
      <c r="S21" s="498"/>
    </row>
    <row r="22" spans="1:19" ht="14.4" customHeight="1" x14ac:dyDescent="0.3">
      <c r="A22" s="502" t="s">
        <v>369</v>
      </c>
      <c r="B22" s="495"/>
      <c r="C22" s="496"/>
      <c r="D22" s="495">
        <v>177</v>
      </c>
      <c r="E22" s="496">
        <v>1</v>
      </c>
      <c r="F22" s="495">
        <v>355</v>
      </c>
      <c r="G22" s="497">
        <v>2.0056497175141241</v>
      </c>
      <c r="H22" s="495"/>
      <c r="I22" s="496"/>
      <c r="J22" s="495"/>
      <c r="K22" s="496"/>
      <c r="L22" s="495"/>
      <c r="M22" s="497"/>
      <c r="N22" s="495"/>
      <c r="O22" s="496"/>
      <c r="P22" s="495"/>
      <c r="Q22" s="496"/>
      <c r="R22" s="495"/>
      <c r="S22" s="498"/>
    </row>
    <row r="23" spans="1:19" ht="14.4" customHeight="1" x14ac:dyDescent="0.3">
      <c r="A23" s="502" t="s">
        <v>370</v>
      </c>
      <c r="B23" s="495"/>
      <c r="C23" s="496"/>
      <c r="D23" s="495">
        <v>1065</v>
      </c>
      <c r="E23" s="496">
        <v>1</v>
      </c>
      <c r="F23" s="495"/>
      <c r="G23" s="497"/>
      <c r="H23" s="495"/>
      <c r="I23" s="496"/>
      <c r="J23" s="495"/>
      <c r="K23" s="496"/>
      <c r="L23" s="495"/>
      <c r="M23" s="497"/>
      <c r="N23" s="495"/>
      <c r="O23" s="496"/>
      <c r="P23" s="495"/>
      <c r="Q23" s="496"/>
      <c r="R23" s="495"/>
      <c r="S23" s="498"/>
    </row>
    <row r="24" spans="1:19" ht="14.4" customHeight="1" x14ac:dyDescent="0.3">
      <c r="A24" s="502" t="s">
        <v>371</v>
      </c>
      <c r="B24" s="495">
        <v>531</v>
      </c>
      <c r="C24" s="496">
        <v>0.59932279909706543</v>
      </c>
      <c r="D24" s="495">
        <v>886</v>
      </c>
      <c r="E24" s="496">
        <v>1</v>
      </c>
      <c r="F24" s="495">
        <v>1244</v>
      </c>
      <c r="G24" s="497">
        <v>1.4040632054176072</v>
      </c>
      <c r="H24" s="495"/>
      <c r="I24" s="496"/>
      <c r="J24" s="495"/>
      <c r="K24" s="496"/>
      <c r="L24" s="495"/>
      <c r="M24" s="497"/>
      <c r="N24" s="495"/>
      <c r="O24" s="496"/>
      <c r="P24" s="495"/>
      <c r="Q24" s="496"/>
      <c r="R24" s="495"/>
      <c r="S24" s="498"/>
    </row>
    <row r="25" spans="1:19" ht="14.4" customHeight="1" thickBot="1" x14ac:dyDescent="0.35">
      <c r="A25" s="503" t="s">
        <v>372</v>
      </c>
      <c r="B25" s="499">
        <v>531</v>
      </c>
      <c r="C25" s="487"/>
      <c r="D25" s="499"/>
      <c r="E25" s="487"/>
      <c r="F25" s="499">
        <v>178</v>
      </c>
      <c r="G25" s="489"/>
      <c r="H25" s="499"/>
      <c r="I25" s="487"/>
      <c r="J25" s="499"/>
      <c r="K25" s="487"/>
      <c r="L25" s="499"/>
      <c r="M25" s="489"/>
      <c r="N25" s="499"/>
      <c r="O25" s="487"/>
      <c r="P25" s="499"/>
      <c r="Q25" s="487"/>
      <c r="R25" s="499"/>
      <c r="S25" s="5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2" hidden="1" customWidth="1" outlineLevel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5"/>
  </cols>
  <sheetData>
    <row r="1" spans="1:17" ht="18.600000000000001" customHeight="1" thickBot="1" x14ac:dyDescent="0.4">
      <c r="A1" s="290" t="s">
        <v>397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ht="14.4" customHeight="1" thickBot="1" x14ac:dyDescent="0.3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" customHeight="1" thickBot="1" x14ac:dyDescent="0.35">
      <c r="E3" s="76" t="s">
        <v>120</v>
      </c>
      <c r="F3" s="88">
        <f t="shared" ref="F3:O3" si="0">SUBTOTAL(9,F6:F1048576)</f>
        <v>62</v>
      </c>
      <c r="G3" s="89">
        <f t="shared" si="0"/>
        <v>19470</v>
      </c>
      <c r="H3" s="89"/>
      <c r="I3" s="89"/>
      <c r="J3" s="89">
        <f t="shared" si="0"/>
        <v>140</v>
      </c>
      <c r="K3" s="89">
        <f t="shared" si="0"/>
        <v>40978</v>
      </c>
      <c r="L3" s="89"/>
      <c r="M3" s="89"/>
      <c r="N3" s="89">
        <f t="shared" si="0"/>
        <v>208</v>
      </c>
      <c r="O3" s="89">
        <f t="shared" si="0"/>
        <v>60380</v>
      </c>
      <c r="P3" s="66">
        <f>IF(K3=0,0,O3/K3)</f>
        <v>1.4734735711845381</v>
      </c>
      <c r="Q3" s="90">
        <f>IF(N3=0,0,O3/N3)</f>
        <v>290.28846153846155</v>
      </c>
    </row>
    <row r="4" spans="1:17" ht="14.4" customHeight="1" x14ac:dyDescent="0.3">
      <c r="A4" s="384" t="s">
        <v>65</v>
      </c>
      <c r="B4" s="382" t="s">
        <v>91</v>
      </c>
      <c r="C4" s="384" t="s">
        <v>92</v>
      </c>
      <c r="D4" s="393" t="s">
        <v>93</v>
      </c>
      <c r="E4" s="385" t="s">
        <v>66</v>
      </c>
      <c r="F4" s="391">
        <v>2015</v>
      </c>
      <c r="G4" s="392"/>
      <c r="H4" s="91"/>
      <c r="I4" s="91"/>
      <c r="J4" s="391">
        <v>2017</v>
      </c>
      <c r="K4" s="392"/>
      <c r="L4" s="91"/>
      <c r="M4" s="91"/>
      <c r="N4" s="391">
        <v>2018</v>
      </c>
      <c r="O4" s="392"/>
      <c r="P4" s="394" t="s">
        <v>2</v>
      </c>
      <c r="Q4" s="383" t="s">
        <v>94</v>
      </c>
    </row>
    <row r="5" spans="1:17" ht="14.4" customHeight="1" thickBot="1" x14ac:dyDescent="0.35">
      <c r="A5" s="474"/>
      <c r="B5" s="472"/>
      <c r="C5" s="474"/>
      <c r="D5" s="504"/>
      <c r="E5" s="476"/>
      <c r="F5" s="505" t="s">
        <v>68</v>
      </c>
      <c r="G5" s="506" t="s">
        <v>11</v>
      </c>
      <c r="H5" s="507"/>
      <c r="I5" s="507"/>
      <c r="J5" s="505" t="s">
        <v>68</v>
      </c>
      <c r="K5" s="506" t="s">
        <v>11</v>
      </c>
      <c r="L5" s="507"/>
      <c r="M5" s="507"/>
      <c r="N5" s="505" t="s">
        <v>68</v>
      </c>
      <c r="O5" s="506" t="s">
        <v>11</v>
      </c>
      <c r="P5" s="508"/>
      <c r="Q5" s="481"/>
    </row>
    <row r="6" spans="1:17" ht="14.4" customHeight="1" x14ac:dyDescent="0.3">
      <c r="A6" s="482" t="s">
        <v>373</v>
      </c>
      <c r="B6" s="483" t="s">
        <v>346</v>
      </c>
      <c r="C6" s="483" t="s">
        <v>347</v>
      </c>
      <c r="D6" s="483" t="s">
        <v>348</v>
      </c>
      <c r="E6" s="483" t="s">
        <v>349</v>
      </c>
      <c r="F6" s="102">
        <v>2</v>
      </c>
      <c r="G6" s="102">
        <v>708</v>
      </c>
      <c r="H6" s="102">
        <v>0.6647887323943662</v>
      </c>
      <c r="I6" s="102">
        <v>354</v>
      </c>
      <c r="J6" s="102">
        <v>3</v>
      </c>
      <c r="K6" s="102">
        <v>1065</v>
      </c>
      <c r="L6" s="102">
        <v>1</v>
      </c>
      <c r="M6" s="102">
        <v>355</v>
      </c>
      <c r="N6" s="102">
        <v>3</v>
      </c>
      <c r="O6" s="102">
        <v>1065</v>
      </c>
      <c r="P6" s="484">
        <v>1</v>
      </c>
      <c r="Q6" s="485">
        <v>355</v>
      </c>
    </row>
    <row r="7" spans="1:17" ht="14.4" customHeight="1" x14ac:dyDescent="0.3">
      <c r="A7" s="494" t="s">
        <v>373</v>
      </c>
      <c r="B7" s="496" t="s">
        <v>346</v>
      </c>
      <c r="C7" s="496" t="s">
        <v>347</v>
      </c>
      <c r="D7" s="496" t="s">
        <v>348</v>
      </c>
      <c r="E7" s="496" t="s">
        <v>350</v>
      </c>
      <c r="F7" s="509">
        <v>3</v>
      </c>
      <c r="G7" s="509">
        <v>1062</v>
      </c>
      <c r="H7" s="509">
        <v>2.9915492957746479</v>
      </c>
      <c r="I7" s="509">
        <v>354</v>
      </c>
      <c r="J7" s="509">
        <v>1</v>
      </c>
      <c r="K7" s="509">
        <v>355</v>
      </c>
      <c r="L7" s="509">
        <v>1</v>
      </c>
      <c r="M7" s="509">
        <v>355</v>
      </c>
      <c r="N7" s="509">
        <v>3</v>
      </c>
      <c r="O7" s="509">
        <v>1065</v>
      </c>
      <c r="P7" s="497">
        <v>3</v>
      </c>
      <c r="Q7" s="510">
        <v>355</v>
      </c>
    </row>
    <row r="8" spans="1:17" ht="14.4" customHeight="1" x14ac:dyDescent="0.3">
      <c r="A8" s="494" t="s">
        <v>373</v>
      </c>
      <c r="B8" s="496" t="s">
        <v>346</v>
      </c>
      <c r="C8" s="496" t="s">
        <v>347</v>
      </c>
      <c r="D8" s="496" t="s">
        <v>374</v>
      </c>
      <c r="E8" s="496" t="s">
        <v>375</v>
      </c>
      <c r="F8" s="509"/>
      <c r="G8" s="509"/>
      <c r="H8" s="509"/>
      <c r="I8" s="509"/>
      <c r="J8" s="509">
        <v>2</v>
      </c>
      <c r="K8" s="509">
        <v>354</v>
      </c>
      <c r="L8" s="509">
        <v>1</v>
      </c>
      <c r="M8" s="509">
        <v>177</v>
      </c>
      <c r="N8" s="509">
        <v>1</v>
      </c>
      <c r="O8" s="509">
        <v>178</v>
      </c>
      <c r="P8" s="497">
        <v>0.50282485875706218</v>
      </c>
      <c r="Q8" s="510">
        <v>178</v>
      </c>
    </row>
    <row r="9" spans="1:17" ht="14.4" customHeight="1" x14ac:dyDescent="0.3">
      <c r="A9" s="494" t="s">
        <v>373</v>
      </c>
      <c r="B9" s="496" t="s">
        <v>346</v>
      </c>
      <c r="C9" s="496" t="s">
        <v>347</v>
      </c>
      <c r="D9" s="496" t="s">
        <v>374</v>
      </c>
      <c r="E9" s="496" t="s">
        <v>376</v>
      </c>
      <c r="F9" s="509"/>
      <c r="G9" s="509"/>
      <c r="H9" s="509"/>
      <c r="I9" s="509"/>
      <c r="J9" s="509">
        <v>5</v>
      </c>
      <c r="K9" s="509">
        <v>885</v>
      </c>
      <c r="L9" s="509">
        <v>1</v>
      </c>
      <c r="M9" s="509">
        <v>177</v>
      </c>
      <c r="N9" s="509">
        <v>1</v>
      </c>
      <c r="O9" s="509">
        <v>178</v>
      </c>
      <c r="P9" s="497">
        <v>0.20112994350282487</v>
      </c>
      <c r="Q9" s="510">
        <v>178</v>
      </c>
    </row>
    <row r="10" spans="1:17" ht="14.4" customHeight="1" x14ac:dyDescent="0.3">
      <c r="A10" s="494" t="s">
        <v>377</v>
      </c>
      <c r="B10" s="496" t="s">
        <v>346</v>
      </c>
      <c r="C10" s="496" t="s">
        <v>347</v>
      </c>
      <c r="D10" s="496" t="s">
        <v>348</v>
      </c>
      <c r="E10" s="496" t="s">
        <v>349</v>
      </c>
      <c r="F10" s="509">
        <v>4</v>
      </c>
      <c r="G10" s="509">
        <v>1416</v>
      </c>
      <c r="H10" s="509">
        <v>0.4431924882629108</v>
      </c>
      <c r="I10" s="509">
        <v>354</v>
      </c>
      <c r="J10" s="509">
        <v>9</v>
      </c>
      <c r="K10" s="509">
        <v>3195</v>
      </c>
      <c r="L10" s="509">
        <v>1</v>
      </c>
      <c r="M10" s="509">
        <v>355</v>
      </c>
      <c r="N10" s="509">
        <v>6</v>
      </c>
      <c r="O10" s="509">
        <v>2130</v>
      </c>
      <c r="P10" s="497">
        <v>0.66666666666666663</v>
      </c>
      <c r="Q10" s="510">
        <v>355</v>
      </c>
    </row>
    <row r="11" spans="1:17" ht="14.4" customHeight="1" x14ac:dyDescent="0.3">
      <c r="A11" s="494" t="s">
        <v>377</v>
      </c>
      <c r="B11" s="496" t="s">
        <v>346</v>
      </c>
      <c r="C11" s="496" t="s">
        <v>347</v>
      </c>
      <c r="D11" s="496" t="s">
        <v>348</v>
      </c>
      <c r="E11" s="496" t="s">
        <v>350</v>
      </c>
      <c r="F11" s="509">
        <v>1</v>
      </c>
      <c r="G11" s="509">
        <v>354</v>
      </c>
      <c r="H11" s="509">
        <v>0.49859154929577465</v>
      </c>
      <c r="I11" s="509">
        <v>354</v>
      </c>
      <c r="J11" s="509">
        <v>2</v>
      </c>
      <c r="K11" s="509">
        <v>710</v>
      </c>
      <c r="L11" s="509">
        <v>1</v>
      </c>
      <c r="M11" s="509">
        <v>355</v>
      </c>
      <c r="N11" s="509">
        <v>23</v>
      </c>
      <c r="O11" s="509">
        <v>8165</v>
      </c>
      <c r="P11" s="497">
        <v>11.5</v>
      </c>
      <c r="Q11" s="510">
        <v>355</v>
      </c>
    </row>
    <row r="12" spans="1:17" ht="14.4" customHeight="1" x14ac:dyDescent="0.3">
      <c r="A12" s="494" t="s">
        <v>377</v>
      </c>
      <c r="B12" s="496" t="s">
        <v>346</v>
      </c>
      <c r="C12" s="496" t="s">
        <v>347</v>
      </c>
      <c r="D12" s="496" t="s">
        <v>374</v>
      </c>
      <c r="E12" s="496" t="s">
        <v>375</v>
      </c>
      <c r="F12" s="509">
        <v>3</v>
      </c>
      <c r="G12" s="509">
        <v>531</v>
      </c>
      <c r="H12" s="509">
        <v>1.5</v>
      </c>
      <c r="I12" s="509">
        <v>177</v>
      </c>
      <c r="J12" s="509">
        <v>2</v>
      </c>
      <c r="K12" s="509">
        <v>354</v>
      </c>
      <c r="L12" s="509">
        <v>1</v>
      </c>
      <c r="M12" s="509">
        <v>177</v>
      </c>
      <c r="N12" s="509">
        <v>3</v>
      </c>
      <c r="O12" s="509">
        <v>534</v>
      </c>
      <c r="P12" s="497">
        <v>1.5084745762711864</v>
      </c>
      <c r="Q12" s="510">
        <v>178</v>
      </c>
    </row>
    <row r="13" spans="1:17" ht="14.4" customHeight="1" x14ac:dyDescent="0.3">
      <c r="A13" s="494" t="s">
        <v>377</v>
      </c>
      <c r="B13" s="496" t="s">
        <v>346</v>
      </c>
      <c r="C13" s="496" t="s">
        <v>347</v>
      </c>
      <c r="D13" s="496" t="s">
        <v>374</v>
      </c>
      <c r="E13" s="496" t="s">
        <v>376</v>
      </c>
      <c r="F13" s="509">
        <v>1</v>
      </c>
      <c r="G13" s="509">
        <v>177</v>
      </c>
      <c r="H13" s="509">
        <v>1</v>
      </c>
      <c r="I13" s="509">
        <v>177</v>
      </c>
      <c r="J13" s="509">
        <v>1</v>
      </c>
      <c r="K13" s="509">
        <v>177</v>
      </c>
      <c r="L13" s="509">
        <v>1</v>
      </c>
      <c r="M13" s="509">
        <v>177</v>
      </c>
      <c r="N13" s="509">
        <v>6</v>
      </c>
      <c r="O13" s="509">
        <v>1068</v>
      </c>
      <c r="P13" s="497">
        <v>6.0338983050847457</v>
      </c>
      <c r="Q13" s="510">
        <v>178</v>
      </c>
    </row>
    <row r="14" spans="1:17" ht="14.4" customHeight="1" x14ac:dyDescent="0.3">
      <c r="A14" s="494" t="s">
        <v>378</v>
      </c>
      <c r="B14" s="496" t="s">
        <v>346</v>
      </c>
      <c r="C14" s="496" t="s">
        <v>347</v>
      </c>
      <c r="D14" s="496" t="s">
        <v>348</v>
      </c>
      <c r="E14" s="496" t="s">
        <v>349</v>
      </c>
      <c r="F14" s="509">
        <v>2</v>
      </c>
      <c r="G14" s="509">
        <v>708</v>
      </c>
      <c r="H14" s="509">
        <v>0.24929577464788732</v>
      </c>
      <c r="I14" s="509">
        <v>354</v>
      </c>
      <c r="J14" s="509">
        <v>8</v>
      </c>
      <c r="K14" s="509">
        <v>2840</v>
      </c>
      <c r="L14" s="509">
        <v>1</v>
      </c>
      <c r="M14" s="509">
        <v>355</v>
      </c>
      <c r="N14" s="509">
        <v>2</v>
      </c>
      <c r="O14" s="509">
        <v>710</v>
      </c>
      <c r="P14" s="497">
        <v>0.25</v>
      </c>
      <c r="Q14" s="510">
        <v>355</v>
      </c>
    </row>
    <row r="15" spans="1:17" ht="14.4" customHeight="1" x14ac:dyDescent="0.3">
      <c r="A15" s="494" t="s">
        <v>378</v>
      </c>
      <c r="B15" s="496" t="s">
        <v>346</v>
      </c>
      <c r="C15" s="496" t="s">
        <v>347</v>
      </c>
      <c r="D15" s="496" t="s">
        <v>348</v>
      </c>
      <c r="E15" s="496" t="s">
        <v>350</v>
      </c>
      <c r="F15" s="509">
        <v>4</v>
      </c>
      <c r="G15" s="509">
        <v>1416</v>
      </c>
      <c r="H15" s="509">
        <v>0.49859154929577465</v>
      </c>
      <c r="I15" s="509">
        <v>354</v>
      </c>
      <c r="J15" s="509">
        <v>8</v>
      </c>
      <c r="K15" s="509">
        <v>2840</v>
      </c>
      <c r="L15" s="509">
        <v>1</v>
      </c>
      <c r="M15" s="509">
        <v>355</v>
      </c>
      <c r="N15" s="509">
        <v>12</v>
      </c>
      <c r="O15" s="509">
        <v>4260</v>
      </c>
      <c r="P15" s="497">
        <v>1.5</v>
      </c>
      <c r="Q15" s="510">
        <v>355</v>
      </c>
    </row>
    <row r="16" spans="1:17" ht="14.4" customHeight="1" x14ac:dyDescent="0.3">
      <c r="A16" s="494" t="s">
        <v>378</v>
      </c>
      <c r="B16" s="496" t="s">
        <v>346</v>
      </c>
      <c r="C16" s="496" t="s">
        <v>347</v>
      </c>
      <c r="D16" s="496" t="s">
        <v>374</v>
      </c>
      <c r="E16" s="496" t="s">
        <v>375</v>
      </c>
      <c r="F16" s="509">
        <v>1</v>
      </c>
      <c r="G16" s="509">
        <v>177</v>
      </c>
      <c r="H16" s="509">
        <v>0.2</v>
      </c>
      <c r="I16" s="509">
        <v>177</v>
      </c>
      <c r="J16" s="509">
        <v>5</v>
      </c>
      <c r="K16" s="509">
        <v>885</v>
      </c>
      <c r="L16" s="509">
        <v>1</v>
      </c>
      <c r="M16" s="509">
        <v>177</v>
      </c>
      <c r="N16" s="509">
        <v>3</v>
      </c>
      <c r="O16" s="509">
        <v>534</v>
      </c>
      <c r="P16" s="497">
        <v>0.60338983050847461</v>
      </c>
      <c r="Q16" s="510">
        <v>178</v>
      </c>
    </row>
    <row r="17" spans="1:17" ht="14.4" customHeight="1" x14ac:dyDescent="0.3">
      <c r="A17" s="494" t="s">
        <v>378</v>
      </c>
      <c r="B17" s="496" t="s">
        <v>346</v>
      </c>
      <c r="C17" s="496" t="s">
        <v>347</v>
      </c>
      <c r="D17" s="496" t="s">
        <v>374</v>
      </c>
      <c r="E17" s="496" t="s">
        <v>376</v>
      </c>
      <c r="F17" s="509">
        <v>1</v>
      </c>
      <c r="G17" s="509">
        <v>177</v>
      </c>
      <c r="H17" s="509">
        <v>0.5</v>
      </c>
      <c r="I17" s="509">
        <v>177</v>
      </c>
      <c r="J17" s="509">
        <v>2</v>
      </c>
      <c r="K17" s="509">
        <v>354</v>
      </c>
      <c r="L17" s="509">
        <v>1</v>
      </c>
      <c r="M17" s="509">
        <v>177</v>
      </c>
      <c r="N17" s="509">
        <v>7</v>
      </c>
      <c r="O17" s="509">
        <v>1246</v>
      </c>
      <c r="P17" s="497">
        <v>3.5197740112994351</v>
      </c>
      <c r="Q17" s="510">
        <v>178</v>
      </c>
    </row>
    <row r="18" spans="1:17" ht="14.4" customHeight="1" x14ac:dyDescent="0.3">
      <c r="A18" s="494" t="s">
        <v>378</v>
      </c>
      <c r="B18" s="496" t="s">
        <v>346</v>
      </c>
      <c r="C18" s="496" t="s">
        <v>347</v>
      </c>
      <c r="D18" s="496" t="s">
        <v>379</v>
      </c>
      <c r="E18" s="496" t="s">
        <v>380</v>
      </c>
      <c r="F18" s="509"/>
      <c r="G18" s="509"/>
      <c r="H18" s="509"/>
      <c r="I18" s="509"/>
      <c r="J18" s="509"/>
      <c r="K18" s="509"/>
      <c r="L18" s="509"/>
      <c r="M18" s="509"/>
      <c r="N18" s="509">
        <v>1</v>
      </c>
      <c r="O18" s="509">
        <v>347</v>
      </c>
      <c r="P18" s="497"/>
      <c r="Q18" s="510">
        <v>347</v>
      </c>
    </row>
    <row r="19" spans="1:17" ht="14.4" customHeight="1" x14ac:dyDescent="0.3">
      <c r="A19" s="494" t="s">
        <v>381</v>
      </c>
      <c r="B19" s="496" t="s">
        <v>346</v>
      </c>
      <c r="C19" s="496" t="s">
        <v>347</v>
      </c>
      <c r="D19" s="496" t="s">
        <v>348</v>
      </c>
      <c r="E19" s="496" t="s">
        <v>349</v>
      </c>
      <c r="F19" s="509"/>
      <c r="G19" s="509"/>
      <c r="H19" s="509"/>
      <c r="I19" s="509"/>
      <c r="J19" s="509"/>
      <c r="K19" s="509"/>
      <c r="L19" s="509"/>
      <c r="M19" s="509"/>
      <c r="N19" s="509">
        <v>1</v>
      </c>
      <c r="O19" s="509">
        <v>355</v>
      </c>
      <c r="P19" s="497"/>
      <c r="Q19" s="510">
        <v>355</v>
      </c>
    </row>
    <row r="20" spans="1:17" ht="14.4" customHeight="1" x14ac:dyDescent="0.3">
      <c r="A20" s="494" t="s">
        <v>382</v>
      </c>
      <c r="B20" s="496" t="s">
        <v>346</v>
      </c>
      <c r="C20" s="496" t="s">
        <v>347</v>
      </c>
      <c r="D20" s="496" t="s">
        <v>348</v>
      </c>
      <c r="E20" s="496" t="s">
        <v>349</v>
      </c>
      <c r="F20" s="509"/>
      <c r="G20" s="509"/>
      <c r="H20" s="509"/>
      <c r="I20" s="509"/>
      <c r="J20" s="509">
        <v>1</v>
      </c>
      <c r="K20" s="509">
        <v>355</v>
      </c>
      <c r="L20" s="509">
        <v>1</v>
      </c>
      <c r="M20" s="509">
        <v>355</v>
      </c>
      <c r="N20" s="509"/>
      <c r="O20" s="509"/>
      <c r="P20" s="497"/>
      <c r="Q20" s="510"/>
    </row>
    <row r="21" spans="1:17" ht="14.4" customHeight="1" x14ac:dyDescent="0.3">
      <c r="A21" s="494" t="s">
        <v>382</v>
      </c>
      <c r="B21" s="496" t="s">
        <v>346</v>
      </c>
      <c r="C21" s="496" t="s">
        <v>347</v>
      </c>
      <c r="D21" s="496" t="s">
        <v>348</v>
      </c>
      <c r="E21" s="496" t="s">
        <v>350</v>
      </c>
      <c r="F21" s="509"/>
      <c r="G21" s="509"/>
      <c r="H21" s="509"/>
      <c r="I21" s="509"/>
      <c r="J21" s="509"/>
      <c r="K21" s="509"/>
      <c r="L21" s="509"/>
      <c r="M21" s="509"/>
      <c r="N21" s="509">
        <v>1</v>
      </c>
      <c r="O21" s="509">
        <v>355</v>
      </c>
      <c r="P21" s="497"/>
      <c r="Q21" s="510">
        <v>355</v>
      </c>
    </row>
    <row r="22" spans="1:17" ht="14.4" customHeight="1" x14ac:dyDescent="0.3">
      <c r="A22" s="494" t="s">
        <v>345</v>
      </c>
      <c r="B22" s="496" t="s">
        <v>346</v>
      </c>
      <c r="C22" s="496" t="s">
        <v>347</v>
      </c>
      <c r="D22" s="496" t="s">
        <v>348</v>
      </c>
      <c r="E22" s="496" t="s">
        <v>349</v>
      </c>
      <c r="F22" s="509"/>
      <c r="G22" s="509"/>
      <c r="H22" s="509"/>
      <c r="I22" s="509"/>
      <c r="J22" s="509"/>
      <c r="K22" s="509"/>
      <c r="L22" s="509"/>
      <c r="M22" s="509"/>
      <c r="N22" s="509">
        <v>1</v>
      </c>
      <c r="O22" s="509">
        <v>355</v>
      </c>
      <c r="P22" s="497"/>
      <c r="Q22" s="510">
        <v>355</v>
      </c>
    </row>
    <row r="23" spans="1:17" ht="14.4" customHeight="1" x14ac:dyDescent="0.3">
      <c r="A23" s="494" t="s">
        <v>383</v>
      </c>
      <c r="B23" s="496" t="s">
        <v>346</v>
      </c>
      <c r="C23" s="496" t="s">
        <v>347</v>
      </c>
      <c r="D23" s="496" t="s">
        <v>348</v>
      </c>
      <c r="E23" s="496" t="s">
        <v>349</v>
      </c>
      <c r="F23" s="509">
        <v>5</v>
      </c>
      <c r="G23" s="509">
        <v>1770</v>
      </c>
      <c r="H23" s="509">
        <v>0.38353196099674974</v>
      </c>
      <c r="I23" s="509">
        <v>354</v>
      </c>
      <c r="J23" s="509">
        <v>13</v>
      </c>
      <c r="K23" s="509">
        <v>4615</v>
      </c>
      <c r="L23" s="509">
        <v>1</v>
      </c>
      <c r="M23" s="509">
        <v>355</v>
      </c>
      <c r="N23" s="509">
        <v>9</v>
      </c>
      <c r="O23" s="509">
        <v>3195</v>
      </c>
      <c r="P23" s="497">
        <v>0.69230769230769229</v>
      </c>
      <c r="Q23" s="510">
        <v>355</v>
      </c>
    </row>
    <row r="24" spans="1:17" ht="14.4" customHeight="1" x14ac:dyDescent="0.3">
      <c r="A24" s="494" t="s">
        <v>383</v>
      </c>
      <c r="B24" s="496" t="s">
        <v>346</v>
      </c>
      <c r="C24" s="496" t="s">
        <v>347</v>
      </c>
      <c r="D24" s="496" t="s">
        <v>348</v>
      </c>
      <c r="E24" s="496" t="s">
        <v>350</v>
      </c>
      <c r="F24" s="509">
        <v>4</v>
      </c>
      <c r="G24" s="509">
        <v>1416</v>
      </c>
      <c r="H24" s="509">
        <v>0.49859154929577465</v>
      </c>
      <c r="I24" s="509">
        <v>354</v>
      </c>
      <c r="J24" s="509">
        <v>8</v>
      </c>
      <c r="K24" s="509">
        <v>2840</v>
      </c>
      <c r="L24" s="509">
        <v>1</v>
      </c>
      <c r="M24" s="509">
        <v>355</v>
      </c>
      <c r="N24" s="509">
        <v>33</v>
      </c>
      <c r="O24" s="509">
        <v>11715</v>
      </c>
      <c r="P24" s="497">
        <v>4.125</v>
      </c>
      <c r="Q24" s="510">
        <v>355</v>
      </c>
    </row>
    <row r="25" spans="1:17" ht="14.4" customHeight="1" x14ac:dyDescent="0.3">
      <c r="A25" s="494" t="s">
        <v>383</v>
      </c>
      <c r="B25" s="496" t="s">
        <v>346</v>
      </c>
      <c r="C25" s="496" t="s">
        <v>347</v>
      </c>
      <c r="D25" s="496" t="s">
        <v>374</v>
      </c>
      <c r="E25" s="496" t="s">
        <v>375</v>
      </c>
      <c r="F25" s="509"/>
      <c r="G25" s="509"/>
      <c r="H25" s="509"/>
      <c r="I25" s="509"/>
      <c r="J25" s="509">
        <v>5</v>
      </c>
      <c r="K25" s="509">
        <v>885</v>
      </c>
      <c r="L25" s="509">
        <v>1</v>
      </c>
      <c r="M25" s="509">
        <v>177</v>
      </c>
      <c r="N25" s="509">
        <v>9</v>
      </c>
      <c r="O25" s="509">
        <v>1602</v>
      </c>
      <c r="P25" s="497">
        <v>1.8101694915254238</v>
      </c>
      <c r="Q25" s="510">
        <v>178</v>
      </c>
    </row>
    <row r="26" spans="1:17" ht="14.4" customHeight="1" x14ac:dyDescent="0.3">
      <c r="A26" s="494" t="s">
        <v>383</v>
      </c>
      <c r="B26" s="496" t="s">
        <v>346</v>
      </c>
      <c r="C26" s="496" t="s">
        <v>347</v>
      </c>
      <c r="D26" s="496" t="s">
        <v>374</v>
      </c>
      <c r="E26" s="496" t="s">
        <v>376</v>
      </c>
      <c r="F26" s="509">
        <v>2</v>
      </c>
      <c r="G26" s="509">
        <v>354</v>
      </c>
      <c r="H26" s="509">
        <v>0.5</v>
      </c>
      <c r="I26" s="509">
        <v>177</v>
      </c>
      <c r="J26" s="509">
        <v>4</v>
      </c>
      <c r="K26" s="509">
        <v>708</v>
      </c>
      <c r="L26" s="509">
        <v>1</v>
      </c>
      <c r="M26" s="509">
        <v>177</v>
      </c>
      <c r="N26" s="509">
        <v>27</v>
      </c>
      <c r="O26" s="509">
        <v>4806</v>
      </c>
      <c r="P26" s="497">
        <v>6.7881355932203391</v>
      </c>
      <c r="Q26" s="510">
        <v>178</v>
      </c>
    </row>
    <row r="27" spans="1:17" ht="14.4" customHeight="1" x14ac:dyDescent="0.3">
      <c r="A27" s="494" t="s">
        <v>384</v>
      </c>
      <c r="B27" s="496" t="s">
        <v>346</v>
      </c>
      <c r="C27" s="496" t="s">
        <v>347</v>
      </c>
      <c r="D27" s="496" t="s">
        <v>348</v>
      </c>
      <c r="E27" s="496" t="s">
        <v>349</v>
      </c>
      <c r="F27" s="509"/>
      <c r="G27" s="509"/>
      <c r="H27" s="509"/>
      <c r="I27" s="509"/>
      <c r="J27" s="509"/>
      <c r="K27" s="509"/>
      <c r="L27" s="509"/>
      <c r="M27" s="509"/>
      <c r="N27" s="509">
        <v>1</v>
      </c>
      <c r="O27" s="509">
        <v>355</v>
      </c>
      <c r="P27" s="497"/>
      <c r="Q27" s="510">
        <v>355</v>
      </c>
    </row>
    <row r="28" spans="1:17" ht="14.4" customHeight="1" x14ac:dyDescent="0.3">
      <c r="A28" s="494" t="s">
        <v>384</v>
      </c>
      <c r="B28" s="496" t="s">
        <v>346</v>
      </c>
      <c r="C28" s="496" t="s">
        <v>347</v>
      </c>
      <c r="D28" s="496" t="s">
        <v>348</v>
      </c>
      <c r="E28" s="496" t="s">
        <v>350</v>
      </c>
      <c r="F28" s="509">
        <v>1</v>
      </c>
      <c r="G28" s="509">
        <v>354</v>
      </c>
      <c r="H28" s="509"/>
      <c r="I28" s="509">
        <v>354</v>
      </c>
      <c r="J28" s="509"/>
      <c r="K28" s="509"/>
      <c r="L28" s="509"/>
      <c r="M28" s="509"/>
      <c r="N28" s="509"/>
      <c r="O28" s="509"/>
      <c r="P28" s="497"/>
      <c r="Q28" s="510"/>
    </row>
    <row r="29" spans="1:17" ht="14.4" customHeight="1" x14ac:dyDescent="0.3">
      <c r="A29" s="494" t="s">
        <v>385</v>
      </c>
      <c r="B29" s="496" t="s">
        <v>346</v>
      </c>
      <c r="C29" s="496" t="s">
        <v>347</v>
      </c>
      <c r="D29" s="496" t="s">
        <v>348</v>
      </c>
      <c r="E29" s="496" t="s">
        <v>349</v>
      </c>
      <c r="F29" s="509">
        <v>2</v>
      </c>
      <c r="G29" s="509">
        <v>708</v>
      </c>
      <c r="H29" s="509">
        <v>0.6647887323943662</v>
      </c>
      <c r="I29" s="509">
        <v>354</v>
      </c>
      <c r="J29" s="509">
        <v>3</v>
      </c>
      <c r="K29" s="509">
        <v>1065</v>
      </c>
      <c r="L29" s="509">
        <v>1</v>
      </c>
      <c r="M29" s="509">
        <v>355</v>
      </c>
      <c r="N29" s="509">
        <v>2</v>
      </c>
      <c r="O29" s="509">
        <v>710</v>
      </c>
      <c r="P29" s="497">
        <v>0.66666666666666663</v>
      </c>
      <c r="Q29" s="510">
        <v>355</v>
      </c>
    </row>
    <row r="30" spans="1:17" ht="14.4" customHeight="1" x14ac:dyDescent="0.3">
      <c r="A30" s="494" t="s">
        <v>385</v>
      </c>
      <c r="B30" s="496" t="s">
        <v>346</v>
      </c>
      <c r="C30" s="496" t="s">
        <v>347</v>
      </c>
      <c r="D30" s="496" t="s">
        <v>348</v>
      </c>
      <c r="E30" s="496" t="s">
        <v>350</v>
      </c>
      <c r="F30" s="509">
        <v>6</v>
      </c>
      <c r="G30" s="509">
        <v>2124</v>
      </c>
      <c r="H30" s="509">
        <v>1.1966197183098592</v>
      </c>
      <c r="I30" s="509">
        <v>354</v>
      </c>
      <c r="J30" s="509">
        <v>5</v>
      </c>
      <c r="K30" s="509">
        <v>1775</v>
      </c>
      <c r="L30" s="509">
        <v>1</v>
      </c>
      <c r="M30" s="509">
        <v>355</v>
      </c>
      <c r="N30" s="509">
        <v>4</v>
      </c>
      <c r="O30" s="509">
        <v>1420</v>
      </c>
      <c r="P30" s="497">
        <v>0.8</v>
      </c>
      <c r="Q30" s="510">
        <v>355</v>
      </c>
    </row>
    <row r="31" spans="1:17" ht="14.4" customHeight="1" x14ac:dyDescent="0.3">
      <c r="A31" s="494" t="s">
        <v>385</v>
      </c>
      <c r="B31" s="496" t="s">
        <v>346</v>
      </c>
      <c r="C31" s="496" t="s">
        <v>347</v>
      </c>
      <c r="D31" s="496" t="s">
        <v>374</v>
      </c>
      <c r="E31" s="496" t="s">
        <v>375</v>
      </c>
      <c r="F31" s="509"/>
      <c r="G31" s="509"/>
      <c r="H31" s="509"/>
      <c r="I31" s="509"/>
      <c r="J31" s="509">
        <v>4</v>
      </c>
      <c r="K31" s="509">
        <v>708</v>
      </c>
      <c r="L31" s="509">
        <v>1</v>
      </c>
      <c r="M31" s="509">
        <v>177</v>
      </c>
      <c r="N31" s="509">
        <v>2</v>
      </c>
      <c r="O31" s="509">
        <v>356</v>
      </c>
      <c r="P31" s="497">
        <v>0.50282485875706218</v>
      </c>
      <c r="Q31" s="510">
        <v>178</v>
      </c>
    </row>
    <row r="32" spans="1:17" ht="14.4" customHeight="1" x14ac:dyDescent="0.3">
      <c r="A32" s="494" t="s">
        <v>385</v>
      </c>
      <c r="B32" s="496" t="s">
        <v>346</v>
      </c>
      <c r="C32" s="496" t="s">
        <v>347</v>
      </c>
      <c r="D32" s="496" t="s">
        <v>374</v>
      </c>
      <c r="E32" s="496" t="s">
        <v>376</v>
      </c>
      <c r="F32" s="509">
        <v>4</v>
      </c>
      <c r="G32" s="509">
        <v>708</v>
      </c>
      <c r="H32" s="509">
        <v>2</v>
      </c>
      <c r="I32" s="509">
        <v>177</v>
      </c>
      <c r="J32" s="509">
        <v>2</v>
      </c>
      <c r="K32" s="509">
        <v>354</v>
      </c>
      <c r="L32" s="509">
        <v>1</v>
      </c>
      <c r="M32" s="509">
        <v>177</v>
      </c>
      <c r="N32" s="509">
        <v>1</v>
      </c>
      <c r="O32" s="509">
        <v>178</v>
      </c>
      <c r="P32" s="497">
        <v>0.50282485875706218</v>
      </c>
      <c r="Q32" s="510">
        <v>178</v>
      </c>
    </row>
    <row r="33" spans="1:17" ht="14.4" customHeight="1" x14ac:dyDescent="0.3">
      <c r="A33" s="494" t="s">
        <v>386</v>
      </c>
      <c r="B33" s="496" t="s">
        <v>346</v>
      </c>
      <c r="C33" s="496" t="s">
        <v>347</v>
      </c>
      <c r="D33" s="496" t="s">
        <v>348</v>
      </c>
      <c r="E33" s="496" t="s">
        <v>350</v>
      </c>
      <c r="F33" s="509"/>
      <c r="G33" s="509"/>
      <c r="H33" s="509"/>
      <c r="I33" s="509"/>
      <c r="J33" s="509">
        <v>2</v>
      </c>
      <c r="K33" s="509">
        <v>710</v>
      </c>
      <c r="L33" s="509">
        <v>1</v>
      </c>
      <c r="M33" s="509">
        <v>355</v>
      </c>
      <c r="N33" s="509"/>
      <c r="O33" s="509"/>
      <c r="P33" s="497"/>
      <c r="Q33" s="510"/>
    </row>
    <row r="34" spans="1:17" ht="14.4" customHeight="1" x14ac:dyDescent="0.3">
      <c r="A34" s="494" t="s">
        <v>386</v>
      </c>
      <c r="B34" s="496" t="s">
        <v>346</v>
      </c>
      <c r="C34" s="496" t="s">
        <v>347</v>
      </c>
      <c r="D34" s="496" t="s">
        <v>374</v>
      </c>
      <c r="E34" s="496" t="s">
        <v>376</v>
      </c>
      <c r="F34" s="509"/>
      <c r="G34" s="509"/>
      <c r="H34" s="509"/>
      <c r="I34" s="509"/>
      <c r="J34" s="509">
        <v>1</v>
      </c>
      <c r="K34" s="509">
        <v>177</v>
      </c>
      <c r="L34" s="509">
        <v>1</v>
      </c>
      <c r="M34" s="509">
        <v>177</v>
      </c>
      <c r="N34" s="509"/>
      <c r="O34" s="509"/>
      <c r="P34" s="497"/>
      <c r="Q34" s="510"/>
    </row>
    <row r="35" spans="1:17" ht="14.4" customHeight="1" x14ac:dyDescent="0.3">
      <c r="A35" s="494" t="s">
        <v>387</v>
      </c>
      <c r="B35" s="496" t="s">
        <v>346</v>
      </c>
      <c r="C35" s="496" t="s">
        <v>347</v>
      </c>
      <c r="D35" s="496" t="s">
        <v>348</v>
      </c>
      <c r="E35" s="496" t="s">
        <v>349</v>
      </c>
      <c r="F35" s="509">
        <v>2</v>
      </c>
      <c r="G35" s="509">
        <v>708</v>
      </c>
      <c r="H35" s="509"/>
      <c r="I35" s="509">
        <v>354</v>
      </c>
      <c r="J35" s="509"/>
      <c r="K35" s="509"/>
      <c r="L35" s="509"/>
      <c r="M35" s="509"/>
      <c r="N35" s="509">
        <v>2</v>
      </c>
      <c r="O35" s="509">
        <v>710</v>
      </c>
      <c r="P35" s="497"/>
      <c r="Q35" s="510">
        <v>355</v>
      </c>
    </row>
    <row r="36" spans="1:17" ht="14.4" customHeight="1" x14ac:dyDescent="0.3">
      <c r="A36" s="494" t="s">
        <v>387</v>
      </c>
      <c r="B36" s="496" t="s">
        <v>346</v>
      </c>
      <c r="C36" s="496" t="s">
        <v>347</v>
      </c>
      <c r="D36" s="496" t="s">
        <v>348</v>
      </c>
      <c r="E36" s="496" t="s">
        <v>350</v>
      </c>
      <c r="F36" s="509">
        <v>3</v>
      </c>
      <c r="G36" s="509">
        <v>1062</v>
      </c>
      <c r="H36" s="509"/>
      <c r="I36" s="509">
        <v>354</v>
      </c>
      <c r="J36" s="509"/>
      <c r="K36" s="509"/>
      <c r="L36" s="509"/>
      <c r="M36" s="509"/>
      <c r="N36" s="509">
        <v>1</v>
      </c>
      <c r="O36" s="509">
        <v>355</v>
      </c>
      <c r="P36" s="497"/>
      <c r="Q36" s="510">
        <v>355</v>
      </c>
    </row>
    <row r="37" spans="1:17" ht="14.4" customHeight="1" x14ac:dyDescent="0.3">
      <c r="A37" s="494" t="s">
        <v>388</v>
      </c>
      <c r="B37" s="496" t="s">
        <v>346</v>
      </c>
      <c r="C37" s="496" t="s">
        <v>347</v>
      </c>
      <c r="D37" s="496" t="s">
        <v>348</v>
      </c>
      <c r="E37" s="496" t="s">
        <v>349</v>
      </c>
      <c r="F37" s="509">
        <v>1</v>
      </c>
      <c r="G37" s="509">
        <v>354</v>
      </c>
      <c r="H37" s="509">
        <v>0.19943661971830987</v>
      </c>
      <c r="I37" s="509">
        <v>354</v>
      </c>
      <c r="J37" s="509">
        <v>5</v>
      </c>
      <c r="K37" s="509">
        <v>1775</v>
      </c>
      <c r="L37" s="509">
        <v>1</v>
      </c>
      <c r="M37" s="509">
        <v>355</v>
      </c>
      <c r="N37" s="509">
        <v>6</v>
      </c>
      <c r="O37" s="509">
        <v>2130</v>
      </c>
      <c r="P37" s="497">
        <v>1.2</v>
      </c>
      <c r="Q37" s="510">
        <v>355</v>
      </c>
    </row>
    <row r="38" spans="1:17" ht="14.4" customHeight="1" x14ac:dyDescent="0.3">
      <c r="A38" s="494" t="s">
        <v>388</v>
      </c>
      <c r="B38" s="496" t="s">
        <v>346</v>
      </c>
      <c r="C38" s="496" t="s">
        <v>347</v>
      </c>
      <c r="D38" s="496" t="s">
        <v>348</v>
      </c>
      <c r="E38" s="496" t="s">
        <v>350</v>
      </c>
      <c r="F38" s="509"/>
      <c r="G38" s="509"/>
      <c r="H38" s="509"/>
      <c r="I38" s="509"/>
      <c r="J38" s="509">
        <v>2</v>
      </c>
      <c r="K38" s="509">
        <v>710</v>
      </c>
      <c r="L38" s="509">
        <v>1</v>
      </c>
      <c r="M38" s="509">
        <v>355</v>
      </c>
      <c r="N38" s="509"/>
      <c r="O38" s="509"/>
      <c r="P38" s="497"/>
      <c r="Q38" s="510"/>
    </row>
    <row r="39" spans="1:17" ht="14.4" customHeight="1" x14ac:dyDescent="0.3">
      <c r="A39" s="494" t="s">
        <v>388</v>
      </c>
      <c r="B39" s="496" t="s">
        <v>346</v>
      </c>
      <c r="C39" s="496" t="s">
        <v>347</v>
      </c>
      <c r="D39" s="496" t="s">
        <v>374</v>
      </c>
      <c r="E39" s="496" t="s">
        <v>375</v>
      </c>
      <c r="F39" s="509"/>
      <c r="G39" s="509"/>
      <c r="H39" s="509"/>
      <c r="I39" s="509"/>
      <c r="J39" s="509">
        <v>2</v>
      </c>
      <c r="K39" s="509">
        <v>354</v>
      </c>
      <c r="L39" s="509">
        <v>1</v>
      </c>
      <c r="M39" s="509">
        <v>177</v>
      </c>
      <c r="N39" s="509">
        <v>1</v>
      </c>
      <c r="O39" s="509">
        <v>178</v>
      </c>
      <c r="P39" s="497">
        <v>0.50282485875706218</v>
      </c>
      <c r="Q39" s="510">
        <v>178</v>
      </c>
    </row>
    <row r="40" spans="1:17" ht="14.4" customHeight="1" x14ac:dyDescent="0.3">
      <c r="A40" s="494" t="s">
        <v>388</v>
      </c>
      <c r="B40" s="496" t="s">
        <v>346</v>
      </c>
      <c r="C40" s="496" t="s">
        <v>347</v>
      </c>
      <c r="D40" s="496" t="s">
        <v>374</v>
      </c>
      <c r="E40" s="496" t="s">
        <v>376</v>
      </c>
      <c r="F40" s="509"/>
      <c r="G40" s="509"/>
      <c r="H40" s="509"/>
      <c r="I40" s="509"/>
      <c r="J40" s="509">
        <v>2</v>
      </c>
      <c r="K40" s="509">
        <v>354</v>
      </c>
      <c r="L40" s="509">
        <v>1</v>
      </c>
      <c r="M40" s="509">
        <v>177</v>
      </c>
      <c r="N40" s="509"/>
      <c r="O40" s="509"/>
      <c r="P40" s="497"/>
      <c r="Q40" s="510"/>
    </row>
    <row r="41" spans="1:17" ht="14.4" customHeight="1" x14ac:dyDescent="0.3">
      <c r="A41" s="494" t="s">
        <v>389</v>
      </c>
      <c r="B41" s="496" t="s">
        <v>346</v>
      </c>
      <c r="C41" s="496" t="s">
        <v>347</v>
      </c>
      <c r="D41" s="496" t="s">
        <v>348</v>
      </c>
      <c r="E41" s="496" t="s">
        <v>349</v>
      </c>
      <c r="F41" s="509"/>
      <c r="G41" s="509"/>
      <c r="H41" s="509"/>
      <c r="I41" s="509"/>
      <c r="J41" s="509"/>
      <c r="K41" s="509"/>
      <c r="L41" s="509"/>
      <c r="M41" s="509"/>
      <c r="N41" s="509">
        <v>1</v>
      </c>
      <c r="O41" s="509">
        <v>355</v>
      </c>
      <c r="P41" s="497"/>
      <c r="Q41" s="510">
        <v>355</v>
      </c>
    </row>
    <row r="42" spans="1:17" ht="14.4" customHeight="1" x14ac:dyDescent="0.3">
      <c r="A42" s="494" t="s">
        <v>389</v>
      </c>
      <c r="B42" s="496" t="s">
        <v>346</v>
      </c>
      <c r="C42" s="496" t="s">
        <v>347</v>
      </c>
      <c r="D42" s="496" t="s">
        <v>348</v>
      </c>
      <c r="E42" s="496" t="s">
        <v>350</v>
      </c>
      <c r="F42" s="509">
        <v>1</v>
      </c>
      <c r="G42" s="509">
        <v>354</v>
      </c>
      <c r="H42" s="509">
        <v>0.49859154929577465</v>
      </c>
      <c r="I42" s="509">
        <v>354</v>
      </c>
      <c r="J42" s="509">
        <v>2</v>
      </c>
      <c r="K42" s="509">
        <v>710</v>
      </c>
      <c r="L42" s="509">
        <v>1</v>
      </c>
      <c r="M42" s="509">
        <v>355</v>
      </c>
      <c r="N42" s="509">
        <v>1</v>
      </c>
      <c r="O42" s="509">
        <v>355</v>
      </c>
      <c r="P42" s="497">
        <v>0.5</v>
      </c>
      <c r="Q42" s="510">
        <v>355</v>
      </c>
    </row>
    <row r="43" spans="1:17" ht="14.4" customHeight="1" x14ac:dyDescent="0.3">
      <c r="A43" s="494" t="s">
        <v>389</v>
      </c>
      <c r="B43" s="496" t="s">
        <v>346</v>
      </c>
      <c r="C43" s="496" t="s">
        <v>347</v>
      </c>
      <c r="D43" s="496" t="s">
        <v>374</v>
      </c>
      <c r="E43" s="496" t="s">
        <v>376</v>
      </c>
      <c r="F43" s="509"/>
      <c r="G43" s="509"/>
      <c r="H43" s="509"/>
      <c r="I43" s="509"/>
      <c r="J43" s="509"/>
      <c r="K43" s="509"/>
      <c r="L43" s="509"/>
      <c r="M43" s="509"/>
      <c r="N43" s="509">
        <v>2</v>
      </c>
      <c r="O43" s="509">
        <v>356</v>
      </c>
      <c r="P43" s="497"/>
      <c r="Q43" s="510">
        <v>178</v>
      </c>
    </row>
    <row r="44" spans="1:17" ht="14.4" customHeight="1" x14ac:dyDescent="0.3">
      <c r="A44" s="494" t="s">
        <v>390</v>
      </c>
      <c r="B44" s="496" t="s">
        <v>346</v>
      </c>
      <c r="C44" s="496" t="s">
        <v>347</v>
      </c>
      <c r="D44" s="496" t="s">
        <v>348</v>
      </c>
      <c r="E44" s="496" t="s">
        <v>349</v>
      </c>
      <c r="F44" s="509"/>
      <c r="G44" s="509"/>
      <c r="H44" s="509"/>
      <c r="I44" s="509"/>
      <c r="J44" s="509"/>
      <c r="K44" s="509"/>
      <c r="L44" s="509"/>
      <c r="M44" s="509"/>
      <c r="N44" s="509">
        <v>1</v>
      </c>
      <c r="O44" s="509">
        <v>355</v>
      </c>
      <c r="P44" s="497"/>
      <c r="Q44" s="510">
        <v>355</v>
      </c>
    </row>
    <row r="45" spans="1:17" ht="14.4" customHeight="1" x14ac:dyDescent="0.3">
      <c r="A45" s="494" t="s">
        <v>390</v>
      </c>
      <c r="B45" s="496" t="s">
        <v>346</v>
      </c>
      <c r="C45" s="496" t="s">
        <v>347</v>
      </c>
      <c r="D45" s="496" t="s">
        <v>348</v>
      </c>
      <c r="E45" s="496" t="s">
        <v>350</v>
      </c>
      <c r="F45" s="509"/>
      <c r="G45" s="509"/>
      <c r="H45" s="509"/>
      <c r="I45" s="509"/>
      <c r="J45" s="509"/>
      <c r="K45" s="509"/>
      <c r="L45" s="509"/>
      <c r="M45" s="509"/>
      <c r="N45" s="509">
        <v>2</v>
      </c>
      <c r="O45" s="509">
        <v>710</v>
      </c>
      <c r="P45" s="497"/>
      <c r="Q45" s="510">
        <v>355</v>
      </c>
    </row>
    <row r="46" spans="1:17" ht="14.4" customHeight="1" x14ac:dyDescent="0.3">
      <c r="A46" s="494" t="s">
        <v>390</v>
      </c>
      <c r="B46" s="496" t="s">
        <v>346</v>
      </c>
      <c r="C46" s="496" t="s">
        <v>347</v>
      </c>
      <c r="D46" s="496" t="s">
        <v>374</v>
      </c>
      <c r="E46" s="496" t="s">
        <v>376</v>
      </c>
      <c r="F46" s="509"/>
      <c r="G46" s="509"/>
      <c r="H46" s="509"/>
      <c r="I46" s="509"/>
      <c r="J46" s="509"/>
      <c r="K46" s="509"/>
      <c r="L46" s="509"/>
      <c r="M46" s="509"/>
      <c r="N46" s="509">
        <v>1</v>
      </c>
      <c r="O46" s="509">
        <v>178</v>
      </c>
      <c r="P46" s="497"/>
      <c r="Q46" s="510">
        <v>178</v>
      </c>
    </row>
    <row r="47" spans="1:17" ht="14.4" customHeight="1" x14ac:dyDescent="0.3">
      <c r="A47" s="494" t="s">
        <v>391</v>
      </c>
      <c r="B47" s="496" t="s">
        <v>346</v>
      </c>
      <c r="C47" s="496" t="s">
        <v>347</v>
      </c>
      <c r="D47" s="496" t="s">
        <v>348</v>
      </c>
      <c r="E47" s="496" t="s">
        <v>349</v>
      </c>
      <c r="F47" s="509">
        <v>1</v>
      </c>
      <c r="G47" s="509">
        <v>354</v>
      </c>
      <c r="H47" s="509"/>
      <c r="I47" s="509">
        <v>354</v>
      </c>
      <c r="J47" s="509"/>
      <c r="K47" s="509"/>
      <c r="L47" s="509"/>
      <c r="M47" s="509"/>
      <c r="N47" s="509">
        <v>1</v>
      </c>
      <c r="O47" s="509">
        <v>355</v>
      </c>
      <c r="P47" s="497"/>
      <c r="Q47" s="510">
        <v>355</v>
      </c>
    </row>
    <row r="48" spans="1:17" ht="14.4" customHeight="1" x14ac:dyDescent="0.3">
      <c r="A48" s="494" t="s">
        <v>391</v>
      </c>
      <c r="B48" s="496" t="s">
        <v>346</v>
      </c>
      <c r="C48" s="496" t="s">
        <v>347</v>
      </c>
      <c r="D48" s="496" t="s">
        <v>348</v>
      </c>
      <c r="E48" s="496" t="s">
        <v>350</v>
      </c>
      <c r="F48" s="509"/>
      <c r="G48" s="509"/>
      <c r="H48" s="509"/>
      <c r="I48" s="509"/>
      <c r="J48" s="509">
        <v>1</v>
      </c>
      <c r="K48" s="509">
        <v>355</v>
      </c>
      <c r="L48" s="509">
        <v>1</v>
      </c>
      <c r="M48" s="509">
        <v>355</v>
      </c>
      <c r="N48" s="509">
        <v>5</v>
      </c>
      <c r="O48" s="509">
        <v>1775</v>
      </c>
      <c r="P48" s="497">
        <v>5</v>
      </c>
      <c r="Q48" s="510">
        <v>355</v>
      </c>
    </row>
    <row r="49" spans="1:17" ht="14.4" customHeight="1" x14ac:dyDescent="0.3">
      <c r="A49" s="494" t="s">
        <v>391</v>
      </c>
      <c r="B49" s="496" t="s">
        <v>346</v>
      </c>
      <c r="C49" s="496" t="s">
        <v>347</v>
      </c>
      <c r="D49" s="496" t="s">
        <v>374</v>
      </c>
      <c r="E49" s="496" t="s">
        <v>376</v>
      </c>
      <c r="F49" s="509"/>
      <c r="G49" s="509"/>
      <c r="H49" s="509"/>
      <c r="I49" s="509"/>
      <c r="J49" s="509">
        <v>1</v>
      </c>
      <c r="K49" s="509">
        <v>177</v>
      </c>
      <c r="L49" s="509">
        <v>1</v>
      </c>
      <c r="M49" s="509">
        <v>177</v>
      </c>
      <c r="N49" s="509">
        <v>2</v>
      </c>
      <c r="O49" s="509">
        <v>356</v>
      </c>
      <c r="P49" s="497">
        <v>2.0112994350282487</v>
      </c>
      <c r="Q49" s="510">
        <v>178</v>
      </c>
    </row>
    <row r="50" spans="1:17" ht="14.4" customHeight="1" x14ac:dyDescent="0.3">
      <c r="A50" s="494" t="s">
        <v>392</v>
      </c>
      <c r="B50" s="496" t="s">
        <v>346</v>
      </c>
      <c r="C50" s="496" t="s">
        <v>347</v>
      </c>
      <c r="D50" s="496" t="s">
        <v>348</v>
      </c>
      <c r="E50" s="496" t="s">
        <v>349</v>
      </c>
      <c r="F50" s="509">
        <v>4</v>
      </c>
      <c r="G50" s="509">
        <v>1416</v>
      </c>
      <c r="H50" s="509">
        <v>1.3295774647887324</v>
      </c>
      <c r="I50" s="509">
        <v>354</v>
      </c>
      <c r="J50" s="509">
        <v>3</v>
      </c>
      <c r="K50" s="509">
        <v>1065</v>
      </c>
      <c r="L50" s="509">
        <v>1</v>
      </c>
      <c r="M50" s="509">
        <v>355</v>
      </c>
      <c r="N50" s="509">
        <v>2</v>
      </c>
      <c r="O50" s="509">
        <v>710</v>
      </c>
      <c r="P50" s="497">
        <v>0.66666666666666663</v>
      </c>
      <c r="Q50" s="510">
        <v>355</v>
      </c>
    </row>
    <row r="51" spans="1:17" ht="14.4" customHeight="1" x14ac:dyDescent="0.3">
      <c r="A51" s="494" t="s">
        <v>392</v>
      </c>
      <c r="B51" s="496" t="s">
        <v>346</v>
      </c>
      <c r="C51" s="496" t="s">
        <v>347</v>
      </c>
      <c r="D51" s="496" t="s">
        <v>348</v>
      </c>
      <c r="E51" s="496" t="s">
        <v>350</v>
      </c>
      <c r="F51" s="509"/>
      <c r="G51" s="509"/>
      <c r="H51" s="509"/>
      <c r="I51" s="509"/>
      <c r="J51" s="509">
        <v>11</v>
      </c>
      <c r="K51" s="509">
        <v>3905</v>
      </c>
      <c r="L51" s="509">
        <v>1</v>
      </c>
      <c r="M51" s="509">
        <v>355</v>
      </c>
      <c r="N51" s="509">
        <v>5</v>
      </c>
      <c r="O51" s="509">
        <v>1775</v>
      </c>
      <c r="P51" s="497">
        <v>0.45454545454545453</v>
      </c>
      <c r="Q51" s="510">
        <v>355</v>
      </c>
    </row>
    <row r="52" spans="1:17" ht="14.4" customHeight="1" x14ac:dyDescent="0.3">
      <c r="A52" s="494" t="s">
        <v>392</v>
      </c>
      <c r="B52" s="496" t="s">
        <v>346</v>
      </c>
      <c r="C52" s="496" t="s">
        <v>347</v>
      </c>
      <c r="D52" s="496" t="s">
        <v>374</v>
      </c>
      <c r="E52" s="496" t="s">
        <v>375</v>
      </c>
      <c r="F52" s="509"/>
      <c r="G52" s="509"/>
      <c r="H52" s="509"/>
      <c r="I52" s="509"/>
      <c r="J52" s="509">
        <v>3</v>
      </c>
      <c r="K52" s="509">
        <v>531</v>
      </c>
      <c r="L52" s="509">
        <v>1</v>
      </c>
      <c r="M52" s="509">
        <v>177</v>
      </c>
      <c r="N52" s="509">
        <v>2</v>
      </c>
      <c r="O52" s="509">
        <v>356</v>
      </c>
      <c r="P52" s="497">
        <v>0.6704331450094162</v>
      </c>
      <c r="Q52" s="510">
        <v>178</v>
      </c>
    </row>
    <row r="53" spans="1:17" ht="14.4" customHeight="1" x14ac:dyDescent="0.3">
      <c r="A53" s="494" t="s">
        <v>392</v>
      </c>
      <c r="B53" s="496" t="s">
        <v>346</v>
      </c>
      <c r="C53" s="496" t="s">
        <v>347</v>
      </c>
      <c r="D53" s="496" t="s">
        <v>374</v>
      </c>
      <c r="E53" s="496" t="s">
        <v>376</v>
      </c>
      <c r="F53" s="509"/>
      <c r="G53" s="509"/>
      <c r="H53" s="509"/>
      <c r="I53" s="509"/>
      <c r="J53" s="509">
        <v>4</v>
      </c>
      <c r="K53" s="509">
        <v>708</v>
      </c>
      <c r="L53" s="509">
        <v>1</v>
      </c>
      <c r="M53" s="509">
        <v>177</v>
      </c>
      <c r="N53" s="509">
        <v>4</v>
      </c>
      <c r="O53" s="509">
        <v>712</v>
      </c>
      <c r="P53" s="497">
        <v>1.0056497175141244</v>
      </c>
      <c r="Q53" s="510">
        <v>178</v>
      </c>
    </row>
    <row r="54" spans="1:17" ht="14.4" customHeight="1" x14ac:dyDescent="0.3">
      <c r="A54" s="494" t="s">
        <v>393</v>
      </c>
      <c r="B54" s="496" t="s">
        <v>346</v>
      </c>
      <c r="C54" s="496" t="s">
        <v>347</v>
      </c>
      <c r="D54" s="496" t="s">
        <v>348</v>
      </c>
      <c r="E54" s="496" t="s">
        <v>350</v>
      </c>
      <c r="F54" s="509"/>
      <c r="G54" s="509"/>
      <c r="H54" s="509"/>
      <c r="I54" s="509"/>
      <c r="J54" s="509"/>
      <c r="K54" s="509"/>
      <c r="L54" s="509"/>
      <c r="M54" s="509"/>
      <c r="N54" s="509">
        <v>1</v>
      </c>
      <c r="O54" s="509">
        <v>355</v>
      </c>
      <c r="P54" s="497"/>
      <c r="Q54" s="510">
        <v>355</v>
      </c>
    </row>
    <row r="55" spans="1:17" ht="14.4" customHeight="1" x14ac:dyDescent="0.3">
      <c r="A55" s="494" t="s">
        <v>393</v>
      </c>
      <c r="B55" s="496" t="s">
        <v>346</v>
      </c>
      <c r="C55" s="496" t="s">
        <v>347</v>
      </c>
      <c r="D55" s="496" t="s">
        <v>374</v>
      </c>
      <c r="E55" s="496" t="s">
        <v>375</v>
      </c>
      <c r="F55" s="509"/>
      <c r="G55" s="509"/>
      <c r="H55" s="509"/>
      <c r="I55" s="509"/>
      <c r="J55" s="509">
        <v>1</v>
      </c>
      <c r="K55" s="509">
        <v>177</v>
      </c>
      <c r="L55" s="509">
        <v>1</v>
      </c>
      <c r="M55" s="509">
        <v>177</v>
      </c>
      <c r="N55" s="509"/>
      <c r="O55" s="509"/>
      <c r="P55" s="497"/>
      <c r="Q55" s="510"/>
    </row>
    <row r="56" spans="1:17" ht="14.4" customHeight="1" x14ac:dyDescent="0.3">
      <c r="A56" s="494" t="s">
        <v>394</v>
      </c>
      <c r="B56" s="496" t="s">
        <v>346</v>
      </c>
      <c r="C56" s="496" t="s">
        <v>347</v>
      </c>
      <c r="D56" s="496" t="s">
        <v>348</v>
      </c>
      <c r="E56" s="496" t="s">
        <v>349</v>
      </c>
      <c r="F56" s="509"/>
      <c r="G56" s="509"/>
      <c r="H56" s="509"/>
      <c r="I56" s="509"/>
      <c r="J56" s="509">
        <v>2</v>
      </c>
      <c r="K56" s="509">
        <v>710</v>
      </c>
      <c r="L56" s="509">
        <v>1</v>
      </c>
      <c r="M56" s="509">
        <v>355</v>
      </c>
      <c r="N56" s="509"/>
      <c r="O56" s="509"/>
      <c r="P56" s="497"/>
      <c r="Q56" s="510"/>
    </row>
    <row r="57" spans="1:17" ht="14.4" customHeight="1" x14ac:dyDescent="0.3">
      <c r="A57" s="494" t="s">
        <v>394</v>
      </c>
      <c r="B57" s="496" t="s">
        <v>346</v>
      </c>
      <c r="C57" s="496" t="s">
        <v>347</v>
      </c>
      <c r="D57" s="496" t="s">
        <v>348</v>
      </c>
      <c r="E57" s="496" t="s">
        <v>350</v>
      </c>
      <c r="F57" s="509"/>
      <c r="G57" s="509"/>
      <c r="H57" s="509"/>
      <c r="I57" s="509"/>
      <c r="J57" s="509">
        <v>1</v>
      </c>
      <c r="K57" s="509">
        <v>355</v>
      </c>
      <c r="L57" s="509">
        <v>1</v>
      </c>
      <c r="M57" s="509">
        <v>355</v>
      </c>
      <c r="N57" s="509"/>
      <c r="O57" s="509"/>
      <c r="P57" s="497"/>
      <c r="Q57" s="510"/>
    </row>
    <row r="58" spans="1:17" ht="14.4" customHeight="1" x14ac:dyDescent="0.3">
      <c r="A58" s="494" t="s">
        <v>395</v>
      </c>
      <c r="B58" s="496" t="s">
        <v>346</v>
      </c>
      <c r="C58" s="496" t="s">
        <v>347</v>
      </c>
      <c r="D58" s="496" t="s">
        <v>348</v>
      </c>
      <c r="E58" s="496" t="s">
        <v>349</v>
      </c>
      <c r="F58" s="509"/>
      <c r="G58" s="509"/>
      <c r="H58" s="509"/>
      <c r="I58" s="509"/>
      <c r="J58" s="509">
        <v>1</v>
      </c>
      <c r="K58" s="509">
        <v>355</v>
      </c>
      <c r="L58" s="509">
        <v>1</v>
      </c>
      <c r="M58" s="509">
        <v>355</v>
      </c>
      <c r="N58" s="509">
        <v>2</v>
      </c>
      <c r="O58" s="509">
        <v>710</v>
      </c>
      <c r="P58" s="497">
        <v>2</v>
      </c>
      <c r="Q58" s="510">
        <v>355</v>
      </c>
    </row>
    <row r="59" spans="1:17" ht="14.4" customHeight="1" x14ac:dyDescent="0.3">
      <c r="A59" s="494" t="s">
        <v>395</v>
      </c>
      <c r="B59" s="496" t="s">
        <v>346</v>
      </c>
      <c r="C59" s="496" t="s">
        <v>347</v>
      </c>
      <c r="D59" s="496" t="s">
        <v>348</v>
      </c>
      <c r="E59" s="496" t="s">
        <v>350</v>
      </c>
      <c r="F59" s="509">
        <v>1</v>
      </c>
      <c r="G59" s="509">
        <v>354</v>
      </c>
      <c r="H59" s="509"/>
      <c r="I59" s="509">
        <v>354</v>
      </c>
      <c r="J59" s="509"/>
      <c r="K59" s="509"/>
      <c r="L59" s="509"/>
      <c r="M59" s="509"/>
      <c r="N59" s="509"/>
      <c r="O59" s="509"/>
      <c r="P59" s="497"/>
      <c r="Q59" s="510"/>
    </row>
    <row r="60" spans="1:17" ht="14.4" customHeight="1" x14ac:dyDescent="0.3">
      <c r="A60" s="494" t="s">
        <v>395</v>
      </c>
      <c r="B60" s="496" t="s">
        <v>346</v>
      </c>
      <c r="C60" s="496" t="s">
        <v>347</v>
      </c>
      <c r="D60" s="496" t="s">
        <v>374</v>
      </c>
      <c r="E60" s="496" t="s">
        <v>375</v>
      </c>
      <c r="F60" s="509"/>
      <c r="G60" s="509"/>
      <c r="H60" s="509"/>
      <c r="I60" s="509"/>
      <c r="J60" s="509">
        <v>1</v>
      </c>
      <c r="K60" s="509">
        <v>177</v>
      </c>
      <c r="L60" s="509">
        <v>1</v>
      </c>
      <c r="M60" s="509">
        <v>177</v>
      </c>
      <c r="N60" s="509">
        <v>3</v>
      </c>
      <c r="O60" s="509">
        <v>534</v>
      </c>
      <c r="P60" s="497">
        <v>3.0169491525423728</v>
      </c>
      <c r="Q60" s="510">
        <v>178</v>
      </c>
    </row>
    <row r="61" spans="1:17" ht="14.4" customHeight="1" x14ac:dyDescent="0.3">
      <c r="A61" s="494" t="s">
        <v>395</v>
      </c>
      <c r="B61" s="496" t="s">
        <v>346</v>
      </c>
      <c r="C61" s="496" t="s">
        <v>347</v>
      </c>
      <c r="D61" s="496" t="s">
        <v>374</v>
      </c>
      <c r="E61" s="496" t="s">
        <v>376</v>
      </c>
      <c r="F61" s="509">
        <v>1</v>
      </c>
      <c r="G61" s="509">
        <v>177</v>
      </c>
      <c r="H61" s="509">
        <v>0.5</v>
      </c>
      <c r="I61" s="509">
        <v>177</v>
      </c>
      <c r="J61" s="509">
        <v>2</v>
      </c>
      <c r="K61" s="509">
        <v>354</v>
      </c>
      <c r="L61" s="509">
        <v>1</v>
      </c>
      <c r="M61" s="509">
        <v>177</v>
      </c>
      <c r="N61" s="509"/>
      <c r="O61" s="509"/>
      <c r="P61" s="497"/>
      <c r="Q61" s="510"/>
    </row>
    <row r="62" spans="1:17" ht="14.4" customHeight="1" x14ac:dyDescent="0.3">
      <c r="A62" s="494" t="s">
        <v>396</v>
      </c>
      <c r="B62" s="496" t="s">
        <v>346</v>
      </c>
      <c r="C62" s="496" t="s">
        <v>347</v>
      </c>
      <c r="D62" s="496" t="s">
        <v>348</v>
      </c>
      <c r="E62" s="496" t="s">
        <v>350</v>
      </c>
      <c r="F62" s="509">
        <v>1</v>
      </c>
      <c r="G62" s="509">
        <v>354</v>
      </c>
      <c r="H62" s="509"/>
      <c r="I62" s="509">
        <v>354</v>
      </c>
      <c r="J62" s="509"/>
      <c r="K62" s="509"/>
      <c r="L62" s="509"/>
      <c r="M62" s="509"/>
      <c r="N62" s="509"/>
      <c r="O62" s="509"/>
      <c r="P62" s="497"/>
      <c r="Q62" s="510"/>
    </row>
    <row r="63" spans="1:17" ht="14.4" customHeight="1" x14ac:dyDescent="0.3">
      <c r="A63" s="494" t="s">
        <v>396</v>
      </c>
      <c r="B63" s="496" t="s">
        <v>346</v>
      </c>
      <c r="C63" s="496" t="s">
        <v>347</v>
      </c>
      <c r="D63" s="496" t="s">
        <v>374</v>
      </c>
      <c r="E63" s="496" t="s">
        <v>375</v>
      </c>
      <c r="F63" s="509"/>
      <c r="G63" s="509"/>
      <c r="H63" s="509"/>
      <c r="I63" s="509"/>
      <c r="J63" s="509"/>
      <c r="K63" s="509"/>
      <c r="L63" s="509"/>
      <c r="M63" s="509"/>
      <c r="N63" s="509">
        <v>1</v>
      </c>
      <c r="O63" s="509">
        <v>178</v>
      </c>
      <c r="P63" s="497"/>
      <c r="Q63" s="510">
        <v>178</v>
      </c>
    </row>
    <row r="64" spans="1:17" ht="14.4" customHeight="1" thickBot="1" x14ac:dyDescent="0.35">
      <c r="A64" s="486" t="s">
        <v>396</v>
      </c>
      <c r="B64" s="487" t="s">
        <v>346</v>
      </c>
      <c r="C64" s="487" t="s">
        <v>347</v>
      </c>
      <c r="D64" s="487" t="s">
        <v>374</v>
      </c>
      <c r="E64" s="487" t="s">
        <v>376</v>
      </c>
      <c r="F64" s="488">
        <v>1</v>
      </c>
      <c r="G64" s="488">
        <v>177</v>
      </c>
      <c r="H64" s="488"/>
      <c r="I64" s="488">
        <v>177</v>
      </c>
      <c r="J64" s="488"/>
      <c r="K64" s="488"/>
      <c r="L64" s="488"/>
      <c r="M64" s="488"/>
      <c r="N64" s="488"/>
      <c r="O64" s="488"/>
      <c r="P64" s="489"/>
      <c r="Q64" s="49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2018-10-24T13:14:38Z</dcterms:modified>
</cp:coreProperties>
</file>