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4" i="431"/>
  <c r="I11" i="431"/>
  <c r="K9" i="431"/>
  <c r="K13" i="431"/>
  <c r="M15" i="431"/>
  <c r="P14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J12" i="431"/>
  <c r="L14" i="431"/>
  <c r="N12" i="431"/>
  <c r="P10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I15" i="431"/>
  <c r="M11" i="431"/>
  <c r="O9" i="431"/>
  <c r="Q11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H10" i="431"/>
  <c r="L10" i="431"/>
  <c r="O13" i="431"/>
  <c r="Q15" i="431"/>
  <c r="O8" i="43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S15" i="431" l="1"/>
  <c r="R15" i="431"/>
  <c r="S14" i="431"/>
  <c r="R14" i="431"/>
  <c r="S10" i="431"/>
  <c r="R10" i="431"/>
  <c r="S11" i="431"/>
  <c r="R11" i="431"/>
  <c r="R13" i="431"/>
  <c r="S13" i="431"/>
  <c r="R9" i="431"/>
  <c r="S9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7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5" i="414"/>
  <c r="D12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<sst xmlns="http://schemas.openxmlformats.org/spreadsheetml/2006/main" count="672" uniqueCount="336">
  <si>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</si>
  <si>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</si>
  <si>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</si>
  <si>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</si>
  <si>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</si>
  <si>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</si>
  <si>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</si>
  <si>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</si>
  <si>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</si>
  <si>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</si>
  <si>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</si>
  <si>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</si>
  <si>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</si>
  <si>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</si>
  <si>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</si>
  <si>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</si>
  <si>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</si>
  <si>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</si>
  <si>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</si>
  <si>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</si>
  <si>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</si>
  <si>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</si>
  <si>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</si>
  <si>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</si>
  <si>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</si>
  <si>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</si>
  <si>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</si>
  <si>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</si>
  <si>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</si>
  <si>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</si>
  <si>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</si>
  <si>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</si>
  <si>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</si>
  <si>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</si>
  <si>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</si>
  <si>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</si>
  <si>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</si>
  <si>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</si>
  <si>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</si>
  <si>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</si>
  <si>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</si>
  <si>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</si>
  <si>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</si>
  <si>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</si>
  <si>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</si>
  <si>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</si>
  <si>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</si>
  <si>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</si>
  <si>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</si>
  <si>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</si>
  <si>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</si>
  <si>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</si>
  <si>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</si>
  <si>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</si>
  <si>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</si>
  <si>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</si>
  <si>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</si>
  <si>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</si>
  <si>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</si>
  <si>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</si>
  <si>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</si>
  <si>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</si>
  <si>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</si>
  <si>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</si>
  <si>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</si>
  <si>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</si>
  <si>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</si>
  <si>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</si>
  <si>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</si>
  <si>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</si>
  <si>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</si>
  <si>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</si>
  <si>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</si>
  <si>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</si>
  <si>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</si>
  <si>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</si>
  <si>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</si>
  <si>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</si>
  <si>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</si>
  <si>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</si>
  <si>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</si>
  <si>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</si>
  <si>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</si>
  <si>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</si>
  <si>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</si>
  <si>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</si>
  <si>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</si>
  <si>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</si>
  <si>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</si>
  <si>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</si>
  <si>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</si>
  <si>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</si>
  <si>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</si>
  <si>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</si>
  <si>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</si>
  <si>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</si>
  <si>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</si>
  <si>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</si>
  <si>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</si>
  <si>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</si>
  <si>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</si>
  <si>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</si>
  <si>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</si>
  <si>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</si>
  <si>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</si>
  <si>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</si>
  <si>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</si>
  <si>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</si>
  <si>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</si>
  <si>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</si>
  <si>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</si>
  <si>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</si>
  <si>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</si>
  <si>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</si>
  <si>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</si>
  <si>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</si>
  <si>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</si>
  <si>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</si>
  <si>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</si>
  <si>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</si>
  <si>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</si>
  <si>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</si>
  <si>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</si>
  <si>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</si>
  <si>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</si>
  <si>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</si>
  <si>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</si>
  <si>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</si>
  <si>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</si>
  <si>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</si>
  <si>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</si>
  <si>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</si>
  <si>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</si>
  <si>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</si>
  <si>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</si>
  <si>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</si>
  <si>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</si>
  <si>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</si>
  <si>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</si>
  <si>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</si>
  <si>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</si>
  <si>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</si>
  <si>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</si>
  <si>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</si>
  <si>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</si>
  <si>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</si>
  <si>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</si>
  <si>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</si>
  <si>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</si>
  <si>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</si>
  <si>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</si>
  <si>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</si>
  <si>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</si>
  <si>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</si>
  <si>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</si>
  <si>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</si>
  <si>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</si>
  <si>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</si>
  <si>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</si>
  <si>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</si>
  <si>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</si>
  <si>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</si>
  <si>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</si>
  <si>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</si>
  <si>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</si>
  <si>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</si>
  <si>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</si>
  <si>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</si>
  <si>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</si>
  <si>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</si>
  <si>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</si>
  <si>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</si>
  <si>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</si>
  <si>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</si>
  <si>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</si>
  <si>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</si>
  <si>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</si>
  <si>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</si>
  <si>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</si>
  <si>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</si>
  <si>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</si>
  <si>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</si>
  <si>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</si>
  <si>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</si>
  <si>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</si>
  <si>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</si>
  <si>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</si>
  <si>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</si>
  <si>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</si>
  <si>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</si>
  <si>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</si>
  <si>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</si>
  <si>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</si>
  <si>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</si>
  <si>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</si>
  <si>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</si>
  <si>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</si>
  <si>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</si>
  <si>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</si>
  <si>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</si>
  <si>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</si>
  <si>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</si>
  <si>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</si>
  <si>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</si>
  <si>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</si>
  <si>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</si>
  <si>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</si>
  <si>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</si>
  <si>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</si>
  <si>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</si>
  <si>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</si>
  <si>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</si>
  <si>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</si>
  <si>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</si>
  <si>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</si>
  <si>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</si>
  <si>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</si>
  <si>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</si>
  <si>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</si>
  <si>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</si>
  <si>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</si>
  <si>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</si>
  <si>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</si>
  <si>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</si>
  <si>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</si>
  <si>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</si>
  <si>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</si>
  <si>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</si>
  <si>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</si>
  <si>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</si>
  <si>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</si>
  <si>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</si>
  <si>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</si>
  <si>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</si>
  <si>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</si>
  <si>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</si>
  <si>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</si>
  <si>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</si>
  <si>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</si>
  <si>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</si>
  <si>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</si>
  <si>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</si>
  <si>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</si>
  <si>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</si>
  <si>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</si>
  <si>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</si>
  <si>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</si>
  <si>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</si>
  <si>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</si>
  <si>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</si>
  <si>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</si>
  <si>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</si>
  <si>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</si>
  <si>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</si>
  <si>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</si>
  <si>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</si>
  <si>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</si>
  <si>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</si>
  <si>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</si>
  <si>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</si>
  <si>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</si>
  <si>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</si>
  <si>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</si>
  <si>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</si>
  <si>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</si>
  <si>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</si>
  <si>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</si>
  <si>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</si>
  <si>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</si>
  <si>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</si>
  <si>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</si>
  <si>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</si>
  <si>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</si>
  <si>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</si>
  <si>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</si>
  <si>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</si>
  <si>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</si>
  <si>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</si>
  <si>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</si>
  <si>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</si>
  <si>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</si>
  <si>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</si>
  <si>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</si>
  <si>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</si>
  <si>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</si>
  <si>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</si>
  <si>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</si>
  <si>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</si>
  <si>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</si>
  <si>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</si>
  <si>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Strojil Jan</t>
  </si>
  <si>
    <t>Zdravotní výkony vykázané na pracovišti v rámci ambulantní péče dle lékařů *</t>
  </si>
  <si>
    <t>06</t>
  </si>
  <si>
    <t>206</t>
  </si>
  <si>
    <t>V</t>
  </si>
  <si>
    <t>26022</t>
  </si>
  <si>
    <t xml:space="preserve">CÍLENÉ VYŠETŘENÍ KLINICKÝM FARMAKOLOGEM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</si>
  <si>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</si>
  <si>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</si>
  <si>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</si>
  <si>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</si>
  <si>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</si>
  <si>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</si>
  <si>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</si>
  <si>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</si>
  <si>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</si>
  <si>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</si>
  <si>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</si>
  <si>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</si>
  <si>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</si>
  <si>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</si>
  <si>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</si>
  <si>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</si>
  <si>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</si>
  <si>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</si>
  <si>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</si>
  <si>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</si>
  <si>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</si>
  <si>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 xml:space="preserve">KONTROLNÍ VYŠETŘENÍ KLINICKÝM FARMAKOLOGEM        </t>
  </si>
  <si>
    <t>02</t>
  </si>
  <si>
    <t>03</t>
  </si>
  <si>
    <t>05</t>
  </si>
  <si>
    <t>07</t>
  </si>
  <si>
    <t>08</t>
  </si>
  <si>
    <t>10</t>
  </si>
  <si>
    <t>11</t>
  </si>
  <si>
    <t>14</t>
  </si>
  <si>
    <t>16</t>
  </si>
  <si>
    <t>17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</si>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</sst>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4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27" xfId="0" applyNumberFormat="1" applyFont="1" applyFill="1" applyBorder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27" xfId="0" applyFont="1" applyFill="1" applyBorder="1"/>
    <xf numFmtId="3" fontId="32" fillId="0" borderId="20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2" fillId="0" borderId="72" xfId="0" applyFont="1" applyFill="1" applyBorder="1"/>
    <xf numFmtId="169" fontId="32" fillId="0" borderId="7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2" fillId="0" borderId="67" xfId="0" applyFont="1" applyFill="1" applyBorder="1"/>
    <xf numFmtId="169" fontId="32" fillId="0" borderId="68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2.7538436870227947E-3</c:v>
                </c:pt>
                <c:pt idx="1">
                  <c:v>1.2200825030099091E-3</c:v>
                </c:pt>
                <c:pt idx="2">
                  <c:v>8.3893138857536612E-4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4688"/>
        <c:axId val="1361451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47408"/>
        <c:axId val="1361447952"/>
      </c:scatterChart>
      <c:catAx>
        <c:axId val="136144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5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5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4688"/>
        <c:crosses val="autoZero"/>
        <c:crossBetween val="between"/>
      </c:valAx>
      <c:valAx>
        <c:axId val="1361447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47952"/>
        <c:crosses val="max"/>
        <c:crossBetween val="midCat"/>
      </c:valAx>
      <c:valAx>
        <c:axId val="1361447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474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5" totalsRowShown="0" headerRowDxfId="39" tableBorderDxfId="38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0" totalsRowShown="0">
  <autoFilter ref="C3:S3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4" t="s">
        <v>82</v>
      </c>
      <c r="B1" s="264"/>
    </row>
    <row r="2" spans="1:3" ht="14.4" customHeight="1" thickBot="1" x14ac:dyDescent="0.35">
      <c r="A2" s="189" t="s">
        <v>203</v>
      </c>
      <c r="B2" s="41"/>
    </row>
    <row r="3" spans="1:3" ht="14.4" customHeight="1" thickBot="1" x14ac:dyDescent="0.35">
      <c r="A3" s="260" t="s">
        <v>99</v>
      </c>
      <c r="B3" s="261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205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2" t="s">
        <v>83</v>
      </c>
      <c r="B10" s="261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3" t="s">
        <v>84</v>
      </c>
      <c r="B13" s="261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284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291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297</v>
      </c>
      <c r="C16" s="42" t="s">
        <v>92</v>
      </c>
    </row>
    <row r="17" spans="1:3" ht="14.4" customHeight="1" x14ac:dyDescent="0.3">
      <c r="A17" s="206" t="str">
        <f>HYPERLINK("#'"&amp;C17&amp;"'!A1",C17)</f>
        <v>ZV Vykáz.-A Det.Lék.</v>
      </c>
      <c r="B17" s="65" t="s">
        <v>298</v>
      </c>
      <c r="C17" s="42" t="s">
        <v>146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335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1" t="s">
        <v>291</v>
      </c>
      <c r="B1" s="264"/>
      <c r="C1" s="264"/>
      <c r="D1" s="264"/>
      <c r="E1" s="264"/>
      <c r="F1" s="264"/>
      <c r="G1" s="264"/>
    </row>
    <row r="2" spans="1:7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10" t="s">
        <v>96</v>
      </c>
      <c r="B3" s="198">
        <f t="shared" ref="B3:G3" si="0">SUBTOTAL(9,B6:B1048576)</f>
        <v>0</v>
      </c>
      <c r="C3" s="199">
        <f t="shared" si="0"/>
        <v>0</v>
      </c>
      <c r="D3" s="209">
        <f t="shared" si="0"/>
        <v>1</v>
      </c>
      <c r="E3" s="181">
        <f t="shared" si="0"/>
        <v>0</v>
      </c>
      <c r="F3" s="179">
        <f t="shared" si="0"/>
        <v>0</v>
      </c>
      <c r="G3" s="200">
        <f t="shared" si="0"/>
        <v>355</v>
      </c>
    </row>
    <row r="4" spans="1:7" ht="14.4" customHeight="1" x14ac:dyDescent="0.3">
      <c r="A4" s="332" t="s">
        <v>97</v>
      </c>
      <c r="B4" s="337" t="s">
        <v>141</v>
      </c>
      <c r="C4" s="335"/>
      <c r="D4" s="338"/>
      <c r="E4" s="337" t="s">
        <v>73</v>
      </c>
      <c r="F4" s="335"/>
      <c r="G4" s="338"/>
    </row>
    <row r="5" spans="1:7" ht="14.4" customHeight="1" thickBot="1" x14ac:dyDescent="0.35">
      <c r="A5" s="380"/>
      <c r="B5" s="381">
        <v>2015</v>
      </c>
      <c r="C5" s="382">
        <v>2017</v>
      </c>
      <c r="D5" s="395">
        <v>2018</v>
      </c>
      <c r="E5" s="381">
        <v>2015</v>
      </c>
      <c r="F5" s="382">
        <v>2017</v>
      </c>
      <c r="G5" s="395">
        <v>2018</v>
      </c>
    </row>
    <row r="6" spans="1:7" ht="14.4" customHeight="1" thickBot="1" x14ac:dyDescent="0.35">
      <c r="A6" s="400" t="s">
        <v>290</v>
      </c>
      <c r="B6" s="397"/>
      <c r="C6" s="397"/>
      <c r="D6" s="397">
        <v>1</v>
      </c>
      <c r="E6" s="398"/>
      <c r="F6" s="398"/>
      <c r="G6" s="399">
        <v>355</v>
      </c>
    </row>
    <row r="7" spans="1:7" ht="14.4" customHeight="1" x14ac:dyDescent="0.3">
      <c r="A7" s="393" t="s">
        <v>180</v>
      </c>
    </row>
    <row r="8" spans="1:7" ht="14.4" customHeight="1" x14ac:dyDescent="0.3">
      <c r="A8" s="394" t="s">
        <v>287</v>
      </c>
    </row>
    <row r="9" spans="1:7" ht="14.4" customHeight="1" x14ac:dyDescent="0.3">
      <c r="A9" s="393" t="s">
        <v>288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4" t="s">
        <v>297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ht="14.4" customHeight="1" thickBot="1" x14ac:dyDescent="0.35">
      <c r="A2" s="189" t="s">
        <v>203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0</v>
      </c>
      <c r="H3" s="75">
        <f t="shared" si="0"/>
        <v>0</v>
      </c>
      <c r="I3" s="57"/>
      <c r="J3" s="57"/>
      <c r="K3" s="75">
        <f t="shared" si="0"/>
        <v>0</v>
      </c>
      <c r="L3" s="75">
        <f t="shared" si="0"/>
        <v>0</v>
      </c>
      <c r="M3" s="57"/>
      <c r="N3" s="57"/>
      <c r="O3" s="75">
        <f t="shared" si="0"/>
        <v>1</v>
      </c>
      <c r="P3" s="75">
        <f t="shared" si="0"/>
        <v>355</v>
      </c>
      <c r="Q3" s="58">
        <f>IF(L3=0,0,P3/L3)</f>
        <v>0</v>
      </c>
      <c r="R3" s="76">
        <f>IF(O3=0,0,P3/O3)</f>
        <v>355</v>
      </c>
    </row>
    <row r="4" spans="1:18" ht="14.4" customHeight="1" x14ac:dyDescent="0.3">
      <c r="A4" s="339" t="s">
        <v>145</v>
      </c>
      <c r="B4" s="339" t="s">
        <v>69</v>
      </c>
      <c r="C4" s="347" t="s">
        <v>0</v>
      </c>
      <c r="D4" s="341" t="s">
        <v>70</v>
      </c>
      <c r="E4" s="346" t="s">
        <v>45</v>
      </c>
      <c r="F4" s="342" t="s">
        <v>44</v>
      </c>
      <c r="G4" s="343">
        <v>2015</v>
      </c>
      <c r="H4" s="344"/>
      <c r="I4" s="73"/>
      <c r="J4" s="73"/>
      <c r="K4" s="343">
        <v>2017</v>
      </c>
      <c r="L4" s="344"/>
      <c r="M4" s="73"/>
      <c r="N4" s="73"/>
      <c r="O4" s="343">
        <v>2018</v>
      </c>
      <c r="P4" s="344"/>
      <c r="Q4" s="345" t="s">
        <v>1</v>
      </c>
      <c r="R4" s="340" t="s">
        <v>72</v>
      </c>
    </row>
    <row r="5" spans="1:18" ht="14.4" customHeight="1" thickBot="1" x14ac:dyDescent="0.35">
      <c r="A5" s="401"/>
      <c r="B5" s="401"/>
      <c r="C5" s="402"/>
      <c r="D5" s="403"/>
      <c r="E5" s="404"/>
      <c r="F5" s="405"/>
      <c r="G5" s="406" t="s">
        <v>46</v>
      </c>
      <c r="H5" s="407" t="s">
        <v>3</v>
      </c>
      <c r="I5" s="408"/>
      <c r="J5" s="408"/>
      <c r="K5" s="406" t="s">
        <v>46</v>
      </c>
      <c r="L5" s="407" t="s">
        <v>3</v>
      </c>
      <c r="M5" s="408"/>
      <c r="N5" s="408"/>
      <c r="O5" s="406" t="s">
        <v>46</v>
      </c>
      <c r="P5" s="407" t="s">
        <v>3</v>
      </c>
      <c r="Q5" s="409"/>
      <c r="R5" s="410"/>
    </row>
    <row r="6" spans="1:18" ht="14.4" customHeight="1" thickBot="1" x14ac:dyDescent="0.35">
      <c r="A6" s="396" t="s">
        <v>292</v>
      </c>
      <c r="B6" s="411" t="s">
        <v>293</v>
      </c>
      <c r="C6" s="411" t="s">
        <v>285</v>
      </c>
      <c r="D6" s="411" t="s">
        <v>294</v>
      </c>
      <c r="E6" s="411" t="s">
        <v>295</v>
      </c>
      <c r="F6" s="411" t="s">
        <v>296</v>
      </c>
      <c r="G6" s="397"/>
      <c r="H6" s="397"/>
      <c r="I6" s="411"/>
      <c r="J6" s="411"/>
      <c r="K6" s="397"/>
      <c r="L6" s="397"/>
      <c r="M6" s="411"/>
      <c r="N6" s="411"/>
      <c r="O6" s="397">
        <v>1</v>
      </c>
      <c r="P6" s="397">
        <v>355</v>
      </c>
      <c r="Q6" s="195"/>
      <c r="R6" s="412">
        <v>355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4" t="s">
        <v>298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19" ht="14.4" customHeight="1" thickBot="1" x14ac:dyDescent="0.35">
      <c r="A2" s="189" t="s">
        <v>203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0</v>
      </c>
      <c r="I3" s="75">
        <f t="shared" si="0"/>
        <v>0</v>
      </c>
      <c r="J3" s="57"/>
      <c r="K3" s="57"/>
      <c r="L3" s="75">
        <f t="shared" si="0"/>
        <v>0</v>
      </c>
      <c r="M3" s="75">
        <f t="shared" si="0"/>
        <v>0</v>
      </c>
      <c r="N3" s="57"/>
      <c r="O3" s="57"/>
      <c r="P3" s="75">
        <f t="shared" si="0"/>
        <v>1</v>
      </c>
      <c r="Q3" s="75">
        <f t="shared" si="0"/>
        <v>355</v>
      </c>
      <c r="R3" s="58">
        <f>IF(M3=0,0,Q3/M3)</f>
        <v>0</v>
      </c>
      <c r="S3" s="76">
        <f>IF(P3=0,0,Q3/P3)</f>
        <v>355</v>
      </c>
    </row>
    <row r="4" spans="1:19" ht="14.4" customHeight="1" x14ac:dyDescent="0.3">
      <c r="A4" s="339" t="s">
        <v>145</v>
      </c>
      <c r="B4" s="339" t="s">
        <v>69</v>
      </c>
      <c r="C4" s="347" t="s">
        <v>0</v>
      </c>
      <c r="D4" s="205" t="s">
        <v>97</v>
      </c>
      <c r="E4" s="341" t="s">
        <v>70</v>
      </c>
      <c r="F4" s="346" t="s">
        <v>45</v>
      </c>
      <c r="G4" s="342" t="s">
        <v>44</v>
      </c>
      <c r="H4" s="343">
        <v>2015</v>
      </c>
      <c r="I4" s="344"/>
      <c r="J4" s="73"/>
      <c r="K4" s="73"/>
      <c r="L4" s="343">
        <v>2017</v>
      </c>
      <c r="M4" s="344"/>
      <c r="N4" s="73"/>
      <c r="O4" s="73"/>
      <c r="P4" s="343">
        <v>2018</v>
      </c>
      <c r="Q4" s="344"/>
      <c r="R4" s="345" t="s">
        <v>1</v>
      </c>
      <c r="S4" s="340" t="s">
        <v>72</v>
      </c>
    </row>
    <row r="5" spans="1:19" ht="14.4" customHeight="1" thickBot="1" x14ac:dyDescent="0.35">
      <c r="A5" s="401"/>
      <c r="B5" s="401"/>
      <c r="C5" s="402"/>
      <c r="D5" s="413"/>
      <c r="E5" s="403"/>
      <c r="F5" s="404"/>
      <c r="G5" s="405"/>
      <c r="H5" s="406" t="s">
        <v>46</v>
      </c>
      <c r="I5" s="407" t="s">
        <v>3</v>
      </c>
      <c r="J5" s="408"/>
      <c r="K5" s="408"/>
      <c r="L5" s="406" t="s">
        <v>46</v>
      </c>
      <c r="M5" s="407" t="s">
        <v>3</v>
      </c>
      <c r="N5" s="408"/>
      <c r="O5" s="408"/>
      <c r="P5" s="406" t="s">
        <v>46</v>
      </c>
      <c r="Q5" s="407" t="s">
        <v>3</v>
      </c>
      <c r="R5" s="409"/>
      <c r="S5" s="410"/>
    </row>
    <row r="6" spans="1:19" ht="14.4" customHeight="1" thickBot="1" x14ac:dyDescent="0.35">
      <c r="A6" s="396" t="s">
        <v>292</v>
      </c>
      <c r="B6" s="411" t="s">
        <v>293</v>
      </c>
      <c r="C6" s="411" t="s">
        <v>285</v>
      </c>
      <c r="D6" s="411" t="s">
        <v>290</v>
      </c>
      <c r="E6" s="411" t="s">
        <v>294</v>
      </c>
      <c r="F6" s="411" t="s">
        <v>295</v>
      </c>
      <c r="G6" s="411" t="s">
        <v>296</v>
      </c>
      <c r="H6" s="397"/>
      <c r="I6" s="397"/>
      <c r="J6" s="411"/>
      <c r="K6" s="411"/>
      <c r="L6" s="397"/>
      <c r="M6" s="397"/>
      <c r="N6" s="411"/>
      <c r="O6" s="411"/>
      <c r="P6" s="397">
        <v>1</v>
      </c>
      <c r="Q6" s="397">
        <v>355</v>
      </c>
      <c r="R6" s="195"/>
      <c r="S6" s="412">
        <v>355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6" t="s">
        <v>95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89" t="s">
        <v>203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9027</v>
      </c>
      <c r="C3" s="179">
        <f t="shared" ref="C3:R3" si="0">SUBTOTAL(9,C6:C1048576)</f>
        <v>10.619610424778648</v>
      </c>
      <c r="D3" s="179">
        <f t="shared" si="0"/>
        <v>8515</v>
      </c>
      <c r="E3" s="179">
        <f t="shared" si="0"/>
        <v>10</v>
      </c>
      <c r="F3" s="179">
        <f t="shared" si="0"/>
        <v>23267</v>
      </c>
      <c r="G3" s="182">
        <f>IF(D3&lt;&gt;0,F3/D3,"")</f>
        <v>2.732472108044627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2" t="s">
        <v>79</v>
      </c>
      <c r="B4" s="333" t="s">
        <v>73</v>
      </c>
      <c r="C4" s="334"/>
      <c r="D4" s="334"/>
      <c r="E4" s="334"/>
      <c r="F4" s="334"/>
      <c r="G4" s="336"/>
      <c r="H4" s="333" t="s">
        <v>74</v>
      </c>
      <c r="I4" s="334"/>
      <c r="J4" s="334"/>
      <c r="K4" s="334"/>
      <c r="L4" s="334"/>
      <c r="M4" s="336"/>
      <c r="N4" s="333" t="s">
        <v>75</v>
      </c>
      <c r="O4" s="334"/>
      <c r="P4" s="334"/>
      <c r="Q4" s="334"/>
      <c r="R4" s="334"/>
      <c r="S4" s="336"/>
    </row>
    <row r="5" spans="1:19" ht="14.4" customHeight="1" thickBot="1" x14ac:dyDescent="0.35">
      <c r="A5" s="380"/>
      <c r="B5" s="381">
        <v>2015</v>
      </c>
      <c r="C5" s="382"/>
      <c r="D5" s="382">
        <v>2017</v>
      </c>
      <c r="E5" s="382"/>
      <c r="F5" s="382">
        <v>2018</v>
      </c>
      <c r="G5" s="414" t="s">
        <v>1</v>
      </c>
      <c r="H5" s="381">
        <v>2015</v>
      </c>
      <c r="I5" s="382"/>
      <c r="J5" s="382">
        <v>2017</v>
      </c>
      <c r="K5" s="382"/>
      <c r="L5" s="382">
        <v>2018</v>
      </c>
      <c r="M5" s="414" t="s">
        <v>1</v>
      </c>
      <c r="N5" s="381">
        <v>2015</v>
      </c>
      <c r="O5" s="382"/>
      <c r="P5" s="382">
        <v>2017</v>
      </c>
      <c r="Q5" s="382"/>
      <c r="R5" s="382">
        <v>2018</v>
      </c>
      <c r="S5" s="414" t="s">
        <v>1</v>
      </c>
    </row>
    <row r="6" spans="1:19" ht="14.4" customHeight="1" x14ac:dyDescent="0.3">
      <c r="A6" s="430" t="s">
        <v>299</v>
      </c>
      <c r="B6" s="416">
        <v>708</v>
      </c>
      <c r="C6" s="417">
        <v>0.99858956276445698</v>
      </c>
      <c r="D6" s="416">
        <v>709</v>
      </c>
      <c r="E6" s="417">
        <v>1</v>
      </c>
      <c r="F6" s="416">
        <v>1243</v>
      </c>
      <c r="G6" s="418">
        <v>1.7531734837799717</v>
      </c>
      <c r="H6" s="416"/>
      <c r="I6" s="417"/>
      <c r="J6" s="416"/>
      <c r="K6" s="417"/>
      <c r="L6" s="416"/>
      <c r="M6" s="418"/>
      <c r="N6" s="416"/>
      <c r="O6" s="417"/>
      <c r="P6" s="416"/>
      <c r="Q6" s="417"/>
      <c r="R6" s="416"/>
      <c r="S6" s="419"/>
    </row>
    <row r="7" spans="1:19" ht="14.4" customHeight="1" x14ac:dyDescent="0.3">
      <c r="A7" s="431" t="s">
        <v>300</v>
      </c>
      <c r="B7" s="421">
        <v>531</v>
      </c>
      <c r="C7" s="422"/>
      <c r="D7" s="421"/>
      <c r="E7" s="422"/>
      <c r="F7" s="421">
        <v>5505</v>
      </c>
      <c r="G7" s="423"/>
      <c r="H7" s="421"/>
      <c r="I7" s="422"/>
      <c r="J7" s="421"/>
      <c r="K7" s="422"/>
      <c r="L7" s="421"/>
      <c r="M7" s="423"/>
      <c r="N7" s="421"/>
      <c r="O7" s="422"/>
      <c r="P7" s="421"/>
      <c r="Q7" s="422"/>
      <c r="R7" s="421"/>
      <c r="S7" s="424"/>
    </row>
    <row r="8" spans="1:19" ht="14.4" customHeight="1" x14ac:dyDescent="0.3">
      <c r="A8" s="431" t="s">
        <v>301</v>
      </c>
      <c r="B8" s="421">
        <v>1593</v>
      </c>
      <c r="C8" s="422">
        <v>1.4957746478873239</v>
      </c>
      <c r="D8" s="421">
        <v>1065</v>
      </c>
      <c r="E8" s="422">
        <v>1</v>
      </c>
      <c r="F8" s="421">
        <v>3553</v>
      </c>
      <c r="G8" s="423">
        <v>3.3361502347417842</v>
      </c>
      <c r="H8" s="421"/>
      <c r="I8" s="422"/>
      <c r="J8" s="421"/>
      <c r="K8" s="422"/>
      <c r="L8" s="421"/>
      <c r="M8" s="423"/>
      <c r="N8" s="421"/>
      <c r="O8" s="422"/>
      <c r="P8" s="421"/>
      <c r="Q8" s="422"/>
      <c r="R8" s="421"/>
      <c r="S8" s="424"/>
    </row>
    <row r="9" spans="1:19" ht="14.4" customHeight="1" x14ac:dyDescent="0.3">
      <c r="A9" s="431" t="s">
        <v>302</v>
      </c>
      <c r="B9" s="421"/>
      <c r="C9" s="422"/>
      <c r="D9" s="421"/>
      <c r="E9" s="422"/>
      <c r="F9" s="421">
        <v>355</v>
      </c>
      <c r="G9" s="423"/>
      <c r="H9" s="421"/>
      <c r="I9" s="422"/>
      <c r="J9" s="421"/>
      <c r="K9" s="422"/>
      <c r="L9" s="421"/>
      <c r="M9" s="423"/>
      <c r="N9" s="421"/>
      <c r="O9" s="422"/>
      <c r="P9" s="421"/>
      <c r="Q9" s="422"/>
      <c r="R9" s="421"/>
      <c r="S9" s="424"/>
    </row>
    <row r="10" spans="1:19" ht="14.4" customHeight="1" x14ac:dyDescent="0.3">
      <c r="A10" s="431" t="s">
        <v>303</v>
      </c>
      <c r="B10" s="421">
        <v>1416</v>
      </c>
      <c r="C10" s="422">
        <v>0.88721804511278191</v>
      </c>
      <c r="D10" s="421">
        <v>1596</v>
      </c>
      <c r="E10" s="422">
        <v>1</v>
      </c>
      <c r="F10" s="421">
        <v>6749</v>
      </c>
      <c r="G10" s="423">
        <v>4.2286967418546366</v>
      </c>
      <c r="H10" s="421"/>
      <c r="I10" s="422"/>
      <c r="J10" s="421"/>
      <c r="K10" s="422"/>
      <c r="L10" s="421"/>
      <c r="M10" s="423"/>
      <c r="N10" s="421"/>
      <c r="O10" s="422"/>
      <c r="P10" s="421"/>
      <c r="Q10" s="422"/>
      <c r="R10" s="421"/>
      <c r="S10" s="424"/>
    </row>
    <row r="11" spans="1:19" ht="14.4" customHeight="1" x14ac:dyDescent="0.3">
      <c r="A11" s="431" t="s">
        <v>304</v>
      </c>
      <c r="B11" s="421">
        <v>354</v>
      </c>
      <c r="C11" s="422"/>
      <c r="D11" s="421"/>
      <c r="E11" s="422"/>
      <c r="F11" s="421"/>
      <c r="G11" s="423"/>
      <c r="H11" s="421"/>
      <c r="I11" s="422"/>
      <c r="J11" s="421"/>
      <c r="K11" s="422"/>
      <c r="L11" s="421"/>
      <c r="M11" s="423"/>
      <c r="N11" s="421"/>
      <c r="O11" s="422"/>
      <c r="P11" s="421"/>
      <c r="Q11" s="422"/>
      <c r="R11" s="421"/>
      <c r="S11" s="424"/>
    </row>
    <row r="12" spans="1:19" ht="14.4" customHeight="1" x14ac:dyDescent="0.3">
      <c r="A12" s="431" t="s">
        <v>305</v>
      </c>
      <c r="B12" s="421">
        <v>2301</v>
      </c>
      <c r="C12" s="422">
        <v>3.2408450704225351</v>
      </c>
      <c r="D12" s="421">
        <v>710</v>
      </c>
      <c r="E12" s="422">
        <v>1</v>
      </c>
      <c r="F12" s="421">
        <v>888</v>
      </c>
      <c r="G12" s="423">
        <v>1.2507042253521128</v>
      </c>
      <c r="H12" s="421"/>
      <c r="I12" s="422"/>
      <c r="J12" s="421"/>
      <c r="K12" s="422"/>
      <c r="L12" s="421"/>
      <c r="M12" s="423"/>
      <c r="N12" s="421"/>
      <c r="O12" s="422"/>
      <c r="P12" s="421"/>
      <c r="Q12" s="422"/>
      <c r="R12" s="421"/>
      <c r="S12" s="424"/>
    </row>
    <row r="13" spans="1:19" ht="14.4" customHeight="1" x14ac:dyDescent="0.3">
      <c r="A13" s="431" t="s">
        <v>306</v>
      </c>
      <c r="B13" s="421"/>
      <c r="C13" s="422"/>
      <c r="D13" s="421">
        <v>532</v>
      </c>
      <c r="E13" s="422">
        <v>1</v>
      </c>
      <c r="F13" s="421"/>
      <c r="G13" s="423"/>
      <c r="H13" s="421"/>
      <c r="I13" s="422"/>
      <c r="J13" s="421"/>
      <c r="K13" s="422"/>
      <c r="L13" s="421"/>
      <c r="M13" s="423"/>
      <c r="N13" s="421"/>
      <c r="O13" s="422"/>
      <c r="P13" s="421"/>
      <c r="Q13" s="422"/>
      <c r="R13" s="421"/>
      <c r="S13" s="424"/>
    </row>
    <row r="14" spans="1:19" ht="14.4" customHeight="1" x14ac:dyDescent="0.3">
      <c r="A14" s="431" t="s">
        <v>307</v>
      </c>
      <c r="B14" s="421">
        <v>708</v>
      </c>
      <c r="C14" s="422"/>
      <c r="D14" s="421"/>
      <c r="E14" s="422"/>
      <c r="F14" s="421">
        <v>355</v>
      </c>
      <c r="G14" s="423"/>
      <c r="H14" s="421"/>
      <c r="I14" s="422"/>
      <c r="J14" s="421"/>
      <c r="K14" s="422"/>
      <c r="L14" s="421"/>
      <c r="M14" s="423"/>
      <c r="N14" s="421"/>
      <c r="O14" s="422"/>
      <c r="P14" s="421"/>
      <c r="Q14" s="422"/>
      <c r="R14" s="421"/>
      <c r="S14" s="424"/>
    </row>
    <row r="15" spans="1:19" ht="14.4" customHeight="1" x14ac:dyDescent="0.3">
      <c r="A15" s="431" t="s">
        <v>308</v>
      </c>
      <c r="B15" s="421"/>
      <c r="C15" s="422"/>
      <c r="D15" s="421">
        <v>355</v>
      </c>
      <c r="E15" s="422">
        <v>1</v>
      </c>
      <c r="F15" s="421"/>
      <c r="G15" s="423"/>
      <c r="H15" s="421"/>
      <c r="I15" s="422"/>
      <c r="J15" s="421"/>
      <c r="K15" s="422"/>
      <c r="L15" s="421"/>
      <c r="M15" s="423"/>
      <c r="N15" s="421"/>
      <c r="O15" s="422"/>
      <c r="P15" s="421"/>
      <c r="Q15" s="422"/>
      <c r="R15" s="421"/>
      <c r="S15" s="424"/>
    </row>
    <row r="16" spans="1:19" ht="14.4" customHeight="1" x14ac:dyDescent="0.3">
      <c r="A16" s="431" t="s">
        <v>309</v>
      </c>
      <c r="B16" s="421">
        <v>354</v>
      </c>
      <c r="C16" s="422">
        <v>0.9971830985915493</v>
      </c>
      <c r="D16" s="421">
        <v>355</v>
      </c>
      <c r="E16" s="422">
        <v>1</v>
      </c>
      <c r="F16" s="421">
        <v>711</v>
      </c>
      <c r="G16" s="423">
        <v>2.0028169014084507</v>
      </c>
      <c r="H16" s="421"/>
      <c r="I16" s="422"/>
      <c r="J16" s="421"/>
      <c r="K16" s="422"/>
      <c r="L16" s="421"/>
      <c r="M16" s="423"/>
      <c r="N16" s="421"/>
      <c r="O16" s="422"/>
      <c r="P16" s="421"/>
      <c r="Q16" s="422"/>
      <c r="R16" s="421"/>
      <c r="S16" s="424"/>
    </row>
    <row r="17" spans="1:19" ht="14.4" customHeight="1" x14ac:dyDescent="0.3">
      <c r="A17" s="431" t="s">
        <v>310</v>
      </c>
      <c r="B17" s="421"/>
      <c r="C17" s="422"/>
      <c r="D17" s="421"/>
      <c r="E17" s="422"/>
      <c r="F17" s="421">
        <v>1421</v>
      </c>
      <c r="G17" s="423"/>
      <c r="H17" s="421"/>
      <c r="I17" s="422"/>
      <c r="J17" s="421"/>
      <c r="K17" s="422"/>
      <c r="L17" s="421"/>
      <c r="M17" s="423"/>
      <c r="N17" s="421"/>
      <c r="O17" s="422"/>
      <c r="P17" s="421"/>
      <c r="Q17" s="422"/>
      <c r="R17" s="421"/>
      <c r="S17" s="424"/>
    </row>
    <row r="18" spans="1:19" ht="14.4" customHeight="1" x14ac:dyDescent="0.3">
      <c r="A18" s="431" t="s">
        <v>311</v>
      </c>
      <c r="B18" s="421"/>
      <c r="C18" s="422"/>
      <c r="D18" s="421">
        <v>2661</v>
      </c>
      <c r="E18" s="422">
        <v>1</v>
      </c>
      <c r="F18" s="421">
        <v>2132</v>
      </c>
      <c r="G18" s="423">
        <v>0.8012025554302894</v>
      </c>
      <c r="H18" s="421"/>
      <c r="I18" s="422"/>
      <c r="J18" s="421"/>
      <c r="K18" s="422"/>
      <c r="L18" s="421"/>
      <c r="M18" s="423"/>
      <c r="N18" s="421"/>
      <c r="O18" s="422"/>
      <c r="P18" s="421"/>
      <c r="Q18" s="422"/>
      <c r="R18" s="421"/>
      <c r="S18" s="424"/>
    </row>
    <row r="19" spans="1:19" ht="14.4" customHeight="1" x14ac:dyDescent="0.3">
      <c r="A19" s="431" t="s">
        <v>312</v>
      </c>
      <c r="B19" s="421"/>
      <c r="C19" s="422"/>
      <c r="D19" s="421"/>
      <c r="E19" s="422"/>
      <c r="F19" s="421">
        <v>355</v>
      </c>
      <c r="G19" s="423"/>
      <c r="H19" s="421"/>
      <c r="I19" s="422"/>
      <c r="J19" s="421"/>
      <c r="K19" s="422"/>
      <c r="L19" s="421"/>
      <c r="M19" s="423"/>
      <c r="N19" s="421"/>
      <c r="O19" s="422"/>
      <c r="P19" s="421"/>
      <c r="Q19" s="422"/>
      <c r="R19" s="421"/>
      <c r="S19" s="424"/>
    </row>
    <row r="20" spans="1:19" ht="14.4" customHeight="1" x14ac:dyDescent="0.3">
      <c r="A20" s="431" t="s">
        <v>313</v>
      </c>
      <c r="B20" s="421"/>
      <c r="C20" s="422"/>
      <c r="D20" s="421">
        <v>355</v>
      </c>
      <c r="E20" s="422">
        <v>1</v>
      </c>
      <c r="F20" s="421"/>
      <c r="G20" s="423"/>
      <c r="H20" s="421"/>
      <c r="I20" s="422"/>
      <c r="J20" s="421"/>
      <c r="K20" s="422"/>
      <c r="L20" s="421"/>
      <c r="M20" s="423"/>
      <c r="N20" s="421"/>
      <c r="O20" s="422"/>
      <c r="P20" s="421"/>
      <c r="Q20" s="422"/>
      <c r="R20" s="421"/>
      <c r="S20" s="424"/>
    </row>
    <row r="21" spans="1:19" ht="14.4" customHeight="1" x14ac:dyDescent="0.3">
      <c r="A21" s="431" t="s">
        <v>314</v>
      </c>
      <c r="B21" s="421">
        <v>531</v>
      </c>
      <c r="C21" s="422">
        <v>3</v>
      </c>
      <c r="D21" s="421">
        <v>177</v>
      </c>
      <c r="E21" s="422">
        <v>1</v>
      </c>
      <c r="F21" s="421"/>
      <c r="G21" s="423"/>
      <c r="H21" s="421"/>
      <c r="I21" s="422"/>
      <c r="J21" s="421"/>
      <c r="K21" s="422"/>
      <c r="L21" s="421"/>
      <c r="M21" s="423"/>
      <c r="N21" s="421"/>
      <c r="O21" s="422"/>
      <c r="P21" s="421"/>
      <c r="Q21" s="422"/>
      <c r="R21" s="421"/>
      <c r="S21" s="424"/>
    </row>
    <row r="22" spans="1:19" ht="14.4" customHeight="1" thickBot="1" x14ac:dyDescent="0.35">
      <c r="A22" s="432" t="s">
        <v>315</v>
      </c>
      <c r="B22" s="426">
        <v>531</v>
      </c>
      <c r="C22" s="427"/>
      <c r="D22" s="426"/>
      <c r="E22" s="427"/>
      <c r="F22" s="426"/>
      <c r="G22" s="428"/>
      <c r="H22" s="426"/>
      <c r="I22" s="427"/>
      <c r="J22" s="426"/>
      <c r="K22" s="427"/>
      <c r="L22" s="426"/>
      <c r="M22" s="428"/>
      <c r="N22" s="426"/>
      <c r="O22" s="427"/>
      <c r="P22" s="426"/>
      <c r="Q22" s="427"/>
      <c r="R22" s="426"/>
      <c r="S22" s="4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4" t="s">
        <v>335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89" t="s">
        <v>203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30</v>
      </c>
      <c r="G3" s="75">
        <f t="shared" si="0"/>
        <v>9027</v>
      </c>
      <c r="H3" s="75"/>
      <c r="I3" s="75"/>
      <c r="J3" s="75">
        <f t="shared" si="0"/>
        <v>29</v>
      </c>
      <c r="K3" s="75">
        <f t="shared" si="0"/>
        <v>8515</v>
      </c>
      <c r="L3" s="75"/>
      <c r="M3" s="75"/>
      <c r="N3" s="75">
        <f t="shared" si="0"/>
        <v>80</v>
      </c>
      <c r="O3" s="75">
        <f t="shared" si="0"/>
        <v>23267</v>
      </c>
      <c r="P3" s="58">
        <f>IF(K3=0,0,O3/K3)</f>
        <v>2.732472108044627</v>
      </c>
      <c r="Q3" s="76">
        <f>IF(N3=0,0,O3/N3)</f>
        <v>290.83749999999998</v>
      </c>
    </row>
    <row r="4" spans="1:17" ht="14.4" customHeight="1" x14ac:dyDescent="0.3">
      <c r="A4" s="341" t="s">
        <v>43</v>
      </c>
      <c r="B4" s="339" t="s">
        <v>69</v>
      </c>
      <c r="C4" s="341" t="s">
        <v>70</v>
      </c>
      <c r="D4" s="350" t="s">
        <v>71</v>
      </c>
      <c r="E4" s="342" t="s">
        <v>44</v>
      </c>
      <c r="F4" s="348">
        <v>2015</v>
      </c>
      <c r="G4" s="349"/>
      <c r="H4" s="77"/>
      <c r="I4" s="77"/>
      <c r="J4" s="348">
        <v>2017</v>
      </c>
      <c r="K4" s="349"/>
      <c r="L4" s="77"/>
      <c r="M4" s="77"/>
      <c r="N4" s="348">
        <v>2018</v>
      </c>
      <c r="O4" s="349"/>
      <c r="P4" s="351" t="s">
        <v>1</v>
      </c>
      <c r="Q4" s="340" t="s">
        <v>72</v>
      </c>
    </row>
    <row r="5" spans="1:17" ht="14.4" customHeight="1" thickBot="1" x14ac:dyDescent="0.35">
      <c r="A5" s="403"/>
      <c r="B5" s="401"/>
      <c r="C5" s="403"/>
      <c r="D5" s="433"/>
      <c r="E5" s="405"/>
      <c r="F5" s="434" t="s">
        <v>46</v>
      </c>
      <c r="G5" s="435" t="s">
        <v>3</v>
      </c>
      <c r="H5" s="436"/>
      <c r="I5" s="436"/>
      <c r="J5" s="434" t="s">
        <v>46</v>
      </c>
      <c r="K5" s="435" t="s">
        <v>3</v>
      </c>
      <c r="L5" s="436"/>
      <c r="M5" s="436"/>
      <c r="N5" s="434" t="s">
        <v>46</v>
      </c>
      <c r="O5" s="435" t="s">
        <v>3</v>
      </c>
      <c r="P5" s="437"/>
      <c r="Q5" s="410"/>
    </row>
    <row r="6" spans="1:17" ht="14.4" customHeight="1" x14ac:dyDescent="0.3">
      <c r="A6" s="415" t="s">
        <v>316</v>
      </c>
      <c r="B6" s="417" t="s">
        <v>293</v>
      </c>
      <c r="C6" s="417" t="s">
        <v>294</v>
      </c>
      <c r="D6" s="417" t="s">
        <v>295</v>
      </c>
      <c r="E6" s="417" t="s">
        <v>296</v>
      </c>
      <c r="F6" s="438">
        <v>2</v>
      </c>
      <c r="G6" s="438">
        <v>708</v>
      </c>
      <c r="H6" s="438">
        <v>1.9943661971830986</v>
      </c>
      <c r="I6" s="438">
        <v>354</v>
      </c>
      <c r="J6" s="438">
        <v>1</v>
      </c>
      <c r="K6" s="438">
        <v>355</v>
      </c>
      <c r="L6" s="438">
        <v>1</v>
      </c>
      <c r="M6" s="438">
        <v>355</v>
      </c>
      <c r="N6" s="438">
        <v>3</v>
      </c>
      <c r="O6" s="438">
        <v>1065</v>
      </c>
      <c r="P6" s="418">
        <v>3</v>
      </c>
      <c r="Q6" s="439">
        <v>355</v>
      </c>
    </row>
    <row r="7" spans="1:17" ht="14.4" customHeight="1" x14ac:dyDescent="0.3">
      <c r="A7" s="420" t="s">
        <v>316</v>
      </c>
      <c r="B7" s="422" t="s">
        <v>293</v>
      </c>
      <c r="C7" s="422" t="s">
        <v>294</v>
      </c>
      <c r="D7" s="422" t="s">
        <v>317</v>
      </c>
      <c r="E7" s="422" t="s">
        <v>318</v>
      </c>
      <c r="F7" s="440"/>
      <c r="G7" s="440"/>
      <c r="H7" s="440"/>
      <c r="I7" s="440"/>
      <c r="J7" s="440">
        <v>2</v>
      </c>
      <c r="K7" s="440">
        <v>354</v>
      </c>
      <c r="L7" s="440">
        <v>1</v>
      </c>
      <c r="M7" s="440">
        <v>177</v>
      </c>
      <c r="N7" s="440">
        <v>1</v>
      </c>
      <c r="O7" s="440">
        <v>178</v>
      </c>
      <c r="P7" s="423">
        <v>0.50282485875706218</v>
      </c>
      <c r="Q7" s="441">
        <v>178</v>
      </c>
    </row>
    <row r="8" spans="1:17" ht="14.4" customHeight="1" x14ac:dyDescent="0.3">
      <c r="A8" s="420" t="s">
        <v>319</v>
      </c>
      <c r="B8" s="422" t="s">
        <v>293</v>
      </c>
      <c r="C8" s="422" t="s">
        <v>294</v>
      </c>
      <c r="D8" s="422" t="s">
        <v>295</v>
      </c>
      <c r="E8" s="422" t="s">
        <v>296</v>
      </c>
      <c r="F8" s="440">
        <v>1</v>
      </c>
      <c r="G8" s="440">
        <v>354</v>
      </c>
      <c r="H8" s="440"/>
      <c r="I8" s="440">
        <v>354</v>
      </c>
      <c r="J8" s="440"/>
      <c r="K8" s="440"/>
      <c r="L8" s="440"/>
      <c r="M8" s="440"/>
      <c r="N8" s="440">
        <v>13</v>
      </c>
      <c r="O8" s="440">
        <v>4615</v>
      </c>
      <c r="P8" s="423"/>
      <c r="Q8" s="441">
        <v>355</v>
      </c>
    </row>
    <row r="9" spans="1:17" ht="14.4" customHeight="1" x14ac:dyDescent="0.3">
      <c r="A9" s="420" t="s">
        <v>319</v>
      </c>
      <c r="B9" s="422" t="s">
        <v>293</v>
      </c>
      <c r="C9" s="422" t="s">
        <v>294</v>
      </c>
      <c r="D9" s="422" t="s">
        <v>317</v>
      </c>
      <c r="E9" s="422" t="s">
        <v>318</v>
      </c>
      <c r="F9" s="440">
        <v>1</v>
      </c>
      <c r="G9" s="440">
        <v>177</v>
      </c>
      <c r="H9" s="440"/>
      <c r="I9" s="440">
        <v>177</v>
      </c>
      <c r="J9" s="440"/>
      <c r="K9" s="440"/>
      <c r="L9" s="440"/>
      <c r="M9" s="440"/>
      <c r="N9" s="440">
        <v>5</v>
      </c>
      <c r="O9" s="440">
        <v>890</v>
      </c>
      <c r="P9" s="423"/>
      <c r="Q9" s="441">
        <v>178</v>
      </c>
    </row>
    <row r="10" spans="1:17" ht="14.4" customHeight="1" x14ac:dyDescent="0.3">
      <c r="A10" s="420" t="s">
        <v>320</v>
      </c>
      <c r="B10" s="422" t="s">
        <v>293</v>
      </c>
      <c r="C10" s="422" t="s">
        <v>294</v>
      </c>
      <c r="D10" s="422" t="s">
        <v>295</v>
      </c>
      <c r="E10" s="422" t="s">
        <v>296</v>
      </c>
      <c r="F10" s="440">
        <v>4</v>
      </c>
      <c r="G10" s="440">
        <v>1416</v>
      </c>
      <c r="H10" s="440">
        <v>1.3295774647887324</v>
      </c>
      <c r="I10" s="440">
        <v>354</v>
      </c>
      <c r="J10" s="440">
        <v>3</v>
      </c>
      <c r="K10" s="440">
        <v>1065</v>
      </c>
      <c r="L10" s="440">
        <v>1</v>
      </c>
      <c r="M10" s="440">
        <v>355</v>
      </c>
      <c r="N10" s="440">
        <v>7</v>
      </c>
      <c r="O10" s="440">
        <v>2485</v>
      </c>
      <c r="P10" s="423">
        <v>2.3333333333333335</v>
      </c>
      <c r="Q10" s="441">
        <v>355</v>
      </c>
    </row>
    <row r="11" spans="1:17" ht="14.4" customHeight="1" x14ac:dyDescent="0.3">
      <c r="A11" s="420" t="s">
        <v>320</v>
      </c>
      <c r="B11" s="422" t="s">
        <v>293</v>
      </c>
      <c r="C11" s="422" t="s">
        <v>294</v>
      </c>
      <c r="D11" s="422" t="s">
        <v>317</v>
      </c>
      <c r="E11" s="422" t="s">
        <v>318</v>
      </c>
      <c r="F11" s="440">
        <v>1</v>
      </c>
      <c r="G11" s="440">
        <v>177</v>
      </c>
      <c r="H11" s="440"/>
      <c r="I11" s="440">
        <v>177</v>
      </c>
      <c r="J11" s="440"/>
      <c r="K11" s="440"/>
      <c r="L11" s="440"/>
      <c r="M11" s="440"/>
      <c r="N11" s="440">
        <v>6</v>
      </c>
      <c r="O11" s="440">
        <v>1068</v>
      </c>
      <c r="P11" s="423"/>
      <c r="Q11" s="441">
        <v>178</v>
      </c>
    </row>
    <row r="12" spans="1:17" ht="14.4" customHeight="1" x14ac:dyDescent="0.3">
      <c r="A12" s="420" t="s">
        <v>321</v>
      </c>
      <c r="B12" s="422" t="s">
        <v>293</v>
      </c>
      <c r="C12" s="422" t="s">
        <v>294</v>
      </c>
      <c r="D12" s="422" t="s">
        <v>295</v>
      </c>
      <c r="E12" s="422" t="s">
        <v>296</v>
      </c>
      <c r="F12" s="440"/>
      <c r="G12" s="440"/>
      <c r="H12" s="440"/>
      <c r="I12" s="440"/>
      <c r="J12" s="440"/>
      <c r="K12" s="440"/>
      <c r="L12" s="440"/>
      <c r="M12" s="440"/>
      <c r="N12" s="440">
        <v>1</v>
      </c>
      <c r="O12" s="440">
        <v>355</v>
      </c>
      <c r="P12" s="423"/>
      <c r="Q12" s="441">
        <v>355</v>
      </c>
    </row>
    <row r="13" spans="1:17" ht="14.4" customHeight="1" x14ac:dyDescent="0.3">
      <c r="A13" s="420" t="s">
        <v>322</v>
      </c>
      <c r="B13" s="422" t="s">
        <v>293</v>
      </c>
      <c r="C13" s="422" t="s">
        <v>294</v>
      </c>
      <c r="D13" s="422" t="s">
        <v>295</v>
      </c>
      <c r="E13" s="422" t="s">
        <v>296</v>
      </c>
      <c r="F13" s="440">
        <v>3</v>
      </c>
      <c r="G13" s="440">
        <v>1062</v>
      </c>
      <c r="H13" s="440">
        <v>0.9971830985915493</v>
      </c>
      <c r="I13" s="440">
        <v>354</v>
      </c>
      <c r="J13" s="440">
        <v>3</v>
      </c>
      <c r="K13" s="440">
        <v>1065</v>
      </c>
      <c r="L13" s="440">
        <v>1</v>
      </c>
      <c r="M13" s="440">
        <v>355</v>
      </c>
      <c r="N13" s="440">
        <v>15</v>
      </c>
      <c r="O13" s="440">
        <v>5325</v>
      </c>
      <c r="P13" s="423">
        <v>5</v>
      </c>
      <c r="Q13" s="441">
        <v>355</v>
      </c>
    </row>
    <row r="14" spans="1:17" ht="14.4" customHeight="1" x14ac:dyDescent="0.3">
      <c r="A14" s="420" t="s">
        <v>322</v>
      </c>
      <c r="B14" s="422" t="s">
        <v>293</v>
      </c>
      <c r="C14" s="422" t="s">
        <v>294</v>
      </c>
      <c r="D14" s="422" t="s">
        <v>317</v>
      </c>
      <c r="E14" s="422" t="s">
        <v>318</v>
      </c>
      <c r="F14" s="440">
        <v>2</v>
      </c>
      <c r="G14" s="440">
        <v>354</v>
      </c>
      <c r="H14" s="440">
        <v>0.66666666666666663</v>
      </c>
      <c r="I14" s="440">
        <v>177</v>
      </c>
      <c r="J14" s="440">
        <v>3</v>
      </c>
      <c r="K14" s="440">
        <v>531</v>
      </c>
      <c r="L14" s="440">
        <v>1</v>
      </c>
      <c r="M14" s="440">
        <v>177</v>
      </c>
      <c r="N14" s="440">
        <v>8</v>
      </c>
      <c r="O14" s="440">
        <v>1424</v>
      </c>
      <c r="P14" s="423">
        <v>2.6817325800376648</v>
      </c>
      <c r="Q14" s="441">
        <v>178</v>
      </c>
    </row>
    <row r="15" spans="1:17" ht="14.4" customHeight="1" x14ac:dyDescent="0.3">
      <c r="A15" s="420" t="s">
        <v>323</v>
      </c>
      <c r="B15" s="422" t="s">
        <v>293</v>
      </c>
      <c r="C15" s="422" t="s">
        <v>294</v>
      </c>
      <c r="D15" s="422" t="s">
        <v>295</v>
      </c>
      <c r="E15" s="422" t="s">
        <v>296</v>
      </c>
      <c r="F15" s="440">
        <v>1</v>
      </c>
      <c r="G15" s="440">
        <v>354</v>
      </c>
      <c r="H15" s="440"/>
      <c r="I15" s="440">
        <v>354</v>
      </c>
      <c r="J15" s="440"/>
      <c r="K15" s="440"/>
      <c r="L15" s="440"/>
      <c r="M15" s="440"/>
      <c r="N15" s="440"/>
      <c r="O15" s="440"/>
      <c r="P15" s="423"/>
      <c r="Q15" s="441"/>
    </row>
    <row r="16" spans="1:17" ht="14.4" customHeight="1" x14ac:dyDescent="0.3">
      <c r="A16" s="420" t="s">
        <v>324</v>
      </c>
      <c r="B16" s="422" t="s">
        <v>293</v>
      </c>
      <c r="C16" s="422" t="s">
        <v>294</v>
      </c>
      <c r="D16" s="422" t="s">
        <v>295</v>
      </c>
      <c r="E16" s="422" t="s">
        <v>296</v>
      </c>
      <c r="F16" s="440">
        <v>5</v>
      </c>
      <c r="G16" s="440">
        <v>1770</v>
      </c>
      <c r="H16" s="440">
        <v>2.492957746478873</v>
      </c>
      <c r="I16" s="440">
        <v>354</v>
      </c>
      <c r="J16" s="440">
        <v>2</v>
      </c>
      <c r="K16" s="440">
        <v>710</v>
      </c>
      <c r="L16" s="440">
        <v>1</v>
      </c>
      <c r="M16" s="440">
        <v>355</v>
      </c>
      <c r="N16" s="440">
        <v>2</v>
      </c>
      <c r="O16" s="440">
        <v>710</v>
      </c>
      <c r="P16" s="423">
        <v>1</v>
      </c>
      <c r="Q16" s="441">
        <v>355</v>
      </c>
    </row>
    <row r="17" spans="1:17" ht="14.4" customHeight="1" x14ac:dyDescent="0.3">
      <c r="A17" s="420" t="s">
        <v>324</v>
      </c>
      <c r="B17" s="422" t="s">
        <v>293</v>
      </c>
      <c r="C17" s="422" t="s">
        <v>294</v>
      </c>
      <c r="D17" s="422" t="s">
        <v>317</v>
      </c>
      <c r="E17" s="422" t="s">
        <v>318</v>
      </c>
      <c r="F17" s="440">
        <v>3</v>
      </c>
      <c r="G17" s="440">
        <v>531</v>
      </c>
      <c r="H17" s="440"/>
      <c r="I17" s="440">
        <v>177</v>
      </c>
      <c r="J17" s="440"/>
      <c r="K17" s="440"/>
      <c r="L17" s="440"/>
      <c r="M17" s="440"/>
      <c r="N17" s="440">
        <v>1</v>
      </c>
      <c r="O17" s="440">
        <v>178</v>
      </c>
      <c r="P17" s="423"/>
      <c r="Q17" s="441">
        <v>178</v>
      </c>
    </row>
    <row r="18" spans="1:17" ht="14.4" customHeight="1" x14ac:dyDescent="0.3">
      <c r="A18" s="420" t="s">
        <v>325</v>
      </c>
      <c r="B18" s="422" t="s">
        <v>293</v>
      </c>
      <c r="C18" s="422" t="s">
        <v>294</v>
      </c>
      <c r="D18" s="422" t="s">
        <v>295</v>
      </c>
      <c r="E18" s="422" t="s">
        <v>296</v>
      </c>
      <c r="F18" s="440"/>
      <c r="G18" s="440"/>
      <c r="H18" s="440"/>
      <c r="I18" s="440"/>
      <c r="J18" s="440">
        <v>1</v>
      </c>
      <c r="K18" s="440">
        <v>355</v>
      </c>
      <c r="L18" s="440">
        <v>1</v>
      </c>
      <c r="M18" s="440">
        <v>355</v>
      </c>
      <c r="N18" s="440"/>
      <c r="O18" s="440"/>
      <c r="P18" s="423"/>
      <c r="Q18" s="441"/>
    </row>
    <row r="19" spans="1:17" ht="14.4" customHeight="1" x14ac:dyDescent="0.3">
      <c r="A19" s="420" t="s">
        <v>325</v>
      </c>
      <c r="B19" s="422" t="s">
        <v>293</v>
      </c>
      <c r="C19" s="422" t="s">
        <v>294</v>
      </c>
      <c r="D19" s="422" t="s">
        <v>317</v>
      </c>
      <c r="E19" s="422" t="s">
        <v>318</v>
      </c>
      <c r="F19" s="440"/>
      <c r="G19" s="440"/>
      <c r="H19" s="440"/>
      <c r="I19" s="440"/>
      <c r="J19" s="440">
        <v>1</v>
      </c>
      <c r="K19" s="440">
        <v>177</v>
      </c>
      <c r="L19" s="440">
        <v>1</v>
      </c>
      <c r="M19" s="440">
        <v>177</v>
      </c>
      <c r="N19" s="440"/>
      <c r="O19" s="440"/>
      <c r="P19" s="423"/>
      <c r="Q19" s="441"/>
    </row>
    <row r="20" spans="1:17" ht="14.4" customHeight="1" x14ac:dyDescent="0.3">
      <c r="A20" s="420" t="s">
        <v>326</v>
      </c>
      <c r="B20" s="422" t="s">
        <v>293</v>
      </c>
      <c r="C20" s="422" t="s">
        <v>294</v>
      </c>
      <c r="D20" s="422" t="s">
        <v>295</v>
      </c>
      <c r="E20" s="422" t="s">
        <v>296</v>
      </c>
      <c r="F20" s="440">
        <v>2</v>
      </c>
      <c r="G20" s="440">
        <v>708</v>
      </c>
      <c r="H20" s="440"/>
      <c r="I20" s="440">
        <v>354</v>
      </c>
      <c r="J20" s="440"/>
      <c r="K20" s="440"/>
      <c r="L20" s="440"/>
      <c r="M20" s="440"/>
      <c r="N20" s="440">
        <v>1</v>
      </c>
      <c r="O20" s="440">
        <v>355</v>
      </c>
      <c r="P20" s="423"/>
      <c r="Q20" s="441">
        <v>355</v>
      </c>
    </row>
    <row r="21" spans="1:17" ht="14.4" customHeight="1" x14ac:dyDescent="0.3">
      <c r="A21" s="420" t="s">
        <v>327</v>
      </c>
      <c r="B21" s="422" t="s">
        <v>293</v>
      </c>
      <c r="C21" s="422" t="s">
        <v>294</v>
      </c>
      <c r="D21" s="422" t="s">
        <v>295</v>
      </c>
      <c r="E21" s="422" t="s">
        <v>296</v>
      </c>
      <c r="F21" s="440"/>
      <c r="G21" s="440"/>
      <c r="H21" s="440"/>
      <c r="I21" s="440"/>
      <c r="J21" s="440">
        <v>1</v>
      </c>
      <c r="K21" s="440">
        <v>355</v>
      </c>
      <c r="L21" s="440">
        <v>1</v>
      </c>
      <c r="M21" s="440">
        <v>355</v>
      </c>
      <c r="N21" s="440"/>
      <c r="O21" s="440"/>
      <c r="P21" s="423"/>
      <c r="Q21" s="441"/>
    </row>
    <row r="22" spans="1:17" ht="14.4" customHeight="1" x14ac:dyDescent="0.3">
      <c r="A22" s="420" t="s">
        <v>328</v>
      </c>
      <c r="B22" s="422" t="s">
        <v>293</v>
      </c>
      <c r="C22" s="422" t="s">
        <v>294</v>
      </c>
      <c r="D22" s="422" t="s">
        <v>295</v>
      </c>
      <c r="E22" s="422" t="s">
        <v>296</v>
      </c>
      <c r="F22" s="440">
        <v>1</v>
      </c>
      <c r="G22" s="440">
        <v>354</v>
      </c>
      <c r="H22" s="440">
        <v>0.9971830985915493</v>
      </c>
      <c r="I22" s="440">
        <v>354</v>
      </c>
      <c r="J22" s="440">
        <v>1</v>
      </c>
      <c r="K22" s="440">
        <v>355</v>
      </c>
      <c r="L22" s="440">
        <v>1</v>
      </c>
      <c r="M22" s="440">
        <v>355</v>
      </c>
      <c r="N22" s="440">
        <v>1</v>
      </c>
      <c r="O22" s="440">
        <v>355</v>
      </c>
      <c r="P22" s="423">
        <v>1</v>
      </c>
      <c r="Q22" s="441">
        <v>355</v>
      </c>
    </row>
    <row r="23" spans="1:17" ht="14.4" customHeight="1" x14ac:dyDescent="0.3">
      <c r="A23" s="420" t="s">
        <v>328</v>
      </c>
      <c r="B23" s="422" t="s">
        <v>293</v>
      </c>
      <c r="C23" s="422" t="s">
        <v>294</v>
      </c>
      <c r="D23" s="422" t="s">
        <v>317</v>
      </c>
      <c r="E23" s="422" t="s">
        <v>318</v>
      </c>
      <c r="F23" s="440"/>
      <c r="G23" s="440"/>
      <c r="H23" s="440"/>
      <c r="I23" s="440"/>
      <c r="J23" s="440"/>
      <c r="K23" s="440"/>
      <c r="L23" s="440"/>
      <c r="M23" s="440"/>
      <c r="N23" s="440">
        <v>2</v>
      </c>
      <c r="O23" s="440">
        <v>356</v>
      </c>
      <c r="P23" s="423"/>
      <c r="Q23" s="441">
        <v>178</v>
      </c>
    </row>
    <row r="24" spans="1:17" ht="14.4" customHeight="1" x14ac:dyDescent="0.3">
      <c r="A24" s="420" t="s">
        <v>329</v>
      </c>
      <c r="B24" s="422" t="s">
        <v>293</v>
      </c>
      <c r="C24" s="422" t="s">
        <v>294</v>
      </c>
      <c r="D24" s="422" t="s">
        <v>295</v>
      </c>
      <c r="E24" s="422" t="s">
        <v>296</v>
      </c>
      <c r="F24" s="440"/>
      <c r="G24" s="440"/>
      <c r="H24" s="440"/>
      <c r="I24" s="440"/>
      <c r="J24" s="440"/>
      <c r="K24" s="440"/>
      <c r="L24" s="440"/>
      <c r="M24" s="440"/>
      <c r="N24" s="440">
        <v>3</v>
      </c>
      <c r="O24" s="440">
        <v>1065</v>
      </c>
      <c r="P24" s="423"/>
      <c r="Q24" s="441">
        <v>355</v>
      </c>
    </row>
    <row r="25" spans="1:17" ht="14.4" customHeight="1" x14ac:dyDescent="0.3">
      <c r="A25" s="420" t="s">
        <v>329</v>
      </c>
      <c r="B25" s="422" t="s">
        <v>293</v>
      </c>
      <c r="C25" s="422" t="s">
        <v>294</v>
      </c>
      <c r="D25" s="422" t="s">
        <v>317</v>
      </c>
      <c r="E25" s="422" t="s">
        <v>318</v>
      </c>
      <c r="F25" s="440"/>
      <c r="G25" s="440"/>
      <c r="H25" s="440"/>
      <c r="I25" s="440"/>
      <c r="J25" s="440"/>
      <c r="K25" s="440"/>
      <c r="L25" s="440"/>
      <c r="M25" s="440"/>
      <c r="N25" s="440">
        <v>2</v>
      </c>
      <c r="O25" s="440">
        <v>356</v>
      </c>
      <c r="P25" s="423"/>
      <c r="Q25" s="441">
        <v>178</v>
      </c>
    </row>
    <row r="26" spans="1:17" ht="14.4" customHeight="1" x14ac:dyDescent="0.3">
      <c r="A26" s="420" t="s">
        <v>330</v>
      </c>
      <c r="B26" s="422" t="s">
        <v>293</v>
      </c>
      <c r="C26" s="422" t="s">
        <v>294</v>
      </c>
      <c r="D26" s="422" t="s">
        <v>295</v>
      </c>
      <c r="E26" s="422" t="s">
        <v>296</v>
      </c>
      <c r="F26" s="440"/>
      <c r="G26" s="440"/>
      <c r="H26" s="440"/>
      <c r="I26" s="440"/>
      <c r="J26" s="440">
        <v>6</v>
      </c>
      <c r="K26" s="440">
        <v>2130</v>
      </c>
      <c r="L26" s="440">
        <v>1</v>
      </c>
      <c r="M26" s="440">
        <v>355</v>
      </c>
      <c r="N26" s="440">
        <v>4</v>
      </c>
      <c r="O26" s="440">
        <v>1420</v>
      </c>
      <c r="P26" s="423">
        <v>0.66666666666666663</v>
      </c>
      <c r="Q26" s="441">
        <v>355</v>
      </c>
    </row>
    <row r="27" spans="1:17" ht="14.4" customHeight="1" x14ac:dyDescent="0.3">
      <c r="A27" s="420" t="s">
        <v>330</v>
      </c>
      <c r="B27" s="422" t="s">
        <v>293</v>
      </c>
      <c r="C27" s="422" t="s">
        <v>294</v>
      </c>
      <c r="D27" s="422" t="s">
        <v>317</v>
      </c>
      <c r="E27" s="422" t="s">
        <v>318</v>
      </c>
      <c r="F27" s="440"/>
      <c r="G27" s="440"/>
      <c r="H27" s="440"/>
      <c r="I27" s="440"/>
      <c r="J27" s="440">
        <v>3</v>
      </c>
      <c r="K27" s="440">
        <v>531</v>
      </c>
      <c r="L27" s="440">
        <v>1</v>
      </c>
      <c r="M27" s="440">
        <v>177</v>
      </c>
      <c r="N27" s="440">
        <v>4</v>
      </c>
      <c r="O27" s="440">
        <v>712</v>
      </c>
      <c r="P27" s="423">
        <v>1.3408662900188324</v>
      </c>
      <c r="Q27" s="441">
        <v>178</v>
      </c>
    </row>
    <row r="28" spans="1:17" ht="14.4" customHeight="1" x14ac:dyDescent="0.3">
      <c r="A28" s="420" t="s">
        <v>331</v>
      </c>
      <c r="B28" s="422" t="s">
        <v>293</v>
      </c>
      <c r="C28" s="422" t="s">
        <v>294</v>
      </c>
      <c r="D28" s="422" t="s">
        <v>295</v>
      </c>
      <c r="E28" s="422" t="s">
        <v>296</v>
      </c>
      <c r="F28" s="440"/>
      <c r="G28" s="440"/>
      <c r="H28" s="440"/>
      <c r="I28" s="440"/>
      <c r="J28" s="440"/>
      <c r="K28" s="440"/>
      <c r="L28" s="440"/>
      <c r="M28" s="440"/>
      <c r="N28" s="440">
        <v>1</v>
      </c>
      <c r="O28" s="440">
        <v>355</v>
      </c>
      <c r="P28" s="423"/>
      <c r="Q28" s="441">
        <v>355</v>
      </c>
    </row>
    <row r="29" spans="1:17" ht="14.4" customHeight="1" x14ac:dyDescent="0.3">
      <c r="A29" s="420" t="s">
        <v>332</v>
      </c>
      <c r="B29" s="422" t="s">
        <v>293</v>
      </c>
      <c r="C29" s="422" t="s">
        <v>294</v>
      </c>
      <c r="D29" s="422" t="s">
        <v>295</v>
      </c>
      <c r="E29" s="422" t="s">
        <v>296</v>
      </c>
      <c r="F29" s="440"/>
      <c r="G29" s="440"/>
      <c r="H29" s="440"/>
      <c r="I29" s="440"/>
      <c r="J29" s="440">
        <v>1</v>
      </c>
      <c r="K29" s="440">
        <v>355</v>
      </c>
      <c r="L29" s="440">
        <v>1</v>
      </c>
      <c r="M29" s="440">
        <v>355</v>
      </c>
      <c r="N29" s="440"/>
      <c r="O29" s="440"/>
      <c r="P29" s="423"/>
      <c r="Q29" s="441"/>
    </row>
    <row r="30" spans="1:17" ht="14.4" customHeight="1" x14ac:dyDescent="0.3">
      <c r="A30" s="420" t="s">
        <v>333</v>
      </c>
      <c r="B30" s="422" t="s">
        <v>293</v>
      </c>
      <c r="C30" s="422" t="s">
        <v>294</v>
      </c>
      <c r="D30" s="422" t="s">
        <v>295</v>
      </c>
      <c r="E30" s="422" t="s">
        <v>296</v>
      </c>
      <c r="F30" s="440">
        <v>1</v>
      </c>
      <c r="G30" s="440">
        <v>354</v>
      </c>
      <c r="H30" s="440"/>
      <c r="I30" s="440">
        <v>354</v>
      </c>
      <c r="J30" s="440"/>
      <c r="K30" s="440"/>
      <c r="L30" s="440"/>
      <c r="M30" s="440"/>
      <c r="N30" s="440"/>
      <c r="O30" s="440"/>
      <c r="P30" s="423"/>
      <c r="Q30" s="441"/>
    </row>
    <row r="31" spans="1:17" ht="14.4" customHeight="1" x14ac:dyDescent="0.3">
      <c r="A31" s="420" t="s">
        <v>333</v>
      </c>
      <c r="B31" s="422" t="s">
        <v>293</v>
      </c>
      <c r="C31" s="422" t="s">
        <v>294</v>
      </c>
      <c r="D31" s="422" t="s">
        <v>317</v>
      </c>
      <c r="E31" s="422" t="s">
        <v>318</v>
      </c>
      <c r="F31" s="440">
        <v>1</v>
      </c>
      <c r="G31" s="440">
        <v>177</v>
      </c>
      <c r="H31" s="440">
        <v>1</v>
      </c>
      <c r="I31" s="440">
        <v>177</v>
      </c>
      <c r="J31" s="440">
        <v>1</v>
      </c>
      <c r="K31" s="440">
        <v>177</v>
      </c>
      <c r="L31" s="440">
        <v>1</v>
      </c>
      <c r="M31" s="440">
        <v>177</v>
      </c>
      <c r="N31" s="440"/>
      <c r="O31" s="440"/>
      <c r="P31" s="423"/>
      <c r="Q31" s="441"/>
    </row>
    <row r="32" spans="1:17" ht="14.4" customHeight="1" x14ac:dyDescent="0.3">
      <c r="A32" s="420" t="s">
        <v>334</v>
      </c>
      <c r="B32" s="422" t="s">
        <v>293</v>
      </c>
      <c r="C32" s="422" t="s">
        <v>294</v>
      </c>
      <c r="D32" s="422" t="s">
        <v>295</v>
      </c>
      <c r="E32" s="422" t="s">
        <v>296</v>
      </c>
      <c r="F32" s="440">
        <v>1</v>
      </c>
      <c r="G32" s="440">
        <v>354</v>
      </c>
      <c r="H32" s="440"/>
      <c r="I32" s="440">
        <v>354</v>
      </c>
      <c r="J32" s="440"/>
      <c r="K32" s="440"/>
      <c r="L32" s="440"/>
      <c r="M32" s="440"/>
      <c r="N32" s="440"/>
      <c r="O32" s="440"/>
      <c r="P32" s="423"/>
      <c r="Q32" s="441"/>
    </row>
    <row r="33" spans="1:17" ht="14.4" customHeight="1" thickBot="1" x14ac:dyDescent="0.35">
      <c r="A33" s="425" t="s">
        <v>334</v>
      </c>
      <c r="B33" s="427" t="s">
        <v>293</v>
      </c>
      <c r="C33" s="427" t="s">
        <v>294</v>
      </c>
      <c r="D33" s="427" t="s">
        <v>317</v>
      </c>
      <c r="E33" s="427" t="s">
        <v>318</v>
      </c>
      <c r="F33" s="442">
        <v>1</v>
      </c>
      <c r="G33" s="442">
        <v>177</v>
      </c>
      <c r="H33" s="442"/>
      <c r="I33" s="442">
        <v>177</v>
      </c>
      <c r="J33" s="442"/>
      <c r="K33" s="442"/>
      <c r="L33" s="442"/>
      <c r="M33" s="442"/>
      <c r="N33" s="442"/>
      <c r="O33" s="442"/>
      <c r="P33" s="428"/>
      <c r="Q33" s="44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4" t="s">
        <v>89</v>
      </c>
      <c r="B1" s="264"/>
      <c r="C1" s="265"/>
      <c r="D1" s="265"/>
      <c r="E1" s="265"/>
    </row>
    <row r="2" spans="1:5" ht="14.4" customHeight="1" thickBot="1" x14ac:dyDescent="0.35">
      <c r="A2" s="189" t="s">
        <v>203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481.36979388713837</v>
      </c>
      <c r="D4" s="129">
        <f ca="1">IF(ISERROR(VLOOKUP("Náklady celkem",INDIRECT("HI!$A:$G"),5,0)),0,VLOOKUP("Náklady celkem",INDIRECT("HI!$A:$G"),5,0))</f>
        <v>423.15737000000001</v>
      </c>
      <c r="E4" s="130">
        <f ca="1">IF(C4=0,0,D4/C4)</f>
        <v>0.8790692215706688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478.87774999999999</v>
      </c>
      <c r="D12" s="133">
        <f ca="1">IF(ISERROR(VLOOKUP("Osobní náklady (Kč) *",INDIRECT("HI!$A:$G"),5,0)),0,VLOOKUP("Osobní náklady (Kč) *",INDIRECT("HI!$A:$G"),5,0))</f>
        <v>422.77017000000001</v>
      </c>
      <c r="E12" s="134">
        <f ca="1">IF(C12=0,0,D12/C12)</f>
        <v>0.88283527476480173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0.35499999999999998</v>
      </c>
      <c r="E14" s="153">
        <f t="shared" ref="E14:E19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0.35499999999999998</v>
      </c>
      <c r="E15" s="134">
        <f t="shared" ca="1" si="1"/>
        <v>0</v>
      </c>
    </row>
    <row r="16" spans="1:5" ht="14.4" customHeight="1" x14ac:dyDescent="0.3">
      <c r="A16" s="203" t="str">
        <f>HYPERLINK("#'ZV Vykáz.-A'!A1","Zdravotní výkony vykázané u ambulantních pacientů (min. 100 % 2016)")</f>
        <v>Zdravotní výkony vykázané u ambulantních pacientů (min. 100 % 2016)</v>
      </c>
      <c r="B16" s="204" t="s">
        <v>91</v>
      </c>
      <c r="C16" s="138">
        <v>1</v>
      </c>
      <c r="D16" s="138" t="str">
        <f>IF(ISERROR(VLOOKUP("Celkem:",'ZV Vykáz.-A'!$A:$AB,10,0)),"",VLOOKUP("Celkem:",'ZV Vykáz.-A'!$A:$AB,10,0))</f>
        <v/>
      </c>
      <c r="E16" s="134" t="e">
        <f t="shared" si="1"/>
        <v>#VALUE!</v>
      </c>
    </row>
    <row r="17" spans="1:5" ht="14.4" customHeight="1" x14ac:dyDescent="0.3">
      <c r="A17" s="202" t="str">
        <f>HYPERLINK("#'ZV Vykáz.-A'!A1","Specializovaná ambulantní péče")</f>
        <v>Specializovaná ambulantní péče</v>
      </c>
      <c r="B17" s="204" t="s">
        <v>91</v>
      </c>
      <c r="C17" s="138">
        <v>1</v>
      </c>
      <c r="D17" s="196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" customHeight="1" x14ac:dyDescent="0.3">
      <c r="A18" s="202" t="str">
        <f>HYPERLINK("#'ZV Vykáz.-A'!A1","Ambulantní péče ve vyjmenovaných odbornostech (§9)")</f>
        <v>Ambulantní péče ve vyjmenovaných odbornostech (§9)</v>
      </c>
      <c r="B18" s="204" t="s">
        <v>91</v>
      </c>
      <c r="C18" s="138">
        <v>1</v>
      </c>
      <c r="D18" s="196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4" t="s">
        <v>93</v>
      </c>
      <c r="C19" s="138">
        <v>0.85</v>
      </c>
      <c r="D19" s="138">
        <f>IF(ISERROR(VLOOKUP("Celkem:",'ZV Vykáz.-H'!$A:$S,7,0)),"",VLOOKUP("Celkem:",'ZV Vykáz.-H'!$A:$S,7,0))</f>
        <v>2.732472108044627</v>
      </c>
      <c r="E19" s="134">
        <f t="shared" si="1"/>
        <v>3.2146730682877966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5" t="s">
        <v>98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14.4" customHeight="1" thickBot="1" x14ac:dyDescent="0.35">
      <c r="A2" s="189" t="s">
        <v>203</v>
      </c>
      <c r="B2" s="83"/>
      <c r="C2" s="83"/>
      <c r="D2" s="83"/>
      <c r="E2" s="83"/>
      <c r="F2" s="83"/>
    </row>
    <row r="3" spans="1:10" ht="14.4" customHeight="1" x14ac:dyDescent="0.3">
      <c r="A3" s="266"/>
      <c r="B3" s="79">
        <v>2015</v>
      </c>
      <c r="C3" s="40">
        <v>2017</v>
      </c>
      <c r="D3" s="7"/>
      <c r="E3" s="270">
        <v>2018</v>
      </c>
      <c r="F3" s="271"/>
      <c r="G3" s="271"/>
      <c r="H3" s="272"/>
      <c r="I3" s="273">
        <v>2017</v>
      </c>
      <c r="J3" s="274"/>
    </row>
    <row r="4" spans="1:10" ht="14.4" customHeight="1" thickBot="1" x14ac:dyDescent="0.35">
      <c r="A4" s="267"/>
      <c r="B4" s="268" t="s">
        <v>47</v>
      </c>
      <c r="C4" s="269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7" t="s">
        <v>147</v>
      </c>
      <c r="J4" s="208" t="s">
        <v>148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392.60289</v>
      </c>
      <c r="C7" s="31">
        <v>414.20264000000003</v>
      </c>
      <c r="D7" s="8"/>
      <c r="E7" s="90">
        <v>422.77017000000001</v>
      </c>
      <c r="F7" s="30">
        <v>478.87774999999999</v>
      </c>
      <c r="G7" s="91">
        <f>E7-F7</f>
        <v>-56.107579999999984</v>
      </c>
      <c r="H7" s="95">
        <f>IF(F7&lt;0.00000001,"",E7/F7)</f>
        <v>0.88283527476480173</v>
      </c>
    </row>
    <row r="8" spans="1:10" ht="14.4" customHeight="1" thickBot="1" x14ac:dyDescent="0.35">
      <c r="A8" s="1" t="s">
        <v>50</v>
      </c>
      <c r="B8" s="11">
        <v>0.70175000000000409</v>
      </c>
      <c r="C8" s="33">
        <v>0.22932000000002972</v>
      </c>
      <c r="D8" s="8"/>
      <c r="E8" s="92">
        <v>0.38720000000000709</v>
      </c>
      <c r="F8" s="32">
        <v>2.4920438871383794</v>
      </c>
      <c r="G8" s="93">
        <f>E8-F8</f>
        <v>-2.1048438871383723</v>
      </c>
      <c r="H8" s="96">
        <f>IF(F8&lt;0.00000001,"",E8/F8)</f>
        <v>0.15537447072997976</v>
      </c>
    </row>
    <row r="9" spans="1:10" ht="14.4" customHeight="1" thickBot="1" x14ac:dyDescent="0.35">
      <c r="A9" s="2" t="s">
        <v>51</v>
      </c>
      <c r="B9" s="3">
        <v>393.30464000000001</v>
      </c>
      <c r="C9" s="35">
        <v>414.43196000000006</v>
      </c>
      <c r="D9" s="8"/>
      <c r="E9" s="3">
        <v>423.15737000000001</v>
      </c>
      <c r="F9" s="34">
        <v>481.36979388713837</v>
      </c>
      <c r="G9" s="34">
        <f>E9-F9</f>
        <v>-58.212423887138357</v>
      </c>
      <c r="H9" s="97">
        <f>IF(F9&lt;0.00000001,"",E9/F9)</f>
        <v>0.8790692215706688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89">
        <f>IF(ISERROR(VLOOKUP("Celkem:",'ZV Vykáz.-A'!A:H,8,0)),0,VLOOKUP("Celkem:",'ZV Vykáz.-A'!A:H,8,0)/1000)</f>
        <v>0.35499999999999998</v>
      </c>
      <c r="F11" s="28">
        <f>C11</f>
        <v>0</v>
      </c>
      <c r="G11" s="88">
        <f>E11-F11</f>
        <v>0.35499999999999998</v>
      </c>
      <c r="H11" s="94" t="str">
        <f>IF(F11&lt;0.00000001,"",E11/F11)</f>
        <v/>
      </c>
      <c r="I11" s="88">
        <f>E11-B11</f>
        <v>0.35499999999999998</v>
      </c>
      <c r="J11" s="94" t="str">
        <f>IF(B11&lt;0.00000001,"",E11/B11)</f>
        <v/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0</v>
      </c>
      <c r="C13" s="37">
        <f>SUM(C11:C12)</f>
        <v>0</v>
      </c>
      <c r="D13" s="8"/>
      <c r="E13" s="5">
        <f>SUM(E11:E12)</f>
        <v>0.35499999999999998</v>
      </c>
      <c r="F13" s="36">
        <f>SUM(F11:F12)</f>
        <v>0</v>
      </c>
      <c r="G13" s="36">
        <f>E13-F13</f>
        <v>0.35499999999999998</v>
      </c>
      <c r="H13" s="98" t="str">
        <f>IF(F13&lt;0.00000001,"",E13/F13)</f>
        <v/>
      </c>
      <c r="I13" s="36">
        <f>SUM(I11:I12)</f>
        <v>0.35499999999999998</v>
      </c>
      <c r="J13" s="98" t="str">
        <f>IF(B13&lt;0.00000001,"",E13/B13)</f>
        <v/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8.3893138857536612E-4</v>
      </c>
      <c r="F15" s="38">
        <f>IF(F9=0,"",F13/F9)</f>
        <v>0</v>
      </c>
      <c r="G15" s="38">
        <f>IF(ISERROR(F15-E15),"",E15-F15)</f>
        <v>8.3893138857536612E-4</v>
      </c>
      <c r="H15" s="99" t="str">
        <f>IF(ISERROR(F15-E15),"",IF(F15&lt;0.00000001,"",E15/F15))</f>
        <v/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181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4" t="s">
        <v>78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ht="14.4" customHeight="1" x14ac:dyDescent="0.3">
      <c r="A2" s="189" t="s">
        <v>203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2.7538436870227947E-3</v>
      </c>
      <c r="C4" s="170">
        <f t="shared" ref="C4:M4" si="0">(C10+C8)/C6</f>
        <v>1.2200825030099091E-3</v>
      </c>
      <c r="D4" s="170">
        <f t="shared" si="0"/>
        <v>8.3893138857536612E-4</v>
      </c>
      <c r="E4" s="170">
        <f t="shared" si="0"/>
        <v>8.3893138857536612E-4</v>
      </c>
      <c r="F4" s="170">
        <f t="shared" si="0"/>
        <v>8.3893138857536612E-4</v>
      </c>
      <c r="G4" s="170">
        <f t="shared" si="0"/>
        <v>8.3893138857536612E-4</v>
      </c>
      <c r="H4" s="170">
        <f t="shared" si="0"/>
        <v>8.3893138857536612E-4</v>
      </c>
      <c r="I4" s="170">
        <f t="shared" si="0"/>
        <v>8.3893138857536612E-4</v>
      </c>
      <c r="J4" s="170">
        <f t="shared" si="0"/>
        <v>8.3893138857536612E-4</v>
      </c>
      <c r="K4" s="170">
        <f t="shared" si="0"/>
        <v>8.3893138857536612E-4</v>
      </c>
      <c r="L4" s="170">
        <f t="shared" si="0"/>
        <v>8.3893138857536612E-4</v>
      </c>
      <c r="M4" s="170">
        <f t="shared" si="0"/>
        <v>8.3893138857536612E-4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128.91073</v>
      </c>
      <c r="C5" s="170">
        <f>IF(ISERROR(VLOOKUP($A5,'Man Tab'!$A:$Q,COLUMN()+2,0)),0,VLOOKUP($A5,'Man Tab'!$A:$Q,COLUMN()+2,0))</f>
        <v>162.0532</v>
      </c>
      <c r="D5" s="170">
        <f>IF(ISERROR(VLOOKUP($A5,'Man Tab'!$A:$Q,COLUMN()+2,0)),0,VLOOKUP($A5,'Man Tab'!$A:$Q,COLUMN()+2,0))</f>
        <v>132.19344000000001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51</v>
      </c>
      <c r="B6" s="172">
        <f>B5</f>
        <v>128.91073</v>
      </c>
      <c r="C6" s="172">
        <f t="shared" ref="C6:M6" si="1">C5+B6</f>
        <v>290.96393</v>
      </c>
      <c r="D6" s="172">
        <f t="shared" si="1"/>
        <v>423.15737000000001</v>
      </c>
      <c r="E6" s="172">
        <f t="shared" si="1"/>
        <v>423.15737000000001</v>
      </c>
      <c r="F6" s="172">
        <f t="shared" si="1"/>
        <v>423.15737000000001</v>
      </c>
      <c r="G6" s="172">
        <f t="shared" si="1"/>
        <v>423.15737000000001</v>
      </c>
      <c r="H6" s="172">
        <f t="shared" si="1"/>
        <v>423.15737000000001</v>
      </c>
      <c r="I6" s="172">
        <f t="shared" si="1"/>
        <v>423.15737000000001</v>
      </c>
      <c r="J6" s="172">
        <f t="shared" si="1"/>
        <v>423.15737000000001</v>
      </c>
      <c r="K6" s="172">
        <f t="shared" si="1"/>
        <v>423.15737000000001</v>
      </c>
      <c r="L6" s="172">
        <f t="shared" si="1"/>
        <v>423.15737000000001</v>
      </c>
      <c r="M6" s="172">
        <f t="shared" si="1"/>
        <v>423.15737000000001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>
        <v>355</v>
      </c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0.35499999999999998</v>
      </c>
      <c r="C10" s="172">
        <f t="shared" ref="C10:M10" si="3">C9/1000+B10</f>
        <v>0.35499999999999998</v>
      </c>
      <c r="D10" s="172">
        <f t="shared" si="3"/>
        <v>0.35499999999999998</v>
      </c>
      <c r="E10" s="172">
        <f t="shared" si="3"/>
        <v>0.35499999999999998</v>
      </c>
      <c r="F10" s="172">
        <f t="shared" si="3"/>
        <v>0.35499999999999998</v>
      </c>
      <c r="G10" s="172">
        <f t="shared" si="3"/>
        <v>0.35499999999999998</v>
      </c>
      <c r="H10" s="172">
        <f t="shared" si="3"/>
        <v>0.35499999999999998</v>
      </c>
      <c r="I10" s="172">
        <f t="shared" si="3"/>
        <v>0.35499999999999998</v>
      </c>
      <c r="J10" s="172">
        <f t="shared" si="3"/>
        <v>0.35499999999999998</v>
      </c>
      <c r="K10" s="172">
        <f t="shared" si="3"/>
        <v>0.35499999999999998</v>
      </c>
      <c r="L10" s="172">
        <f t="shared" si="3"/>
        <v>0.35499999999999998</v>
      </c>
      <c r="M10" s="172">
        <f t="shared" si="3"/>
        <v>0.35499999999999998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6" t="s">
        <v>205</v>
      </c>
      <c r="B1" s="276"/>
      <c r="C1" s="276"/>
      <c r="D1" s="276"/>
      <c r="E1" s="276"/>
      <c r="F1" s="276"/>
      <c r="G1" s="276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173" customFormat="1" ht="14.4" customHeight="1" thickBot="1" x14ac:dyDescent="0.3">
      <c r="A2" s="189" t="s">
        <v>203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7" t="s">
        <v>4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109"/>
      <c r="Q3" s="111"/>
    </row>
    <row r="4" spans="1:17" ht="14.4" customHeight="1" x14ac:dyDescent="0.3">
      <c r="A4" s="60"/>
      <c r="B4" s="20">
        <v>2018</v>
      </c>
      <c r="C4" s="110" t="s">
        <v>5</v>
      </c>
      <c r="D4" s="201" t="s">
        <v>182</v>
      </c>
      <c r="E4" s="201" t="s">
        <v>183</v>
      </c>
      <c r="F4" s="201" t="s">
        <v>184</v>
      </c>
      <c r="G4" s="201" t="s">
        <v>185</v>
      </c>
      <c r="H4" s="201" t="s">
        <v>186</v>
      </c>
      <c r="I4" s="201" t="s">
        <v>187</v>
      </c>
      <c r="J4" s="201" t="s">
        <v>188</v>
      </c>
      <c r="K4" s="201" t="s">
        <v>189</v>
      </c>
      <c r="L4" s="201" t="s">
        <v>190</v>
      </c>
      <c r="M4" s="201" t="s">
        <v>191</v>
      </c>
      <c r="N4" s="201" t="s">
        <v>192</v>
      </c>
      <c r="O4" s="201" t="s">
        <v>193</v>
      </c>
      <c r="P4" s="279" t="s">
        <v>2</v>
      </c>
      <c r="Q4" s="280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204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204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204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204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204</v>
      </c>
    </row>
    <row r="11" spans="1:17" ht="14.4" customHeight="1" x14ac:dyDescent="0.3">
      <c r="A11" s="15" t="s">
        <v>14</v>
      </c>
      <c r="B11" s="46">
        <v>2.2017867764860002</v>
      </c>
      <c r="C11" s="47">
        <v>0.18348223137299999</v>
      </c>
      <c r="D11" s="47">
        <v>0.38719999999999999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0.38719999999999999</v>
      </c>
      <c r="Q11" s="70">
        <v>0.70342869552099996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204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204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204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204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204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204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204</v>
      </c>
    </row>
    <row r="19" spans="1:17" ht="14.4" customHeight="1" x14ac:dyDescent="0.3">
      <c r="A19" s="15" t="s">
        <v>22</v>
      </c>
      <c r="B19" s="46">
        <v>3.0975689951000002E-2</v>
      </c>
      <c r="C19" s="47">
        <v>2.5813074949999999E-3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23</v>
      </c>
      <c r="B20" s="46">
        <v>1915.511</v>
      </c>
      <c r="C20" s="47">
        <v>159.625916666666</v>
      </c>
      <c r="D20" s="47">
        <v>128.52352999999999</v>
      </c>
      <c r="E20" s="47">
        <v>162.0532</v>
      </c>
      <c r="F20" s="47">
        <v>132.19344000000001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422.77017000000001</v>
      </c>
      <c r="Q20" s="70">
        <v>0.88283527476400003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204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204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204</v>
      </c>
    </row>
    <row r="24" spans="1:17" ht="14.4" customHeight="1" x14ac:dyDescent="0.3">
      <c r="A24" s="16" t="s">
        <v>27</v>
      </c>
      <c r="B24" s="46">
        <v>7.7354132207830002</v>
      </c>
      <c r="C24" s="47">
        <v>0.644617768398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70"/>
    </row>
    <row r="25" spans="1:17" ht="14.4" customHeight="1" x14ac:dyDescent="0.3">
      <c r="A25" s="17" t="s">
        <v>28</v>
      </c>
      <c r="B25" s="49">
        <v>1925.47917568722</v>
      </c>
      <c r="C25" s="50">
        <v>160.456597973935</v>
      </c>
      <c r="D25" s="50">
        <v>128.91073</v>
      </c>
      <c r="E25" s="50">
        <v>162.0532</v>
      </c>
      <c r="F25" s="50">
        <v>132.19344000000001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423.15737000000001</v>
      </c>
      <c r="Q25" s="71">
        <v>0.87906922150699995</v>
      </c>
    </row>
    <row r="26" spans="1:17" ht="14.4" customHeight="1" x14ac:dyDescent="0.3">
      <c r="A26" s="15" t="s">
        <v>29</v>
      </c>
      <c r="B26" s="46">
        <v>0</v>
      </c>
      <c r="C26" s="47">
        <v>0</v>
      </c>
      <c r="D26" s="47">
        <v>21.92408</v>
      </c>
      <c r="E26" s="47">
        <v>25.991900000000001</v>
      </c>
      <c r="F26" s="47">
        <v>21.982130000000002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69.898110000000003</v>
      </c>
      <c r="Q26" s="70" t="s">
        <v>204</v>
      </c>
    </row>
    <row r="27" spans="1:17" ht="14.4" customHeight="1" x14ac:dyDescent="0.3">
      <c r="A27" s="18" t="s">
        <v>30</v>
      </c>
      <c r="B27" s="49">
        <v>1925.47917568722</v>
      </c>
      <c r="C27" s="50">
        <v>160.456597973935</v>
      </c>
      <c r="D27" s="50">
        <v>150.83481</v>
      </c>
      <c r="E27" s="50">
        <v>188.04509999999999</v>
      </c>
      <c r="F27" s="50">
        <v>154.17556999999999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493.05547999999999</v>
      </c>
      <c r="Q27" s="71">
        <v>1.0242759022800001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204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204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202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2" s="55" customFormat="1" ht="18.600000000000001" customHeight="1" thickBot="1" x14ac:dyDescent="0.4">
      <c r="A1" s="276" t="s">
        <v>36</v>
      </c>
      <c r="B1" s="276"/>
      <c r="C1" s="276"/>
      <c r="D1" s="276"/>
      <c r="E1" s="276"/>
      <c r="F1" s="276"/>
      <c r="G1" s="276"/>
      <c r="H1" s="281"/>
      <c r="I1" s="281"/>
      <c r="J1" s="281"/>
      <c r="K1" s="281"/>
    </row>
    <row r="2" spans="1:12" s="55" customFormat="1" ht="14.4" customHeight="1" thickBot="1" x14ac:dyDescent="0.35">
      <c r="A2" s="189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14.4" customHeight="1" x14ac:dyDescent="0.3">
      <c r="A3" s="59"/>
      <c r="B3" s="277" t="s">
        <v>37</v>
      </c>
      <c r="C3" s="278"/>
      <c r="D3" s="278"/>
      <c r="E3" s="278"/>
      <c r="F3" s="284" t="s">
        <v>38</v>
      </c>
      <c r="G3" s="278"/>
      <c r="H3" s="278"/>
      <c r="I3" s="278"/>
      <c r="J3" s="278"/>
      <c r="K3" s="285"/>
    </row>
    <row r="4" spans="1:12" ht="14.4" customHeight="1" x14ac:dyDescent="0.3">
      <c r="A4" s="60"/>
      <c r="B4" s="282"/>
      <c r="C4" s="283"/>
      <c r="D4" s="283"/>
      <c r="E4" s="283"/>
      <c r="F4" s="286" t="s">
        <v>198</v>
      </c>
      <c r="G4" s="288" t="s">
        <v>39</v>
      </c>
      <c r="H4" s="112" t="s">
        <v>100</v>
      </c>
      <c r="I4" s="286" t="s">
        <v>40</v>
      </c>
      <c r="J4" s="288" t="s">
        <v>200</v>
      </c>
      <c r="K4" s="289" t="s">
        <v>201</v>
      </c>
    </row>
    <row r="5" spans="1:12" ht="42" thickBot="1" x14ac:dyDescent="0.35">
      <c r="A5" s="61"/>
      <c r="B5" s="24" t="s">
        <v>194</v>
      </c>
      <c r="C5" s="25" t="s">
        <v>195</v>
      </c>
      <c r="D5" s="26" t="s">
        <v>196</v>
      </c>
      <c r="E5" s="26" t="s">
        <v>197</v>
      </c>
      <c r="F5" s="287"/>
      <c r="G5" s="287"/>
      <c r="H5" s="25" t="s">
        <v>199</v>
      </c>
      <c r="I5" s="287"/>
      <c r="J5" s="287"/>
      <c r="K5" s="290"/>
    </row>
    <row r="6" spans="1:12" ht="14.4" customHeight="1" thickBot="1" x14ac:dyDescent="0.35">
      <c r="A6" s="370" t="s">
        <v>206</v>
      </c>
      <c r="B6" s="352">
        <v>1784.5230375256899</v>
      </c>
      <c r="C6" s="352">
        <v>2051.2419399999999</v>
      </c>
      <c r="D6" s="353">
        <v>266.71890247431099</v>
      </c>
      <c r="E6" s="354">
        <v>1.1494622915279999</v>
      </c>
      <c r="F6" s="352">
        <v>1925.47917568722</v>
      </c>
      <c r="G6" s="353">
        <v>481.36979392180399</v>
      </c>
      <c r="H6" s="355">
        <v>132.19344000000001</v>
      </c>
      <c r="I6" s="352">
        <v>423.15737000000001</v>
      </c>
      <c r="J6" s="353">
        <v>-58.212423921803001</v>
      </c>
      <c r="K6" s="356">
        <v>0.21976730537600001</v>
      </c>
      <c r="L6" s="119"/>
    </row>
    <row r="7" spans="1:12" ht="14.4" customHeight="1" thickBot="1" x14ac:dyDescent="0.35">
      <c r="A7" s="371" t="s">
        <v>207</v>
      </c>
      <c r="B7" s="352">
        <v>2.5258086728019999</v>
      </c>
      <c r="C7" s="352">
        <v>2.0223599999999999</v>
      </c>
      <c r="D7" s="353">
        <v>-0.50344867280200001</v>
      </c>
      <c r="E7" s="354">
        <v>0.80067822308699999</v>
      </c>
      <c r="F7" s="352">
        <v>2.2017867764860002</v>
      </c>
      <c r="G7" s="353">
        <v>0.550446694121</v>
      </c>
      <c r="H7" s="355">
        <v>0</v>
      </c>
      <c r="I7" s="352">
        <v>0.38719999999999999</v>
      </c>
      <c r="J7" s="353">
        <v>-0.16324669412100001</v>
      </c>
      <c r="K7" s="356">
        <v>0.17585717388</v>
      </c>
      <c r="L7" s="119"/>
    </row>
    <row r="8" spans="1:12" ht="14.4" customHeight="1" thickBot="1" x14ac:dyDescent="0.35">
      <c r="A8" s="372" t="s">
        <v>208</v>
      </c>
      <c r="B8" s="352">
        <v>2.5258086728019999</v>
      </c>
      <c r="C8" s="352">
        <v>2.0223599999999999</v>
      </c>
      <c r="D8" s="353">
        <v>-0.50344867280200001</v>
      </c>
      <c r="E8" s="354">
        <v>0.80067822308699999</v>
      </c>
      <c r="F8" s="352">
        <v>2.2017867764860002</v>
      </c>
      <c r="G8" s="353">
        <v>0.550446694121</v>
      </c>
      <c r="H8" s="355">
        <v>0</v>
      </c>
      <c r="I8" s="352">
        <v>0.38719999999999999</v>
      </c>
      <c r="J8" s="353">
        <v>-0.16324669412100001</v>
      </c>
      <c r="K8" s="356">
        <v>0.17585717388</v>
      </c>
      <c r="L8" s="119"/>
    </row>
    <row r="9" spans="1:12" ht="14.4" customHeight="1" thickBot="1" x14ac:dyDescent="0.35">
      <c r="A9" s="373" t="s">
        <v>209</v>
      </c>
      <c r="B9" s="357">
        <v>2.5258086728019999</v>
      </c>
      <c r="C9" s="357">
        <v>0.43975999999999998</v>
      </c>
      <c r="D9" s="358">
        <v>-2.0860486728019998</v>
      </c>
      <c r="E9" s="359">
        <v>0.17410661572800001</v>
      </c>
      <c r="F9" s="357">
        <v>2.2017867764860002</v>
      </c>
      <c r="G9" s="358">
        <v>0.550446694121</v>
      </c>
      <c r="H9" s="360">
        <v>0</v>
      </c>
      <c r="I9" s="357">
        <v>0.38719999999999999</v>
      </c>
      <c r="J9" s="358">
        <v>-0.16324669412100001</v>
      </c>
      <c r="K9" s="361">
        <v>0.17585717388</v>
      </c>
      <c r="L9" s="119"/>
    </row>
    <row r="10" spans="1:12" ht="14.4" customHeight="1" thickBot="1" x14ac:dyDescent="0.35">
      <c r="A10" s="374" t="s">
        <v>210</v>
      </c>
      <c r="B10" s="352">
        <v>2</v>
      </c>
      <c r="C10" s="352">
        <v>0.24056</v>
      </c>
      <c r="D10" s="353">
        <v>-1.7594399999999999</v>
      </c>
      <c r="E10" s="354">
        <v>0.12028</v>
      </c>
      <c r="F10" s="352">
        <v>2</v>
      </c>
      <c r="G10" s="353">
        <v>0.5</v>
      </c>
      <c r="H10" s="355">
        <v>0</v>
      </c>
      <c r="I10" s="352">
        <v>0</v>
      </c>
      <c r="J10" s="353">
        <v>-0.5</v>
      </c>
      <c r="K10" s="356">
        <v>0</v>
      </c>
      <c r="L10" s="119"/>
    </row>
    <row r="11" spans="1:12" ht="14.4" customHeight="1" thickBot="1" x14ac:dyDescent="0.35">
      <c r="A11" s="374" t="s">
        <v>211</v>
      </c>
      <c r="B11" s="352">
        <v>0.52580867280200005</v>
      </c>
      <c r="C11" s="352">
        <v>0.19919999999999999</v>
      </c>
      <c r="D11" s="353">
        <v>-0.32660867280200001</v>
      </c>
      <c r="E11" s="354">
        <v>0.37884502539300002</v>
      </c>
      <c r="F11" s="352">
        <v>0.20178677648599999</v>
      </c>
      <c r="G11" s="353">
        <v>5.0446694121000002E-2</v>
      </c>
      <c r="H11" s="355">
        <v>0</v>
      </c>
      <c r="I11" s="352">
        <v>0.38719999999999999</v>
      </c>
      <c r="J11" s="353">
        <v>0.33675330587800001</v>
      </c>
      <c r="K11" s="356">
        <v>0</v>
      </c>
      <c r="L11" s="119"/>
    </row>
    <row r="12" spans="1:12" ht="14.4" customHeight="1" thickBot="1" x14ac:dyDescent="0.35">
      <c r="A12" s="373" t="s">
        <v>212</v>
      </c>
      <c r="B12" s="357">
        <v>0</v>
      </c>
      <c r="C12" s="357">
        <v>1.5826</v>
      </c>
      <c r="D12" s="358">
        <v>1.5826</v>
      </c>
      <c r="E12" s="362" t="s">
        <v>213</v>
      </c>
      <c r="F12" s="357">
        <v>0</v>
      </c>
      <c r="G12" s="358">
        <v>0</v>
      </c>
      <c r="H12" s="360">
        <v>0</v>
      </c>
      <c r="I12" s="357">
        <v>0</v>
      </c>
      <c r="J12" s="358">
        <v>0</v>
      </c>
      <c r="K12" s="363" t="s">
        <v>204</v>
      </c>
      <c r="L12" s="119"/>
    </row>
    <row r="13" spans="1:12" ht="14.4" customHeight="1" thickBot="1" x14ac:dyDescent="0.35">
      <c r="A13" s="374" t="s">
        <v>214</v>
      </c>
      <c r="B13" s="352">
        <v>0</v>
      </c>
      <c r="C13" s="352">
        <v>1.5826</v>
      </c>
      <c r="D13" s="353">
        <v>1.5826</v>
      </c>
      <c r="E13" s="364" t="s">
        <v>213</v>
      </c>
      <c r="F13" s="352">
        <v>0</v>
      </c>
      <c r="G13" s="353">
        <v>0</v>
      </c>
      <c r="H13" s="355">
        <v>0</v>
      </c>
      <c r="I13" s="352">
        <v>0</v>
      </c>
      <c r="J13" s="353">
        <v>0</v>
      </c>
      <c r="K13" s="365" t="s">
        <v>204</v>
      </c>
      <c r="L13" s="119"/>
    </row>
    <row r="14" spans="1:12" ht="14.4" customHeight="1" thickBot="1" x14ac:dyDescent="0.35">
      <c r="A14" s="375" t="s">
        <v>215</v>
      </c>
      <c r="B14" s="357">
        <v>0.99722885288399998</v>
      </c>
      <c r="C14" s="357">
        <v>6.2521199999999997</v>
      </c>
      <c r="D14" s="358">
        <v>5.2548911471149999</v>
      </c>
      <c r="E14" s="359">
        <v>6.269493689351</v>
      </c>
      <c r="F14" s="357">
        <v>3.0975689951000002E-2</v>
      </c>
      <c r="G14" s="358">
        <v>7.7439224869999997E-3</v>
      </c>
      <c r="H14" s="360">
        <v>0</v>
      </c>
      <c r="I14" s="357">
        <v>0</v>
      </c>
      <c r="J14" s="358">
        <v>-7.7439224869999997E-3</v>
      </c>
      <c r="K14" s="361">
        <v>0</v>
      </c>
      <c r="L14" s="119"/>
    </row>
    <row r="15" spans="1:12" ht="14.4" customHeight="1" thickBot="1" x14ac:dyDescent="0.35">
      <c r="A15" s="372" t="s">
        <v>20</v>
      </c>
      <c r="B15" s="352">
        <v>0.99999999999900002</v>
      </c>
      <c r="C15" s="352">
        <v>0</v>
      </c>
      <c r="D15" s="353">
        <v>-0.99999999999900002</v>
      </c>
      <c r="E15" s="354">
        <v>0</v>
      </c>
      <c r="F15" s="352">
        <v>0</v>
      </c>
      <c r="G15" s="353">
        <v>0</v>
      </c>
      <c r="H15" s="355">
        <v>0</v>
      </c>
      <c r="I15" s="352">
        <v>0</v>
      </c>
      <c r="J15" s="353">
        <v>0</v>
      </c>
      <c r="K15" s="356">
        <v>0</v>
      </c>
      <c r="L15" s="119"/>
    </row>
    <row r="16" spans="1:12" ht="14.4" customHeight="1" thickBot="1" x14ac:dyDescent="0.35">
      <c r="A16" s="376" t="s">
        <v>216</v>
      </c>
      <c r="B16" s="352">
        <v>0.99999999999900002</v>
      </c>
      <c r="C16" s="352">
        <v>0</v>
      </c>
      <c r="D16" s="353">
        <v>-0.99999999999900002</v>
      </c>
      <c r="E16" s="354">
        <v>0</v>
      </c>
      <c r="F16" s="352">
        <v>0</v>
      </c>
      <c r="G16" s="353">
        <v>0</v>
      </c>
      <c r="H16" s="355">
        <v>0</v>
      </c>
      <c r="I16" s="352">
        <v>0</v>
      </c>
      <c r="J16" s="353">
        <v>0</v>
      </c>
      <c r="K16" s="356">
        <v>0</v>
      </c>
      <c r="L16" s="119"/>
    </row>
    <row r="17" spans="1:12" ht="14.4" customHeight="1" thickBot="1" x14ac:dyDescent="0.35">
      <c r="A17" s="374" t="s">
        <v>217</v>
      </c>
      <c r="B17" s="352">
        <v>0.99999999999900002</v>
      </c>
      <c r="C17" s="352">
        <v>0</v>
      </c>
      <c r="D17" s="353">
        <v>-0.99999999999900002</v>
      </c>
      <c r="E17" s="354">
        <v>0</v>
      </c>
      <c r="F17" s="352">
        <v>0</v>
      </c>
      <c r="G17" s="353">
        <v>0</v>
      </c>
      <c r="H17" s="355">
        <v>0</v>
      </c>
      <c r="I17" s="352">
        <v>0</v>
      </c>
      <c r="J17" s="353">
        <v>0</v>
      </c>
      <c r="K17" s="356">
        <v>0</v>
      </c>
      <c r="L17" s="119"/>
    </row>
    <row r="18" spans="1:12" ht="14.4" customHeight="1" thickBot="1" x14ac:dyDescent="0.35">
      <c r="A18" s="377" t="s">
        <v>21</v>
      </c>
      <c r="B18" s="357">
        <v>0</v>
      </c>
      <c r="C18" s="357">
        <v>6.2220000000000004</v>
      </c>
      <c r="D18" s="358">
        <v>6.2220000000000004</v>
      </c>
      <c r="E18" s="362" t="s">
        <v>213</v>
      </c>
      <c r="F18" s="357">
        <v>0</v>
      </c>
      <c r="G18" s="358">
        <v>0</v>
      </c>
      <c r="H18" s="360">
        <v>0</v>
      </c>
      <c r="I18" s="357">
        <v>0</v>
      </c>
      <c r="J18" s="358">
        <v>0</v>
      </c>
      <c r="K18" s="363" t="s">
        <v>204</v>
      </c>
      <c r="L18" s="119"/>
    </row>
    <row r="19" spans="1:12" ht="14.4" customHeight="1" thickBot="1" x14ac:dyDescent="0.35">
      <c r="A19" s="373" t="s">
        <v>218</v>
      </c>
      <c r="B19" s="357">
        <v>0</v>
      </c>
      <c r="C19" s="357">
        <v>6.2220000000000004</v>
      </c>
      <c r="D19" s="358">
        <v>6.2220000000000004</v>
      </c>
      <c r="E19" s="362" t="s">
        <v>213</v>
      </c>
      <c r="F19" s="357">
        <v>0</v>
      </c>
      <c r="G19" s="358">
        <v>0</v>
      </c>
      <c r="H19" s="360">
        <v>0</v>
      </c>
      <c r="I19" s="357">
        <v>0</v>
      </c>
      <c r="J19" s="358">
        <v>0</v>
      </c>
      <c r="K19" s="363" t="s">
        <v>204</v>
      </c>
      <c r="L19" s="119"/>
    </row>
    <row r="20" spans="1:12" ht="14.4" customHeight="1" thickBot="1" x14ac:dyDescent="0.35">
      <c r="A20" s="374" t="s">
        <v>219</v>
      </c>
      <c r="B20" s="352">
        <v>0</v>
      </c>
      <c r="C20" s="352">
        <v>6.2220000000000004</v>
      </c>
      <c r="D20" s="353">
        <v>6.2220000000000004</v>
      </c>
      <c r="E20" s="364" t="s">
        <v>213</v>
      </c>
      <c r="F20" s="352">
        <v>0</v>
      </c>
      <c r="G20" s="353">
        <v>0</v>
      </c>
      <c r="H20" s="355">
        <v>0</v>
      </c>
      <c r="I20" s="352">
        <v>0</v>
      </c>
      <c r="J20" s="353">
        <v>0</v>
      </c>
      <c r="K20" s="365" t="s">
        <v>204</v>
      </c>
      <c r="L20" s="119"/>
    </row>
    <row r="21" spans="1:12" ht="14.4" customHeight="1" thickBot="1" x14ac:dyDescent="0.35">
      <c r="A21" s="372" t="s">
        <v>22</v>
      </c>
      <c r="B21" s="352">
        <v>-2.7711471149999998E-3</v>
      </c>
      <c r="C21" s="352">
        <v>3.0120000000000001E-2</v>
      </c>
      <c r="D21" s="353">
        <v>3.2891147114999998E-2</v>
      </c>
      <c r="E21" s="354">
        <v>-10.869145067764</v>
      </c>
      <c r="F21" s="352">
        <v>3.0975689951000002E-2</v>
      </c>
      <c r="G21" s="353">
        <v>7.7439224869999997E-3</v>
      </c>
      <c r="H21" s="355">
        <v>0</v>
      </c>
      <c r="I21" s="352">
        <v>0</v>
      </c>
      <c r="J21" s="353">
        <v>-7.7439224869999997E-3</v>
      </c>
      <c r="K21" s="356">
        <v>0</v>
      </c>
      <c r="L21" s="119"/>
    </row>
    <row r="22" spans="1:12" ht="14.4" customHeight="1" thickBot="1" x14ac:dyDescent="0.35">
      <c r="A22" s="373" t="s">
        <v>220</v>
      </c>
      <c r="B22" s="357">
        <v>-2.7711471149999998E-3</v>
      </c>
      <c r="C22" s="357">
        <v>3.0120000000000001E-2</v>
      </c>
      <c r="D22" s="358">
        <v>3.2891147114999998E-2</v>
      </c>
      <c r="E22" s="359">
        <v>-10.869145067764</v>
      </c>
      <c r="F22" s="357">
        <v>3.0975689951000002E-2</v>
      </c>
      <c r="G22" s="358">
        <v>7.7439224869999997E-3</v>
      </c>
      <c r="H22" s="360">
        <v>0</v>
      </c>
      <c r="I22" s="357">
        <v>0</v>
      </c>
      <c r="J22" s="358">
        <v>-7.7439224869999997E-3</v>
      </c>
      <c r="K22" s="361">
        <v>0</v>
      </c>
      <c r="L22" s="119"/>
    </row>
    <row r="23" spans="1:12" ht="14.4" customHeight="1" thickBot="1" x14ac:dyDescent="0.35">
      <c r="A23" s="374" t="s">
        <v>221</v>
      </c>
      <c r="B23" s="352">
        <v>-2.7711471149999998E-3</v>
      </c>
      <c r="C23" s="352">
        <v>3.0120000000000001E-2</v>
      </c>
      <c r="D23" s="353">
        <v>3.2891147114999998E-2</v>
      </c>
      <c r="E23" s="354">
        <v>-10.869145067764</v>
      </c>
      <c r="F23" s="352">
        <v>3.0975689951000002E-2</v>
      </c>
      <c r="G23" s="353">
        <v>7.7439224869999997E-3</v>
      </c>
      <c r="H23" s="355">
        <v>0</v>
      </c>
      <c r="I23" s="352">
        <v>0</v>
      </c>
      <c r="J23" s="353">
        <v>-7.7439224869999997E-3</v>
      </c>
      <c r="K23" s="356">
        <v>0</v>
      </c>
      <c r="L23" s="119"/>
    </row>
    <row r="24" spans="1:12" ht="14.4" customHeight="1" thickBot="1" x14ac:dyDescent="0.35">
      <c r="A24" s="371" t="s">
        <v>23</v>
      </c>
      <c r="B24" s="352">
        <v>1781</v>
      </c>
      <c r="C24" s="352">
        <v>2028.2174600000001</v>
      </c>
      <c r="D24" s="353">
        <v>247.21745999999899</v>
      </c>
      <c r="E24" s="354">
        <v>1.1388082313300001</v>
      </c>
      <c r="F24" s="352">
        <v>1915.511</v>
      </c>
      <c r="G24" s="353">
        <v>478.87774999999903</v>
      </c>
      <c r="H24" s="355">
        <v>132.19344000000001</v>
      </c>
      <c r="I24" s="352">
        <v>422.77017000000001</v>
      </c>
      <c r="J24" s="353">
        <v>-56.107579999998002</v>
      </c>
      <c r="K24" s="356">
        <v>0.22070881869100001</v>
      </c>
      <c r="L24" s="119"/>
    </row>
    <row r="25" spans="1:12" ht="14.4" customHeight="1" thickBot="1" x14ac:dyDescent="0.35">
      <c r="A25" s="377" t="s">
        <v>222</v>
      </c>
      <c r="B25" s="357">
        <v>1310</v>
      </c>
      <c r="C25" s="357">
        <v>1499.8340000000001</v>
      </c>
      <c r="D25" s="358">
        <v>189.83399999999901</v>
      </c>
      <c r="E25" s="359">
        <v>1.1449114503810001</v>
      </c>
      <c r="F25" s="357">
        <v>1409.3510000000001</v>
      </c>
      <c r="G25" s="358">
        <v>352.33774999999901</v>
      </c>
      <c r="H25" s="360">
        <v>97.203000000000003</v>
      </c>
      <c r="I25" s="357">
        <v>311.62599999999998</v>
      </c>
      <c r="J25" s="358">
        <v>-40.711749999997998</v>
      </c>
      <c r="K25" s="361">
        <v>0.221113122281</v>
      </c>
      <c r="L25" s="119"/>
    </row>
    <row r="26" spans="1:12" ht="14.4" customHeight="1" thickBot="1" x14ac:dyDescent="0.35">
      <c r="A26" s="373" t="s">
        <v>223</v>
      </c>
      <c r="B26" s="357">
        <v>1306</v>
      </c>
      <c r="C26" s="357">
        <v>1498.3340000000001</v>
      </c>
      <c r="D26" s="358">
        <v>192.33399999999901</v>
      </c>
      <c r="E26" s="359">
        <v>1.147269525267</v>
      </c>
      <c r="F26" s="357">
        <v>1406</v>
      </c>
      <c r="G26" s="358">
        <v>351.49999999999898</v>
      </c>
      <c r="H26" s="360">
        <v>97.203000000000003</v>
      </c>
      <c r="I26" s="357">
        <v>286.62599999999998</v>
      </c>
      <c r="J26" s="358">
        <v>-64.873999999998006</v>
      </c>
      <c r="K26" s="361">
        <v>0.203859174964</v>
      </c>
      <c r="L26" s="119"/>
    </row>
    <row r="27" spans="1:12" ht="14.4" customHeight="1" thickBot="1" x14ac:dyDescent="0.35">
      <c r="A27" s="374" t="s">
        <v>224</v>
      </c>
      <c r="B27" s="352">
        <v>1306</v>
      </c>
      <c r="C27" s="352">
        <v>1498.3340000000001</v>
      </c>
      <c r="D27" s="353">
        <v>192.33399999999901</v>
      </c>
      <c r="E27" s="354">
        <v>1.147269525267</v>
      </c>
      <c r="F27" s="352">
        <v>1406</v>
      </c>
      <c r="G27" s="353">
        <v>351.49999999999898</v>
      </c>
      <c r="H27" s="355">
        <v>97.203000000000003</v>
      </c>
      <c r="I27" s="352">
        <v>286.62599999999998</v>
      </c>
      <c r="J27" s="353">
        <v>-64.873999999998006</v>
      </c>
      <c r="K27" s="356">
        <v>0.203859174964</v>
      </c>
      <c r="L27" s="121"/>
    </row>
    <row r="28" spans="1:12" ht="14.4" customHeight="1" thickBot="1" x14ac:dyDescent="0.35">
      <c r="A28" s="373" t="s">
        <v>225</v>
      </c>
      <c r="B28" s="357">
        <v>4</v>
      </c>
      <c r="C28" s="357">
        <v>0</v>
      </c>
      <c r="D28" s="358">
        <v>-4</v>
      </c>
      <c r="E28" s="359">
        <v>0</v>
      </c>
      <c r="F28" s="357">
        <v>3.351</v>
      </c>
      <c r="G28" s="358">
        <v>0.83774999999999999</v>
      </c>
      <c r="H28" s="360">
        <v>0</v>
      </c>
      <c r="I28" s="357">
        <v>0</v>
      </c>
      <c r="J28" s="358">
        <v>-0.83774999999999999</v>
      </c>
      <c r="K28" s="361">
        <v>0</v>
      </c>
      <c r="L28" s="119"/>
    </row>
    <row r="29" spans="1:12" ht="14.4" customHeight="1" thickBot="1" x14ac:dyDescent="0.35">
      <c r="A29" s="374" t="s">
        <v>226</v>
      </c>
      <c r="B29" s="352">
        <v>4</v>
      </c>
      <c r="C29" s="352">
        <v>0</v>
      </c>
      <c r="D29" s="353">
        <v>-4</v>
      </c>
      <c r="E29" s="354">
        <v>0</v>
      </c>
      <c r="F29" s="352">
        <v>3.351</v>
      </c>
      <c r="G29" s="353">
        <v>0.83774999999999999</v>
      </c>
      <c r="H29" s="355">
        <v>0</v>
      </c>
      <c r="I29" s="352">
        <v>0</v>
      </c>
      <c r="J29" s="353">
        <v>-0.83774999999999999</v>
      </c>
      <c r="K29" s="356">
        <v>0</v>
      </c>
      <c r="L29" s="119"/>
    </row>
    <row r="30" spans="1:12" ht="14.4" customHeight="1" thickBot="1" x14ac:dyDescent="0.35">
      <c r="A30" s="376" t="s">
        <v>227</v>
      </c>
      <c r="B30" s="352">
        <v>0</v>
      </c>
      <c r="C30" s="352">
        <v>1.5</v>
      </c>
      <c r="D30" s="353">
        <v>1.5</v>
      </c>
      <c r="E30" s="364" t="s">
        <v>213</v>
      </c>
      <c r="F30" s="352">
        <v>0</v>
      </c>
      <c r="G30" s="353">
        <v>0</v>
      </c>
      <c r="H30" s="355">
        <v>0</v>
      </c>
      <c r="I30" s="352">
        <v>25</v>
      </c>
      <c r="J30" s="353">
        <v>25</v>
      </c>
      <c r="K30" s="365" t="s">
        <v>204</v>
      </c>
      <c r="L30" s="119"/>
    </row>
    <row r="31" spans="1:12" ht="14.4" customHeight="1" thickBot="1" x14ac:dyDescent="0.35">
      <c r="A31" s="374" t="s">
        <v>228</v>
      </c>
      <c r="B31" s="352">
        <v>0</v>
      </c>
      <c r="C31" s="352">
        <v>1.5</v>
      </c>
      <c r="D31" s="353">
        <v>1.5</v>
      </c>
      <c r="E31" s="364" t="s">
        <v>213</v>
      </c>
      <c r="F31" s="352">
        <v>0</v>
      </c>
      <c r="G31" s="353">
        <v>0</v>
      </c>
      <c r="H31" s="355">
        <v>0</v>
      </c>
      <c r="I31" s="352">
        <v>25</v>
      </c>
      <c r="J31" s="353">
        <v>25</v>
      </c>
      <c r="K31" s="365" t="s">
        <v>204</v>
      </c>
      <c r="L31" s="119"/>
    </row>
    <row r="32" spans="1:12" ht="14.4" customHeight="1" thickBot="1" x14ac:dyDescent="0.35">
      <c r="A32" s="372" t="s">
        <v>229</v>
      </c>
      <c r="B32" s="352">
        <v>444.99999999999898</v>
      </c>
      <c r="C32" s="352">
        <v>498.41825999999998</v>
      </c>
      <c r="D32" s="353">
        <v>53.418259999999997</v>
      </c>
      <c r="E32" s="354">
        <v>1.1200410337069999</v>
      </c>
      <c r="F32" s="352">
        <v>478.04</v>
      </c>
      <c r="G32" s="353">
        <v>119.51</v>
      </c>
      <c r="H32" s="355">
        <v>33.047750000000001</v>
      </c>
      <c r="I32" s="352">
        <v>105.41475</v>
      </c>
      <c r="J32" s="353">
        <v>-14.095249999999</v>
      </c>
      <c r="K32" s="356">
        <v>0.220514496694</v>
      </c>
      <c r="L32" s="119"/>
    </row>
    <row r="33" spans="1:12" ht="14.4" customHeight="1" thickBot="1" x14ac:dyDescent="0.35">
      <c r="A33" s="373" t="s">
        <v>230</v>
      </c>
      <c r="B33" s="357">
        <v>118</v>
      </c>
      <c r="C33" s="357">
        <v>134.98201</v>
      </c>
      <c r="D33" s="358">
        <v>16.982009999999999</v>
      </c>
      <c r="E33" s="359">
        <v>1.1439153389829999</v>
      </c>
      <c r="F33" s="357">
        <v>126.54</v>
      </c>
      <c r="G33" s="358">
        <v>31.635000000000002</v>
      </c>
      <c r="H33" s="360">
        <v>8.7469999999999999</v>
      </c>
      <c r="I33" s="357">
        <v>28.045000000000002</v>
      </c>
      <c r="J33" s="358">
        <v>-3.59</v>
      </c>
      <c r="K33" s="361">
        <v>0.22162952426099999</v>
      </c>
      <c r="L33" s="119"/>
    </row>
    <row r="34" spans="1:12" ht="14.4" customHeight="1" thickBot="1" x14ac:dyDescent="0.35">
      <c r="A34" s="374" t="s">
        <v>231</v>
      </c>
      <c r="B34" s="352">
        <v>118</v>
      </c>
      <c r="C34" s="352">
        <v>134.98201</v>
      </c>
      <c r="D34" s="353">
        <v>16.982009999999999</v>
      </c>
      <c r="E34" s="354">
        <v>1.1439153389829999</v>
      </c>
      <c r="F34" s="352">
        <v>126.54</v>
      </c>
      <c r="G34" s="353">
        <v>31.635000000000002</v>
      </c>
      <c r="H34" s="355">
        <v>8.7469999999999999</v>
      </c>
      <c r="I34" s="352">
        <v>28.045000000000002</v>
      </c>
      <c r="J34" s="353">
        <v>-3.59</v>
      </c>
      <c r="K34" s="356">
        <v>0.22162952426099999</v>
      </c>
      <c r="L34" s="119"/>
    </row>
    <row r="35" spans="1:12" ht="14.4" customHeight="1" thickBot="1" x14ac:dyDescent="0.35">
      <c r="A35" s="373" t="s">
        <v>232</v>
      </c>
      <c r="B35" s="357">
        <v>327</v>
      </c>
      <c r="C35" s="357">
        <v>363.43624999999997</v>
      </c>
      <c r="D35" s="358">
        <v>36.436250000000001</v>
      </c>
      <c r="E35" s="359">
        <v>1.111425840978</v>
      </c>
      <c r="F35" s="357">
        <v>351.5</v>
      </c>
      <c r="G35" s="358">
        <v>87.874999999999005</v>
      </c>
      <c r="H35" s="360">
        <v>24.300750000000001</v>
      </c>
      <c r="I35" s="357">
        <v>77.369749999999996</v>
      </c>
      <c r="J35" s="358">
        <v>-10.505249999999</v>
      </c>
      <c r="K35" s="361">
        <v>0.22011308676999999</v>
      </c>
      <c r="L35" s="119"/>
    </row>
    <row r="36" spans="1:12" ht="14.4" customHeight="1" thickBot="1" x14ac:dyDescent="0.35">
      <c r="A36" s="374" t="s">
        <v>233</v>
      </c>
      <c r="B36" s="352">
        <v>327</v>
      </c>
      <c r="C36" s="352">
        <v>363.43624999999997</v>
      </c>
      <c r="D36" s="353">
        <v>36.436250000000001</v>
      </c>
      <c r="E36" s="354">
        <v>1.111425840978</v>
      </c>
      <c r="F36" s="352">
        <v>351.5</v>
      </c>
      <c r="G36" s="353">
        <v>87.874999999999005</v>
      </c>
      <c r="H36" s="355">
        <v>24.300750000000001</v>
      </c>
      <c r="I36" s="352">
        <v>77.369749999999996</v>
      </c>
      <c r="J36" s="353">
        <v>-10.505249999999</v>
      </c>
      <c r="K36" s="356">
        <v>0.22011308676999999</v>
      </c>
      <c r="L36" s="119"/>
    </row>
    <row r="37" spans="1:12" ht="14.4" customHeight="1" thickBot="1" x14ac:dyDescent="0.35">
      <c r="A37" s="372" t="s">
        <v>234</v>
      </c>
      <c r="B37" s="352">
        <v>26</v>
      </c>
      <c r="C37" s="352">
        <v>29.965199999999999</v>
      </c>
      <c r="D37" s="353">
        <v>3.9651999999990002</v>
      </c>
      <c r="E37" s="354">
        <v>1.1525076923069999</v>
      </c>
      <c r="F37" s="352">
        <v>28.12</v>
      </c>
      <c r="G37" s="353">
        <v>7.03</v>
      </c>
      <c r="H37" s="355">
        <v>1.94269</v>
      </c>
      <c r="I37" s="352">
        <v>5.7294200000000002</v>
      </c>
      <c r="J37" s="353">
        <v>-1.3005800000000001</v>
      </c>
      <c r="K37" s="356">
        <v>0.20374893314299999</v>
      </c>
      <c r="L37" s="119"/>
    </row>
    <row r="38" spans="1:12" ht="14.4" customHeight="1" thickBot="1" x14ac:dyDescent="0.35">
      <c r="A38" s="373" t="s">
        <v>235</v>
      </c>
      <c r="B38" s="357">
        <v>26</v>
      </c>
      <c r="C38" s="357">
        <v>29.965199999999999</v>
      </c>
      <c r="D38" s="358">
        <v>3.9651999999990002</v>
      </c>
      <c r="E38" s="359">
        <v>1.1525076923069999</v>
      </c>
      <c r="F38" s="357">
        <v>28.12</v>
      </c>
      <c r="G38" s="358">
        <v>7.03</v>
      </c>
      <c r="H38" s="360">
        <v>1.94269</v>
      </c>
      <c r="I38" s="357">
        <v>5.7294200000000002</v>
      </c>
      <c r="J38" s="358">
        <v>-1.3005800000000001</v>
      </c>
      <c r="K38" s="361">
        <v>0.20374893314299999</v>
      </c>
      <c r="L38" s="119"/>
    </row>
    <row r="39" spans="1:12" ht="14.4" customHeight="1" thickBot="1" x14ac:dyDescent="0.35">
      <c r="A39" s="374" t="s">
        <v>236</v>
      </c>
      <c r="B39" s="352">
        <v>26</v>
      </c>
      <c r="C39" s="352">
        <v>29.965199999999999</v>
      </c>
      <c r="D39" s="353">
        <v>3.9651999999990002</v>
      </c>
      <c r="E39" s="354">
        <v>1.1525076923069999</v>
      </c>
      <c r="F39" s="352">
        <v>28.12</v>
      </c>
      <c r="G39" s="353">
        <v>7.03</v>
      </c>
      <c r="H39" s="355">
        <v>1.94269</v>
      </c>
      <c r="I39" s="352">
        <v>5.7294200000000002</v>
      </c>
      <c r="J39" s="353">
        <v>-1.3005800000000001</v>
      </c>
      <c r="K39" s="356">
        <v>0.20374893314299999</v>
      </c>
      <c r="L39" s="119"/>
    </row>
    <row r="40" spans="1:12" ht="14.4" customHeight="1" thickBot="1" x14ac:dyDescent="0.35">
      <c r="A40" s="371" t="s">
        <v>237</v>
      </c>
      <c r="B40" s="352">
        <v>0</v>
      </c>
      <c r="C40" s="352">
        <v>14.75</v>
      </c>
      <c r="D40" s="353">
        <v>14.75</v>
      </c>
      <c r="E40" s="364" t="s">
        <v>204</v>
      </c>
      <c r="F40" s="352">
        <v>7.7354132207830002</v>
      </c>
      <c r="G40" s="353">
        <v>1.933853305195</v>
      </c>
      <c r="H40" s="355">
        <v>0</v>
      </c>
      <c r="I40" s="352">
        <v>0</v>
      </c>
      <c r="J40" s="353">
        <v>-1.933853305195</v>
      </c>
      <c r="K40" s="356">
        <v>0</v>
      </c>
      <c r="L40" s="119"/>
    </row>
    <row r="41" spans="1:12" ht="14.4" customHeight="1" thickBot="1" x14ac:dyDescent="0.35">
      <c r="A41" s="372" t="s">
        <v>238</v>
      </c>
      <c r="B41" s="352">
        <v>0</v>
      </c>
      <c r="C41" s="352">
        <v>14.75</v>
      </c>
      <c r="D41" s="353">
        <v>14.75</v>
      </c>
      <c r="E41" s="364" t="s">
        <v>204</v>
      </c>
      <c r="F41" s="352">
        <v>7.7354132207830002</v>
      </c>
      <c r="G41" s="353">
        <v>1.933853305195</v>
      </c>
      <c r="H41" s="355">
        <v>0</v>
      </c>
      <c r="I41" s="352">
        <v>0</v>
      </c>
      <c r="J41" s="353">
        <v>-1.933853305195</v>
      </c>
      <c r="K41" s="356">
        <v>0</v>
      </c>
      <c r="L41" s="119"/>
    </row>
    <row r="42" spans="1:12" ht="14.4" customHeight="1" thickBot="1" x14ac:dyDescent="0.35">
      <c r="A42" s="373" t="s">
        <v>239</v>
      </c>
      <c r="B42" s="357">
        <v>0</v>
      </c>
      <c r="C42" s="357">
        <v>4.9499999999990001</v>
      </c>
      <c r="D42" s="358">
        <v>4.9499999999990001</v>
      </c>
      <c r="E42" s="362" t="s">
        <v>204</v>
      </c>
      <c r="F42" s="357">
        <v>0</v>
      </c>
      <c r="G42" s="358">
        <v>0</v>
      </c>
      <c r="H42" s="360">
        <v>0</v>
      </c>
      <c r="I42" s="357">
        <v>0</v>
      </c>
      <c r="J42" s="358">
        <v>0</v>
      </c>
      <c r="K42" s="361">
        <v>0</v>
      </c>
      <c r="L42" s="119"/>
    </row>
    <row r="43" spans="1:12" ht="14.4" customHeight="1" thickBot="1" x14ac:dyDescent="0.35">
      <c r="A43" s="374" t="s">
        <v>240</v>
      </c>
      <c r="B43" s="352">
        <v>0</v>
      </c>
      <c r="C43" s="352">
        <v>4.9499999999990001</v>
      </c>
      <c r="D43" s="353">
        <v>4.9499999999990001</v>
      </c>
      <c r="E43" s="364" t="s">
        <v>204</v>
      </c>
      <c r="F43" s="352">
        <v>0</v>
      </c>
      <c r="G43" s="353">
        <v>0</v>
      </c>
      <c r="H43" s="355">
        <v>0</v>
      </c>
      <c r="I43" s="352">
        <v>0</v>
      </c>
      <c r="J43" s="353">
        <v>0</v>
      </c>
      <c r="K43" s="356">
        <v>0</v>
      </c>
      <c r="L43" s="119"/>
    </row>
    <row r="44" spans="1:12" ht="14.4" customHeight="1" thickBot="1" x14ac:dyDescent="0.35">
      <c r="A44" s="376" t="s">
        <v>241</v>
      </c>
      <c r="B44" s="352">
        <v>0</v>
      </c>
      <c r="C44" s="352">
        <v>9.8000000000000007</v>
      </c>
      <c r="D44" s="353">
        <v>9.8000000000000007</v>
      </c>
      <c r="E44" s="364" t="s">
        <v>213</v>
      </c>
      <c r="F44" s="352">
        <v>7.7354132207830002</v>
      </c>
      <c r="G44" s="353">
        <v>1.933853305195</v>
      </c>
      <c r="H44" s="355">
        <v>0</v>
      </c>
      <c r="I44" s="352">
        <v>0</v>
      </c>
      <c r="J44" s="353">
        <v>-1.933853305195</v>
      </c>
      <c r="K44" s="356">
        <v>0</v>
      </c>
      <c r="L44" s="119"/>
    </row>
    <row r="45" spans="1:12" ht="14.4" customHeight="1" thickBot="1" x14ac:dyDescent="0.35">
      <c r="A45" s="374" t="s">
        <v>242</v>
      </c>
      <c r="B45" s="352">
        <v>0</v>
      </c>
      <c r="C45" s="352">
        <v>9.8000000000000007</v>
      </c>
      <c r="D45" s="353">
        <v>9.8000000000000007</v>
      </c>
      <c r="E45" s="364" t="s">
        <v>213</v>
      </c>
      <c r="F45" s="352">
        <v>7.7354132207830002</v>
      </c>
      <c r="G45" s="353">
        <v>1.933853305195</v>
      </c>
      <c r="H45" s="355">
        <v>0</v>
      </c>
      <c r="I45" s="352">
        <v>0</v>
      </c>
      <c r="J45" s="353">
        <v>-1.933853305195</v>
      </c>
      <c r="K45" s="356">
        <v>0</v>
      </c>
      <c r="L45" s="119"/>
    </row>
    <row r="46" spans="1:12" ht="14.4" customHeight="1" thickBot="1" x14ac:dyDescent="0.35">
      <c r="A46" s="370" t="s">
        <v>243</v>
      </c>
      <c r="B46" s="352">
        <v>48</v>
      </c>
      <c r="C46" s="352">
        <v>60.269359999999999</v>
      </c>
      <c r="D46" s="353">
        <v>12.269360000000001</v>
      </c>
      <c r="E46" s="354">
        <v>1.255611666666</v>
      </c>
      <c r="F46" s="352">
        <v>60.976339613748998</v>
      </c>
      <c r="G46" s="353">
        <v>15.244084903437001</v>
      </c>
      <c r="H46" s="355">
        <v>13.1173</v>
      </c>
      <c r="I46" s="352">
        <v>55.714919999999999</v>
      </c>
      <c r="J46" s="353">
        <v>40.470835096561999</v>
      </c>
      <c r="K46" s="356">
        <v>0.91371375115200004</v>
      </c>
      <c r="L46" s="119"/>
    </row>
    <row r="47" spans="1:12" ht="14.4" customHeight="1" thickBot="1" x14ac:dyDescent="0.35">
      <c r="A47" s="371" t="s">
        <v>244</v>
      </c>
      <c r="B47" s="352">
        <v>48</v>
      </c>
      <c r="C47" s="352">
        <v>58.769359999999999</v>
      </c>
      <c r="D47" s="353">
        <v>10.769360000000001</v>
      </c>
      <c r="E47" s="354">
        <v>1.224361666666</v>
      </c>
      <c r="F47" s="352">
        <v>60.976339613748998</v>
      </c>
      <c r="G47" s="353">
        <v>15.244084903437001</v>
      </c>
      <c r="H47" s="355">
        <v>10.22475</v>
      </c>
      <c r="I47" s="352">
        <v>27.822369999999999</v>
      </c>
      <c r="J47" s="353">
        <v>12.578285096562</v>
      </c>
      <c r="K47" s="356">
        <v>0.45628140646400001</v>
      </c>
      <c r="L47" s="119"/>
    </row>
    <row r="48" spans="1:12" ht="14.4" customHeight="1" thickBot="1" x14ac:dyDescent="0.35">
      <c r="A48" s="372" t="s">
        <v>245</v>
      </c>
      <c r="B48" s="352">
        <v>48</v>
      </c>
      <c r="C48" s="352">
        <v>58.769359999999999</v>
      </c>
      <c r="D48" s="353">
        <v>10.769360000000001</v>
      </c>
      <c r="E48" s="354">
        <v>1.224361666666</v>
      </c>
      <c r="F48" s="352">
        <v>60.976339613748998</v>
      </c>
      <c r="G48" s="353">
        <v>15.244084903437001</v>
      </c>
      <c r="H48" s="355">
        <v>10.22475</v>
      </c>
      <c r="I48" s="352">
        <v>27.822369999999999</v>
      </c>
      <c r="J48" s="353">
        <v>12.578285096562</v>
      </c>
      <c r="K48" s="356">
        <v>0.45628140646400001</v>
      </c>
      <c r="L48" s="119"/>
    </row>
    <row r="49" spans="1:12" ht="14.4" customHeight="1" thickBot="1" x14ac:dyDescent="0.35">
      <c r="A49" s="373" t="s">
        <v>246</v>
      </c>
      <c r="B49" s="357">
        <v>0</v>
      </c>
      <c r="C49" s="357">
        <v>0.59584000000000004</v>
      </c>
      <c r="D49" s="358">
        <v>0.59584000000000004</v>
      </c>
      <c r="E49" s="362" t="s">
        <v>213</v>
      </c>
      <c r="F49" s="357">
        <v>1.274917889605</v>
      </c>
      <c r="G49" s="358">
        <v>0.31872947240100002</v>
      </c>
      <c r="H49" s="360">
        <v>0</v>
      </c>
      <c r="I49" s="357">
        <v>0.15561</v>
      </c>
      <c r="J49" s="358">
        <v>-0.163119472401</v>
      </c>
      <c r="K49" s="361">
        <v>0.122054919198</v>
      </c>
      <c r="L49" s="119"/>
    </row>
    <row r="50" spans="1:12" ht="14.4" customHeight="1" thickBot="1" x14ac:dyDescent="0.35">
      <c r="A50" s="374" t="s">
        <v>247</v>
      </c>
      <c r="B50" s="352">
        <v>0</v>
      </c>
      <c r="C50" s="352">
        <v>0.59584000000000004</v>
      </c>
      <c r="D50" s="353">
        <v>0.59584000000000004</v>
      </c>
      <c r="E50" s="364" t="s">
        <v>213</v>
      </c>
      <c r="F50" s="352">
        <v>1.274917889605</v>
      </c>
      <c r="G50" s="353">
        <v>0.31872947240100002</v>
      </c>
      <c r="H50" s="355">
        <v>0</v>
      </c>
      <c r="I50" s="352">
        <v>0.15561</v>
      </c>
      <c r="J50" s="353">
        <v>-0.163119472401</v>
      </c>
      <c r="K50" s="356">
        <v>0.122054919198</v>
      </c>
      <c r="L50" s="119"/>
    </row>
    <row r="51" spans="1:12" ht="14.4" customHeight="1" thickBot="1" x14ac:dyDescent="0.35">
      <c r="A51" s="373" t="s">
        <v>248</v>
      </c>
      <c r="B51" s="357">
        <v>0</v>
      </c>
      <c r="C51" s="357">
        <v>0.39760000000000001</v>
      </c>
      <c r="D51" s="358">
        <v>0.39760000000000001</v>
      </c>
      <c r="E51" s="362" t="s">
        <v>213</v>
      </c>
      <c r="F51" s="357">
        <v>0.39765726080000002</v>
      </c>
      <c r="G51" s="358">
        <v>9.9414315200000006E-2</v>
      </c>
      <c r="H51" s="360">
        <v>0</v>
      </c>
      <c r="I51" s="357">
        <v>0</v>
      </c>
      <c r="J51" s="358">
        <v>-9.9414315200000006E-2</v>
      </c>
      <c r="K51" s="361">
        <v>0</v>
      </c>
      <c r="L51" s="119"/>
    </row>
    <row r="52" spans="1:12" ht="14.4" customHeight="1" thickBot="1" x14ac:dyDescent="0.35">
      <c r="A52" s="374" t="s">
        <v>249</v>
      </c>
      <c r="B52" s="352">
        <v>0</v>
      </c>
      <c r="C52" s="352">
        <v>0.39760000000000001</v>
      </c>
      <c r="D52" s="353">
        <v>0.39760000000000001</v>
      </c>
      <c r="E52" s="364" t="s">
        <v>213</v>
      </c>
      <c r="F52" s="352">
        <v>0.39765726080000002</v>
      </c>
      <c r="G52" s="353">
        <v>9.9414315200000006E-2</v>
      </c>
      <c r="H52" s="355">
        <v>0</v>
      </c>
      <c r="I52" s="352">
        <v>0</v>
      </c>
      <c r="J52" s="353">
        <v>-9.9414315200000006E-2</v>
      </c>
      <c r="K52" s="356">
        <v>0</v>
      </c>
      <c r="L52" s="119"/>
    </row>
    <row r="53" spans="1:12" ht="14.4" customHeight="1" thickBot="1" x14ac:dyDescent="0.35">
      <c r="A53" s="373" t="s">
        <v>250</v>
      </c>
      <c r="B53" s="357">
        <v>48</v>
      </c>
      <c r="C53" s="357">
        <v>56.968600000000002</v>
      </c>
      <c r="D53" s="358">
        <v>8.9686000000000003</v>
      </c>
      <c r="E53" s="359">
        <v>1.1868458333330001</v>
      </c>
      <c r="F53" s="357">
        <v>59.303764463341999</v>
      </c>
      <c r="G53" s="358">
        <v>14.825941115835001</v>
      </c>
      <c r="H53" s="360">
        <v>10.05301</v>
      </c>
      <c r="I53" s="357">
        <v>27.218330000000002</v>
      </c>
      <c r="J53" s="358">
        <v>12.392388884163999</v>
      </c>
      <c r="K53" s="361">
        <v>0.45896462469600002</v>
      </c>
      <c r="L53" s="119"/>
    </row>
    <row r="54" spans="1:12" ht="14.4" customHeight="1" thickBot="1" x14ac:dyDescent="0.35">
      <c r="A54" s="374" t="s">
        <v>251</v>
      </c>
      <c r="B54" s="352">
        <v>23</v>
      </c>
      <c r="C54" s="352">
        <v>23.046009999999999</v>
      </c>
      <c r="D54" s="353">
        <v>4.6009999998999997E-2</v>
      </c>
      <c r="E54" s="354">
        <v>1.002000434782</v>
      </c>
      <c r="F54" s="352">
        <v>24.835623740237999</v>
      </c>
      <c r="G54" s="353">
        <v>6.2089059350589997</v>
      </c>
      <c r="H54" s="355">
        <v>5.6253500000000001</v>
      </c>
      <c r="I54" s="352">
        <v>12.63382</v>
      </c>
      <c r="J54" s="353">
        <v>6.4249140649400003</v>
      </c>
      <c r="K54" s="356">
        <v>0.50869751177300004</v>
      </c>
      <c r="L54" s="119"/>
    </row>
    <row r="55" spans="1:12" ht="14.4" customHeight="1" thickBot="1" x14ac:dyDescent="0.35">
      <c r="A55" s="374" t="s">
        <v>252</v>
      </c>
      <c r="B55" s="352">
        <v>25</v>
      </c>
      <c r="C55" s="352">
        <v>33.92259</v>
      </c>
      <c r="D55" s="353">
        <v>8.9225899999999996</v>
      </c>
      <c r="E55" s="354">
        <v>1.3569036000000001</v>
      </c>
      <c r="F55" s="352">
        <v>34.468140723104</v>
      </c>
      <c r="G55" s="353">
        <v>8.6170351807759999</v>
      </c>
      <c r="H55" s="355">
        <v>4.4276600000000004</v>
      </c>
      <c r="I55" s="352">
        <v>14.58451</v>
      </c>
      <c r="J55" s="353">
        <v>5.9674748192229998</v>
      </c>
      <c r="K55" s="356">
        <v>0.42313016292799999</v>
      </c>
      <c r="L55" s="119"/>
    </row>
    <row r="56" spans="1:12" ht="14.4" customHeight="1" thickBot="1" x14ac:dyDescent="0.35">
      <c r="A56" s="373" t="s">
        <v>253</v>
      </c>
      <c r="B56" s="357">
        <v>0</v>
      </c>
      <c r="C56" s="357">
        <v>0.80732000000000004</v>
      </c>
      <c r="D56" s="358">
        <v>0.80732000000000004</v>
      </c>
      <c r="E56" s="362" t="s">
        <v>204</v>
      </c>
      <c r="F56" s="357">
        <v>0</v>
      </c>
      <c r="G56" s="358">
        <v>0</v>
      </c>
      <c r="H56" s="360">
        <v>0.17174</v>
      </c>
      <c r="I56" s="357">
        <v>0.44843</v>
      </c>
      <c r="J56" s="358">
        <v>0.44843</v>
      </c>
      <c r="K56" s="363" t="s">
        <v>204</v>
      </c>
      <c r="L56" s="119"/>
    </row>
    <row r="57" spans="1:12" ht="14.4" customHeight="1" thickBot="1" x14ac:dyDescent="0.35">
      <c r="A57" s="374" t="s">
        <v>254</v>
      </c>
      <c r="B57" s="352">
        <v>0</v>
      </c>
      <c r="C57" s="352">
        <v>0.60794999999999999</v>
      </c>
      <c r="D57" s="353">
        <v>0.60794999999999999</v>
      </c>
      <c r="E57" s="364" t="s">
        <v>204</v>
      </c>
      <c r="F57" s="352">
        <v>0</v>
      </c>
      <c r="G57" s="353">
        <v>0</v>
      </c>
      <c r="H57" s="355">
        <v>0</v>
      </c>
      <c r="I57" s="352">
        <v>0</v>
      </c>
      <c r="J57" s="353">
        <v>0</v>
      </c>
      <c r="K57" s="365" t="s">
        <v>204</v>
      </c>
      <c r="L57" s="119"/>
    </row>
    <row r="58" spans="1:12" ht="14.4" customHeight="1" thickBot="1" x14ac:dyDescent="0.35">
      <c r="A58" s="374" t="s">
        <v>255</v>
      </c>
      <c r="B58" s="352">
        <v>0</v>
      </c>
      <c r="C58" s="352">
        <v>0.19936999999999999</v>
      </c>
      <c r="D58" s="353">
        <v>0.19936999999999999</v>
      </c>
      <c r="E58" s="364" t="s">
        <v>204</v>
      </c>
      <c r="F58" s="352">
        <v>0</v>
      </c>
      <c r="G58" s="353">
        <v>0</v>
      </c>
      <c r="H58" s="355">
        <v>0.17174</v>
      </c>
      <c r="I58" s="352">
        <v>0.44843</v>
      </c>
      <c r="J58" s="353">
        <v>0.44843</v>
      </c>
      <c r="K58" s="365" t="s">
        <v>204</v>
      </c>
      <c r="L58" s="119"/>
    </row>
    <row r="59" spans="1:12" ht="14.4" customHeight="1" thickBot="1" x14ac:dyDescent="0.35">
      <c r="A59" s="371" t="s">
        <v>256</v>
      </c>
      <c r="B59" s="352">
        <v>0</v>
      </c>
      <c r="C59" s="352">
        <v>1.5</v>
      </c>
      <c r="D59" s="353">
        <v>1.5</v>
      </c>
      <c r="E59" s="364" t="s">
        <v>204</v>
      </c>
      <c r="F59" s="352">
        <v>0</v>
      </c>
      <c r="G59" s="353">
        <v>0</v>
      </c>
      <c r="H59" s="355">
        <v>2.89255</v>
      </c>
      <c r="I59" s="352">
        <v>27.89255</v>
      </c>
      <c r="J59" s="353">
        <v>27.89255</v>
      </c>
      <c r="K59" s="365" t="s">
        <v>204</v>
      </c>
      <c r="L59" s="119"/>
    </row>
    <row r="60" spans="1:12" ht="14.4" customHeight="1" thickBot="1" x14ac:dyDescent="0.35">
      <c r="A60" s="372" t="s">
        <v>257</v>
      </c>
      <c r="B60" s="352">
        <v>0</v>
      </c>
      <c r="C60" s="352">
        <v>1.5</v>
      </c>
      <c r="D60" s="353">
        <v>1.5</v>
      </c>
      <c r="E60" s="364" t="s">
        <v>213</v>
      </c>
      <c r="F60" s="352">
        <v>0</v>
      </c>
      <c r="G60" s="353">
        <v>0</v>
      </c>
      <c r="H60" s="355">
        <v>0</v>
      </c>
      <c r="I60" s="352">
        <v>25</v>
      </c>
      <c r="J60" s="353">
        <v>25</v>
      </c>
      <c r="K60" s="365" t="s">
        <v>204</v>
      </c>
      <c r="L60" s="119"/>
    </row>
    <row r="61" spans="1:12" ht="14.4" customHeight="1" thickBot="1" x14ac:dyDescent="0.35">
      <c r="A61" s="373" t="s">
        <v>258</v>
      </c>
      <c r="B61" s="357">
        <v>0</v>
      </c>
      <c r="C61" s="357">
        <v>1.5</v>
      </c>
      <c r="D61" s="358">
        <v>1.5</v>
      </c>
      <c r="E61" s="362" t="s">
        <v>213</v>
      </c>
      <c r="F61" s="357">
        <v>0</v>
      </c>
      <c r="G61" s="358">
        <v>0</v>
      </c>
      <c r="H61" s="360">
        <v>0</v>
      </c>
      <c r="I61" s="357">
        <v>25</v>
      </c>
      <c r="J61" s="358">
        <v>25</v>
      </c>
      <c r="K61" s="363" t="s">
        <v>204</v>
      </c>
      <c r="L61" s="119"/>
    </row>
    <row r="62" spans="1:12" ht="14.4" customHeight="1" thickBot="1" x14ac:dyDescent="0.35">
      <c r="A62" s="374" t="s">
        <v>259</v>
      </c>
      <c r="B62" s="352">
        <v>0</v>
      </c>
      <c r="C62" s="352">
        <v>1.5</v>
      </c>
      <c r="D62" s="353">
        <v>1.5</v>
      </c>
      <c r="E62" s="364" t="s">
        <v>213</v>
      </c>
      <c r="F62" s="352">
        <v>0</v>
      </c>
      <c r="G62" s="353">
        <v>0</v>
      </c>
      <c r="H62" s="355">
        <v>0</v>
      </c>
      <c r="I62" s="352">
        <v>25</v>
      </c>
      <c r="J62" s="353">
        <v>25</v>
      </c>
      <c r="K62" s="365" t="s">
        <v>204</v>
      </c>
      <c r="L62" s="119"/>
    </row>
    <row r="63" spans="1:12" ht="14.4" customHeight="1" thickBot="1" x14ac:dyDescent="0.35">
      <c r="A63" s="377" t="s">
        <v>260</v>
      </c>
      <c r="B63" s="357">
        <v>0</v>
      </c>
      <c r="C63" s="357">
        <v>0</v>
      </c>
      <c r="D63" s="358">
        <v>0</v>
      </c>
      <c r="E63" s="362" t="s">
        <v>204</v>
      </c>
      <c r="F63" s="357">
        <v>0</v>
      </c>
      <c r="G63" s="358">
        <v>0</v>
      </c>
      <c r="H63" s="360">
        <v>2.89255</v>
      </c>
      <c r="I63" s="357">
        <v>2.89255</v>
      </c>
      <c r="J63" s="358">
        <v>2.89255</v>
      </c>
      <c r="K63" s="363" t="s">
        <v>204</v>
      </c>
      <c r="L63" s="119"/>
    </row>
    <row r="64" spans="1:12" ht="14.4" customHeight="1" thickBot="1" x14ac:dyDescent="0.35">
      <c r="A64" s="373" t="s">
        <v>261</v>
      </c>
      <c r="B64" s="357">
        <v>0</v>
      </c>
      <c r="C64" s="357">
        <v>0</v>
      </c>
      <c r="D64" s="358">
        <v>0</v>
      </c>
      <c r="E64" s="359">
        <v>1</v>
      </c>
      <c r="F64" s="357">
        <v>0</v>
      </c>
      <c r="G64" s="358">
        <v>0</v>
      </c>
      <c r="H64" s="360">
        <v>-5.0000000000000002E-5</v>
      </c>
      <c r="I64" s="357">
        <v>-5.0000000000000002E-5</v>
      </c>
      <c r="J64" s="358">
        <v>-5.0000000000000002E-5</v>
      </c>
      <c r="K64" s="363" t="s">
        <v>204</v>
      </c>
      <c r="L64" s="119"/>
    </row>
    <row r="65" spans="1:12" ht="14.4" customHeight="1" thickBot="1" x14ac:dyDescent="0.35">
      <c r="A65" s="374" t="s">
        <v>262</v>
      </c>
      <c r="B65" s="352">
        <v>0</v>
      </c>
      <c r="C65" s="352">
        <v>0</v>
      </c>
      <c r="D65" s="353">
        <v>0</v>
      </c>
      <c r="E65" s="354">
        <v>1</v>
      </c>
      <c r="F65" s="352">
        <v>0</v>
      </c>
      <c r="G65" s="353">
        <v>0</v>
      </c>
      <c r="H65" s="355">
        <v>-5.0000000000000002E-5</v>
      </c>
      <c r="I65" s="352">
        <v>-5.0000000000000002E-5</v>
      </c>
      <c r="J65" s="353">
        <v>-5.0000000000000002E-5</v>
      </c>
      <c r="K65" s="365" t="s">
        <v>213</v>
      </c>
      <c r="L65" s="119"/>
    </row>
    <row r="66" spans="1:12" ht="14.4" customHeight="1" thickBot="1" x14ac:dyDescent="0.35">
      <c r="A66" s="373" t="s">
        <v>263</v>
      </c>
      <c r="B66" s="357">
        <v>0</v>
      </c>
      <c r="C66" s="357">
        <v>0</v>
      </c>
      <c r="D66" s="358">
        <v>0</v>
      </c>
      <c r="E66" s="362" t="s">
        <v>204</v>
      </c>
      <c r="F66" s="357">
        <v>0</v>
      </c>
      <c r="G66" s="358">
        <v>0</v>
      </c>
      <c r="H66" s="360">
        <v>2.8925999999999998</v>
      </c>
      <c r="I66" s="357">
        <v>2.8925999999999998</v>
      </c>
      <c r="J66" s="358">
        <v>2.8925999999999998</v>
      </c>
      <c r="K66" s="363" t="s">
        <v>213</v>
      </c>
      <c r="L66" s="119"/>
    </row>
    <row r="67" spans="1:12" ht="14.4" customHeight="1" thickBot="1" x14ac:dyDescent="0.35">
      <c r="A67" s="374" t="s">
        <v>264</v>
      </c>
      <c r="B67" s="352">
        <v>0</v>
      </c>
      <c r="C67" s="352">
        <v>0</v>
      </c>
      <c r="D67" s="353">
        <v>0</v>
      </c>
      <c r="E67" s="354">
        <v>1</v>
      </c>
      <c r="F67" s="352">
        <v>0</v>
      </c>
      <c r="G67" s="353">
        <v>0</v>
      </c>
      <c r="H67" s="355">
        <v>2.8925999999999998</v>
      </c>
      <c r="I67" s="352">
        <v>2.8925999999999998</v>
      </c>
      <c r="J67" s="353">
        <v>2.8925999999999998</v>
      </c>
      <c r="K67" s="365" t="s">
        <v>213</v>
      </c>
      <c r="L67" s="119"/>
    </row>
    <row r="68" spans="1:12" ht="14.4" customHeight="1" thickBot="1" x14ac:dyDescent="0.35">
      <c r="A68" s="370" t="s">
        <v>265</v>
      </c>
      <c r="B68" s="352">
        <v>278.85684610689401</v>
      </c>
      <c r="C68" s="352">
        <v>321.21145000000001</v>
      </c>
      <c r="D68" s="353">
        <v>42.354603893106002</v>
      </c>
      <c r="E68" s="354">
        <v>1.151886548544</v>
      </c>
      <c r="F68" s="352">
        <v>0</v>
      </c>
      <c r="G68" s="353">
        <v>0</v>
      </c>
      <c r="H68" s="355">
        <v>21.982130000000002</v>
      </c>
      <c r="I68" s="352">
        <v>69.898110000000003</v>
      </c>
      <c r="J68" s="353">
        <v>69.898110000000003</v>
      </c>
      <c r="K68" s="365" t="s">
        <v>213</v>
      </c>
      <c r="L68" s="119"/>
    </row>
    <row r="69" spans="1:12" ht="14.4" customHeight="1" thickBot="1" x14ac:dyDescent="0.35">
      <c r="A69" s="375" t="s">
        <v>266</v>
      </c>
      <c r="B69" s="357">
        <v>278.85684610689401</v>
      </c>
      <c r="C69" s="357">
        <v>321.21145000000001</v>
      </c>
      <c r="D69" s="358">
        <v>42.354603893106002</v>
      </c>
      <c r="E69" s="359">
        <v>1.151886548544</v>
      </c>
      <c r="F69" s="357">
        <v>0</v>
      </c>
      <c r="G69" s="358">
        <v>0</v>
      </c>
      <c r="H69" s="360">
        <v>21.982130000000002</v>
      </c>
      <c r="I69" s="357">
        <v>69.898110000000003</v>
      </c>
      <c r="J69" s="358">
        <v>69.898110000000003</v>
      </c>
      <c r="K69" s="363" t="s">
        <v>213</v>
      </c>
      <c r="L69" s="119"/>
    </row>
    <row r="70" spans="1:12" ht="14.4" customHeight="1" thickBot="1" x14ac:dyDescent="0.35">
      <c r="A70" s="377" t="s">
        <v>29</v>
      </c>
      <c r="B70" s="357">
        <v>278.85684610689401</v>
      </c>
      <c r="C70" s="357">
        <v>321.21145000000001</v>
      </c>
      <c r="D70" s="358">
        <v>42.354603893106002</v>
      </c>
      <c r="E70" s="359">
        <v>1.151886548544</v>
      </c>
      <c r="F70" s="357">
        <v>0</v>
      </c>
      <c r="G70" s="358">
        <v>0</v>
      </c>
      <c r="H70" s="360">
        <v>21.982130000000002</v>
      </c>
      <c r="I70" s="357">
        <v>69.898110000000003</v>
      </c>
      <c r="J70" s="358">
        <v>69.898110000000003</v>
      </c>
      <c r="K70" s="363" t="s">
        <v>213</v>
      </c>
      <c r="L70" s="119"/>
    </row>
    <row r="71" spans="1:12" ht="14.4" customHeight="1" thickBot="1" x14ac:dyDescent="0.35">
      <c r="A71" s="373" t="s">
        <v>267</v>
      </c>
      <c r="B71" s="357">
        <v>119.44878591118599</v>
      </c>
      <c r="C71" s="357">
        <v>122.49681</v>
      </c>
      <c r="D71" s="358">
        <v>3.0480240888129999</v>
      </c>
      <c r="E71" s="359">
        <v>1.0255174137230001</v>
      </c>
      <c r="F71" s="357">
        <v>0</v>
      </c>
      <c r="G71" s="358">
        <v>0</v>
      </c>
      <c r="H71" s="360">
        <v>8.3627500000000001</v>
      </c>
      <c r="I71" s="357">
        <v>25.93721</v>
      </c>
      <c r="J71" s="358">
        <v>25.93721</v>
      </c>
      <c r="K71" s="363" t="s">
        <v>213</v>
      </c>
      <c r="L71" s="119"/>
    </row>
    <row r="72" spans="1:12" ht="14.4" customHeight="1" thickBot="1" x14ac:dyDescent="0.35">
      <c r="A72" s="374" t="s">
        <v>268</v>
      </c>
      <c r="B72" s="352">
        <v>119.44878591118599</v>
      </c>
      <c r="C72" s="352">
        <v>122.49681</v>
      </c>
      <c r="D72" s="353">
        <v>3.0480240888129999</v>
      </c>
      <c r="E72" s="354">
        <v>1.0255174137230001</v>
      </c>
      <c r="F72" s="352">
        <v>0</v>
      </c>
      <c r="G72" s="353">
        <v>0</v>
      </c>
      <c r="H72" s="355">
        <v>8.3627500000000001</v>
      </c>
      <c r="I72" s="352">
        <v>25.93721</v>
      </c>
      <c r="J72" s="353">
        <v>25.93721</v>
      </c>
      <c r="K72" s="365" t="s">
        <v>213</v>
      </c>
      <c r="L72" s="119"/>
    </row>
    <row r="73" spans="1:12" ht="14.4" customHeight="1" thickBot="1" x14ac:dyDescent="0.35">
      <c r="A73" s="373" t="s">
        <v>269</v>
      </c>
      <c r="B73" s="357">
        <v>159.40806019570701</v>
      </c>
      <c r="C73" s="357">
        <v>198.71464</v>
      </c>
      <c r="D73" s="358">
        <v>39.306579804291999</v>
      </c>
      <c r="E73" s="359">
        <v>1.24657837098</v>
      </c>
      <c r="F73" s="357">
        <v>0</v>
      </c>
      <c r="G73" s="358">
        <v>0</v>
      </c>
      <c r="H73" s="360">
        <v>13.61938</v>
      </c>
      <c r="I73" s="357">
        <v>43.960900000000002</v>
      </c>
      <c r="J73" s="358">
        <v>43.960900000000002</v>
      </c>
      <c r="K73" s="363" t="s">
        <v>213</v>
      </c>
      <c r="L73" s="119"/>
    </row>
    <row r="74" spans="1:12" ht="14.4" customHeight="1" thickBot="1" x14ac:dyDescent="0.35">
      <c r="A74" s="374" t="s">
        <v>270</v>
      </c>
      <c r="B74" s="352">
        <v>159.40806019570701</v>
      </c>
      <c r="C74" s="352">
        <v>198.71464</v>
      </c>
      <c r="D74" s="353">
        <v>39.306579804291999</v>
      </c>
      <c r="E74" s="354">
        <v>1.24657837098</v>
      </c>
      <c r="F74" s="352">
        <v>0</v>
      </c>
      <c r="G74" s="353">
        <v>0</v>
      </c>
      <c r="H74" s="355">
        <v>13.61938</v>
      </c>
      <c r="I74" s="352">
        <v>43.960900000000002</v>
      </c>
      <c r="J74" s="353">
        <v>43.960900000000002</v>
      </c>
      <c r="K74" s="365" t="s">
        <v>213</v>
      </c>
      <c r="L74" s="119"/>
    </row>
    <row r="75" spans="1:12" ht="14.4" customHeight="1" thickBot="1" x14ac:dyDescent="0.35">
      <c r="A75" s="378"/>
      <c r="B75" s="352">
        <v>-2015.37988363258</v>
      </c>
      <c r="C75" s="352">
        <v>-2312.1840299999999</v>
      </c>
      <c r="D75" s="353">
        <v>-296.80414636741801</v>
      </c>
      <c r="E75" s="354">
        <v>1.147269578692</v>
      </c>
      <c r="F75" s="352">
        <v>-1864.50283607347</v>
      </c>
      <c r="G75" s="353">
        <v>-466.12570901836699</v>
      </c>
      <c r="H75" s="355">
        <v>-141.05826999999999</v>
      </c>
      <c r="I75" s="352">
        <v>-437.34055999999998</v>
      </c>
      <c r="J75" s="353">
        <v>28.785149018365999</v>
      </c>
      <c r="K75" s="356">
        <v>0.234561488209</v>
      </c>
      <c r="L75" s="119"/>
    </row>
    <row r="76" spans="1:12" ht="14.4" customHeight="1" thickBot="1" x14ac:dyDescent="0.35">
      <c r="A76" s="379" t="s">
        <v>41</v>
      </c>
      <c r="B76" s="366">
        <v>-2015.37988363258</v>
      </c>
      <c r="C76" s="366">
        <v>-2312.1840299999999</v>
      </c>
      <c r="D76" s="367">
        <v>-296.80414636741801</v>
      </c>
      <c r="E76" s="368">
        <v>-1.0457371734059999</v>
      </c>
      <c r="F76" s="366">
        <v>-1864.50283607347</v>
      </c>
      <c r="G76" s="367">
        <v>-466.12570901836699</v>
      </c>
      <c r="H76" s="366">
        <v>-141.05826999999999</v>
      </c>
      <c r="I76" s="366">
        <v>-437.34055999999998</v>
      </c>
      <c r="J76" s="367">
        <v>28.785149018365999</v>
      </c>
      <c r="K76" s="369">
        <v>0.234561488209</v>
      </c>
      <c r="L76" s="119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1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292" t="s">
        <v>80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19" ht="15" thickBot="1" x14ac:dyDescent="0.35">
      <c r="A2" s="189" t="s">
        <v>203</v>
      </c>
      <c r="B2" s="190"/>
    </row>
    <row r="3" spans="1:19" x14ac:dyDescent="0.3">
      <c r="A3" s="306" t="s">
        <v>136</v>
      </c>
      <c r="B3" s="307"/>
      <c r="C3" s="308" t="s">
        <v>125</v>
      </c>
      <c r="D3" s="309"/>
      <c r="E3" s="309"/>
      <c r="F3" s="310"/>
      <c r="G3" s="311" t="s">
        <v>126</v>
      </c>
      <c r="H3" s="312"/>
      <c r="I3" s="312"/>
      <c r="J3" s="313"/>
      <c r="K3" s="314" t="s">
        <v>135</v>
      </c>
      <c r="L3" s="315"/>
      <c r="M3" s="315"/>
      <c r="N3" s="315"/>
      <c r="O3" s="316"/>
      <c r="P3" s="312" t="s">
        <v>178</v>
      </c>
      <c r="Q3" s="312"/>
      <c r="R3" s="312"/>
      <c r="S3" s="313"/>
    </row>
    <row r="4" spans="1:19" ht="15" thickBot="1" x14ac:dyDescent="0.35">
      <c r="A4" s="325">
        <v>2018</v>
      </c>
      <c r="B4" s="326"/>
      <c r="C4" s="327" t="s">
        <v>177</v>
      </c>
      <c r="D4" s="329" t="s">
        <v>81</v>
      </c>
      <c r="E4" s="329" t="s">
        <v>49</v>
      </c>
      <c r="F4" s="304" t="s">
        <v>42</v>
      </c>
      <c r="G4" s="319" t="s">
        <v>127</v>
      </c>
      <c r="H4" s="321" t="s">
        <v>131</v>
      </c>
      <c r="I4" s="321" t="s">
        <v>176</v>
      </c>
      <c r="J4" s="323" t="s">
        <v>128</v>
      </c>
      <c r="K4" s="301" t="s">
        <v>175</v>
      </c>
      <c r="L4" s="302"/>
      <c r="M4" s="302"/>
      <c r="N4" s="303"/>
      <c r="O4" s="304" t="s">
        <v>174</v>
      </c>
      <c r="P4" s="293" t="s">
        <v>173</v>
      </c>
      <c r="Q4" s="293" t="s">
        <v>138</v>
      </c>
      <c r="R4" s="295" t="s">
        <v>49</v>
      </c>
      <c r="S4" s="297" t="s">
        <v>137</v>
      </c>
    </row>
    <row r="5" spans="1:19" s="246" customFormat="1" ht="19.2" customHeight="1" x14ac:dyDescent="0.3">
      <c r="A5" s="299" t="s">
        <v>172</v>
      </c>
      <c r="B5" s="300"/>
      <c r="C5" s="328"/>
      <c r="D5" s="330"/>
      <c r="E5" s="330"/>
      <c r="F5" s="305"/>
      <c r="G5" s="320"/>
      <c r="H5" s="322"/>
      <c r="I5" s="322"/>
      <c r="J5" s="324"/>
      <c r="K5" s="249" t="s">
        <v>129</v>
      </c>
      <c r="L5" s="248" t="s">
        <v>130</v>
      </c>
      <c r="M5" s="248" t="s">
        <v>171</v>
      </c>
      <c r="N5" s="247" t="s">
        <v>2</v>
      </c>
      <c r="O5" s="305"/>
      <c r="P5" s="294"/>
      <c r="Q5" s="294"/>
      <c r="R5" s="296"/>
      <c r="S5" s="298"/>
    </row>
    <row r="6" spans="1:19" ht="15" thickBot="1" x14ac:dyDescent="0.35">
      <c r="A6" s="317" t="s">
        <v>124</v>
      </c>
      <c r="B6" s="318"/>
      <c r="C6" s="245">
        <f ca="1">SUM(Tabulka[01 uv_sk])/2</f>
        <v>2.15</v>
      </c>
      <c r="D6" s="243"/>
      <c r="E6" s="243"/>
      <c r="F6" s="242"/>
      <c r="G6" s="244">
        <f ca="1">SUM(Tabulka[05 h_vram])/2</f>
        <v>1070</v>
      </c>
      <c r="H6" s="243">
        <f ca="1">SUM(Tabulka[06 h_naduv])/2</f>
        <v>0</v>
      </c>
      <c r="I6" s="243">
        <f ca="1">SUM(Tabulka[07 h_nadzk])/2</f>
        <v>0</v>
      </c>
      <c r="J6" s="242">
        <f ca="1">SUM(Tabulka[08 h_oon])/2</f>
        <v>0</v>
      </c>
      <c r="K6" s="244">
        <f ca="1">SUM(Tabulka[09 m_kl])/2</f>
        <v>0</v>
      </c>
      <c r="L6" s="243">
        <f ca="1">SUM(Tabulka[10 m_gr])/2</f>
        <v>0</v>
      </c>
      <c r="M6" s="243">
        <f ca="1">SUM(Tabulka[11 m_jo])/2</f>
        <v>25000</v>
      </c>
      <c r="N6" s="243">
        <f ca="1">SUM(Tabulka[12 m_oc])/2</f>
        <v>25000</v>
      </c>
      <c r="O6" s="242">
        <f ca="1">SUM(Tabulka[13 m_sk])/2</f>
        <v>286626</v>
      </c>
      <c r="P6" s="241">
        <f ca="1">SUM(Tabulka[14_vzsk])/2</f>
        <v>9950</v>
      </c>
      <c r="Q6" s="241">
        <f ca="1">SUM(Tabulka[15_vzpl])/2</f>
        <v>1573.6895684631768</v>
      </c>
      <c r="R6" s="240">
        <f ca="1">IF(Q6=0,0,P6/Q6)</f>
        <v>6.3227209478912059</v>
      </c>
      <c r="S6" s="239">
        <f ca="1">Q6-P6</f>
        <v>-8376.3104315368237</v>
      </c>
    </row>
    <row r="7" spans="1:19" hidden="1" x14ac:dyDescent="0.3">
      <c r="A7" s="238" t="s">
        <v>170</v>
      </c>
      <c r="B7" s="237" t="s">
        <v>169</v>
      </c>
      <c r="C7" s="236" t="s">
        <v>168</v>
      </c>
      <c r="D7" s="235" t="s">
        <v>167</v>
      </c>
      <c r="E7" s="234" t="s">
        <v>166</v>
      </c>
      <c r="F7" s="233" t="s">
        <v>165</v>
      </c>
      <c r="G7" s="232" t="s">
        <v>164</v>
      </c>
      <c r="H7" s="230" t="s">
        <v>163</v>
      </c>
      <c r="I7" s="230" t="s">
        <v>162</v>
      </c>
      <c r="J7" s="229" t="s">
        <v>161</v>
      </c>
      <c r="K7" s="231" t="s">
        <v>160</v>
      </c>
      <c r="L7" s="230" t="s">
        <v>159</v>
      </c>
      <c r="M7" s="230" t="s">
        <v>158</v>
      </c>
      <c r="N7" s="229" t="s">
        <v>157</v>
      </c>
      <c r="O7" s="228" t="s">
        <v>156</v>
      </c>
      <c r="P7" s="227" t="s">
        <v>155</v>
      </c>
      <c r="Q7" s="226" t="s">
        <v>154</v>
      </c>
      <c r="R7" s="225" t="s">
        <v>153</v>
      </c>
      <c r="S7" s="224" t="s">
        <v>152</v>
      </c>
    </row>
    <row r="8" spans="1:19" x14ac:dyDescent="0.3">
      <c r="A8" s="221" t="s">
        <v>151</v>
      </c>
      <c r="B8" s="220"/>
      <c r="C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</v>
      </c>
      <c r="H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245492</v>
      </c>
      <c r="P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1573.6895684631768</v>
      </c>
      <c r="R8" s="223">
        <f ca="1">IF(Tabulka[[#This Row],[15_vzpl]]=0,"",Tabulka[[#This Row],[14_vzsk]]/Tabulka[[#This Row],[15_vzpl]])</f>
        <v>6.3227209478912059</v>
      </c>
      <c r="S8" s="222">
        <f ca="1">IF(Tabulka[[#This Row],[15_vzpl]]-Tabulka[[#This Row],[14_vzsk]]=0,"",Tabulka[[#This Row],[15_vzpl]]-Tabulka[[#This Row],[14_vzsk]])</f>
        <v>-8376.3104315368237</v>
      </c>
    </row>
    <row r="9" spans="1:19" x14ac:dyDescent="0.3">
      <c r="A9" s="221">
        <v>99</v>
      </c>
      <c r="B9" s="220" t="s">
        <v>277</v>
      </c>
      <c r="C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1573.6895684631768</v>
      </c>
      <c r="R9" s="223">
        <f ca="1">IF(Tabulka[[#This Row],[15_vzpl]]=0,"",Tabulka[[#This Row],[14_vzsk]]/Tabulka[[#This Row],[15_vzpl]])</f>
        <v>6.3227209478912059</v>
      </c>
      <c r="S9" s="222">
        <f ca="1">IF(Tabulka[[#This Row],[15_vzpl]]-Tabulka[[#This Row],[14_vzsk]]=0,"",Tabulka[[#This Row],[15_vzpl]]-Tabulka[[#This Row],[14_vzsk]])</f>
        <v>-8376.3104315368237</v>
      </c>
    </row>
    <row r="10" spans="1:19" x14ac:dyDescent="0.3">
      <c r="A10" s="221">
        <v>100</v>
      </c>
      <c r="B10" s="220" t="s">
        <v>278</v>
      </c>
      <c r="C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H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56648</v>
      </c>
      <c r="P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3" t="str">
        <f ca="1">IF(Tabulka[[#This Row],[15_vzpl]]=0,"",Tabulka[[#This Row],[14_vzsk]]/Tabulka[[#This Row],[15_vzpl]])</f>
        <v/>
      </c>
      <c r="S10" s="222" t="str">
        <f ca="1">IF(Tabulka[[#This Row],[15_vzpl]]-Tabulka[[#This Row],[14_vzsk]]=0,"",Tabulka[[#This Row],[15_vzpl]]-Tabulka[[#This Row],[14_vzsk]])</f>
        <v/>
      </c>
    </row>
    <row r="11" spans="1:19" x14ac:dyDescent="0.3">
      <c r="A11" s="221">
        <v>101</v>
      </c>
      <c r="B11" s="220" t="s">
        <v>279</v>
      </c>
      <c r="C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</v>
      </c>
      <c r="H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188844</v>
      </c>
      <c r="P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3" t="str">
        <f ca="1">IF(Tabulka[[#This Row],[15_vzpl]]=0,"",Tabulka[[#This Row],[14_vzsk]]/Tabulka[[#This Row],[15_vzpl]])</f>
        <v/>
      </c>
      <c r="S11" s="222" t="str">
        <f ca="1">IF(Tabulka[[#This Row],[15_vzpl]]-Tabulka[[#This Row],[14_vzsk]]=0,"",Tabulka[[#This Row],[15_vzpl]]-Tabulka[[#This Row],[14_vzsk]])</f>
        <v/>
      </c>
    </row>
    <row r="12" spans="1:19" x14ac:dyDescent="0.3">
      <c r="A12" s="221" t="s">
        <v>271</v>
      </c>
      <c r="B12" s="220"/>
      <c r="C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5.000000000000001E-2</v>
      </c>
      <c r="D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H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7818</v>
      </c>
      <c r="P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3" t="str">
        <f ca="1">IF(Tabulka[[#This Row],[15_vzpl]]=0,"",Tabulka[[#This Row],[14_vzsk]]/Tabulka[[#This Row],[15_vzpl]])</f>
        <v/>
      </c>
      <c r="S12" s="222" t="str">
        <f ca="1">IF(Tabulka[[#This Row],[15_vzpl]]-Tabulka[[#This Row],[14_vzsk]]=0,"",Tabulka[[#This Row],[15_vzpl]]-Tabulka[[#This Row],[14_vzsk]])</f>
        <v/>
      </c>
    </row>
    <row r="13" spans="1:19" x14ac:dyDescent="0.3">
      <c r="A13" s="221">
        <v>526</v>
      </c>
      <c r="B13" s="220" t="s">
        <v>280</v>
      </c>
      <c r="C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5.000000000000001E-2</v>
      </c>
      <c r="D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H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7818</v>
      </c>
      <c r="P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3" t="str">
        <f ca="1">IF(Tabulka[[#This Row],[15_vzpl]]=0,"",Tabulka[[#This Row],[14_vzsk]]/Tabulka[[#This Row],[15_vzpl]])</f>
        <v/>
      </c>
      <c r="S13" s="222" t="str">
        <f ca="1">IF(Tabulka[[#This Row],[15_vzpl]]-Tabulka[[#This Row],[14_vzsk]]=0,"",Tabulka[[#This Row],[15_vzpl]]-Tabulka[[#This Row],[14_vzsk]])</f>
        <v/>
      </c>
    </row>
    <row r="14" spans="1:19" x14ac:dyDescent="0.3">
      <c r="A14" s="221" t="s">
        <v>272</v>
      </c>
      <c r="B14" s="220"/>
      <c r="C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H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33316</v>
      </c>
      <c r="P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3" t="str">
        <f ca="1">IF(Tabulka[[#This Row],[15_vzpl]]=0,"",Tabulka[[#This Row],[14_vzsk]]/Tabulka[[#This Row],[15_vzpl]])</f>
        <v/>
      </c>
      <c r="S14" s="222" t="str">
        <f ca="1">IF(Tabulka[[#This Row],[15_vzpl]]-Tabulka[[#This Row],[14_vzsk]]=0,"",Tabulka[[#This Row],[15_vzpl]]-Tabulka[[#This Row],[14_vzsk]])</f>
        <v/>
      </c>
    </row>
    <row r="15" spans="1:19" x14ac:dyDescent="0.3">
      <c r="A15" s="221">
        <v>30</v>
      </c>
      <c r="B15" s="220" t="s">
        <v>281</v>
      </c>
      <c r="C15" s="21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5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H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33316</v>
      </c>
      <c r="P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3" t="str">
        <f ca="1">IF(Tabulka[[#This Row],[15_vzpl]]=0,"",Tabulka[[#This Row],[14_vzsk]]/Tabulka[[#This Row],[15_vzpl]])</f>
        <v/>
      </c>
      <c r="S15" s="222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180</v>
      </c>
    </row>
    <row r="17" spans="1:1" x14ac:dyDescent="0.3">
      <c r="A17" s="85" t="s">
        <v>108</v>
      </c>
    </row>
    <row r="18" spans="1:1" x14ac:dyDescent="0.3">
      <c r="A18" s="86" t="s">
        <v>150</v>
      </c>
    </row>
    <row r="19" spans="1:1" x14ac:dyDescent="0.3">
      <c r="A19" s="213" t="s">
        <v>149</v>
      </c>
    </row>
    <row r="20" spans="1:1" x14ac:dyDescent="0.3">
      <c r="A20" s="192" t="s">
        <v>134</v>
      </c>
    </row>
    <row r="21" spans="1:1" x14ac:dyDescent="0.3">
      <c r="A21" s="194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276</v>
      </c>
    </row>
    <row r="2" spans="1:19" x14ac:dyDescent="0.3">
      <c r="A2" s="189" t="s">
        <v>203</v>
      </c>
    </row>
    <row r="3" spans="1:19" x14ac:dyDescent="0.3">
      <c r="A3" s="259" t="s">
        <v>111</v>
      </c>
      <c r="B3" s="258">
        <v>2018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3">
      <c r="A4" s="257" t="s">
        <v>112</v>
      </c>
      <c r="B4" s="256">
        <v>1</v>
      </c>
      <c r="C4" s="251">
        <v>1</v>
      </c>
      <c r="D4" s="251" t="s">
        <v>151</v>
      </c>
      <c r="E4" s="250">
        <v>1.5</v>
      </c>
      <c r="F4" s="250"/>
      <c r="G4" s="250"/>
      <c r="H4" s="250"/>
      <c r="I4" s="250">
        <v>256</v>
      </c>
      <c r="J4" s="250"/>
      <c r="K4" s="250"/>
      <c r="L4" s="250"/>
      <c r="M4" s="250"/>
      <c r="N4" s="250"/>
      <c r="O4" s="250"/>
      <c r="P4" s="250"/>
      <c r="Q4" s="250">
        <v>81946</v>
      </c>
      <c r="R4" s="250">
        <v>1950</v>
      </c>
      <c r="S4" s="250">
        <v>524.56318948772559</v>
      </c>
    </row>
    <row r="5" spans="1:19" x14ac:dyDescent="0.3">
      <c r="A5" s="255" t="s">
        <v>113</v>
      </c>
      <c r="B5" s="254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57" t="s">
        <v>114</v>
      </c>
      <c r="B6" s="256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55" t="s">
        <v>115</v>
      </c>
      <c r="B7" s="254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57" t="s">
        <v>116</v>
      </c>
      <c r="B8" s="256">
        <v>5</v>
      </c>
      <c r="C8">
        <v>1</v>
      </c>
      <c r="D8" t="s">
        <v>271</v>
      </c>
      <c r="E8">
        <v>0.05</v>
      </c>
      <c r="I8">
        <v>9.1999999999999993</v>
      </c>
      <c r="Q8">
        <v>2606</v>
      </c>
    </row>
    <row r="9" spans="1:19" x14ac:dyDescent="0.3">
      <c r="A9" s="255" t="s">
        <v>117</v>
      </c>
      <c r="B9" s="254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57" t="s">
        <v>118</v>
      </c>
      <c r="B10" s="256">
        <v>7</v>
      </c>
      <c r="C10">
        <v>1</v>
      </c>
      <c r="D10" t="s">
        <v>272</v>
      </c>
      <c r="E10">
        <v>0.6</v>
      </c>
      <c r="I10">
        <v>110.4</v>
      </c>
      <c r="Q10">
        <v>10347</v>
      </c>
    </row>
    <row r="11" spans="1:19" x14ac:dyDescent="0.3">
      <c r="A11" s="255" t="s">
        <v>119</v>
      </c>
      <c r="B11" s="254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57" t="s">
        <v>120</v>
      </c>
      <c r="B12" s="256">
        <v>9</v>
      </c>
      <c r="C12" t="s">
        <v>273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55" t="s">
        <v>121</v>
      </c>
      <c r="B13" s="254">
        <v>10</v>
      </c>
      <c r="C13">
        <v>2</v>
      </c>
      <c r="D13" t="s">
        <v>151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57" t="s">
        <v>122</v>
      </c>
      <c r="B14" s="256">
        <v>11</v>
      </c>
      <c r="C14">
        <v>2</v>
      </c>
      <c r="D14">
        <v>99</v>
      </c>
      <c r="S14">
        <v>524.56318948772559</v>
      </c>
    </row>
    <row r="15" spans="1:19" x14ac:dyDescent="0.3">
      <c r="A15" s="255" t="s">
        <v>123</v>
      </c>
      <c r="B15" s="254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53" t="s">
        <v>111</v>
      </c>
      <c r="B16" s="252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271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272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274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151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271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272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275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1" t="s">
        <v>284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</row>
    <row r="2" spans="1:28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0</v>
      </c>
      <c r="C3" s="179">
        <f t="shared" ref="C3:Z3" si="0">SUBTOTAL(9,C6:C1048576)</f>
        <v>0</v>
      </c>
      <c r="D3" s="179"/>
      <c r="E3" s="179">
        <f>SUBTOTAL(9,E6:E1048576)/4</f>
        <v>0</v>
      </c>
      <c r="F3" s="179"/>
      <c r="G3" s="179">
        <f t="shared" si="0"/>
        <v>0</v>
      </c>
      <c r="H3" s="179">
        <f>SUBTOTAL(9,H6:H1048576)/4</f>
        <v>355</v>
      </c>
      <c r="I3" s="182" t="str">
        <f>IF(B3&lt;&gt;0,H3/B3,"")</f>
        <v/>
      </c>
      <c r="J3" s="180" t="str">
        <f>IF(E3&lt;&gt;0,H3/E3,"")</f>
        <v/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2" t="s">
        <v>143</v>
      </c>
      <c r="B4" s="333" t="s">
        <v>73</v>
      </c>
      <c r="C4" s="334"/>
      <c r="D4" s="335"/>
      <c r="E4" s="334"/>
      <c r="F4" s="335"/>
      <c r="G4" s="334"/>
      <c r="H4" s="334"/>
      <c r="I4" s="335"/>
      <c r="J4" s="336"/>
      <c r="K4" s="333" t="s">
        <v>74</v>
      </c>
      <c r="L4" s="335"/>
      <c r="M4" s="334"/>
      <c r="N4" s="334"/>
      <c r="O4" s="335"/>
      <c r="P4" s="334"/>
      <c r="Q4" s="334"/>
      <c r="R4" s="335"/>
      <c r="S4" s="336"/>
      <c r="T4" s="333" t="s">
        <v>75</v>
      </c>
      <c r="U4" s="335"/>
      <c r="V4" s="334"/>
      <c r="W4" s="334"/>
      <c r="X4" s="335"/>
      <c r="Y4" s="334"/>
      <c r="Z4" s="334"/>
      <c r="AA4" s="335"/>
      <c r="AB4" s="336"/>
    </row>
    <row r="5" spans="1:28" ht="14.4" customHeight="1" thickBot="1" x14ac:dyDescent="0.35">
      <c r="A5" s="380"/>
      <c r="B5" s="381">
        <v>2015</v>
      </c>
      <c r="C5" s="382"/>
      <c r="D5" s="382"/>
      <c r="E5" s="382">
        <v>2017</v>
      </c>
      <c r="F5" s="382"/>
      <c r="G5" s="382"/>
      <c r="H5" s="382">
        <v>2018</v>
      </c>
      <c r="I5" s="383" t="s">
        <v>144</v>
      </c>
      <c r="J5" s="384" t="s">
        <v>1</v>
      </c>
      <c r="K5" s="381">
        <v>2015</v>
      </c>
      <c r="L5" s="382"/>
      <c r="M5" s="382"/>
      <c r="N5" s="382">
        <v>2017</v>
      </c>
      <c r="O5" s="382"/>
      <c r="P5" s="382"/>
      <c r="Q5" s="382">
        <v>2018</v>
      </c>
      <c r="R5" s="383" t="s">
        <v>144</v>
      </c>
      <c r="S5" s="384" t="s">
        <v>1</v>
      </c>
      <c r="T5" s="381">
        <v>2015</v>
      </c>
      <c r="U5" s="382"/>
      <c r="V5" s="382"/>
      <c r="W5" s="382">
        <v>2017</v>
      </c>
      <c r="X5" s="382"/>
      <c r="Y5" s="382"/>
      <c r="Z5" s="382">
        <v>2018</v>
      </c>
      <c r="AA5" s="383" t="s">
        <v>144</v>
      </c>
      <c r="AB5" s="384" t="s">
        <v>1</v>
      </c>
    </row>
    <row r="6" spans="1:28" ht="14.4" customHeight="1" x14ac:dyDescent="0.3">
      <c r="A6" s="385" t="s">
        <v>282</v>
      </c>
      <c r="B6" s="386"/>
      <c r="C6" s="387"/>
      <c r="D6" s="387"/>
      <c r="E6" s="386"/>
      <c r="F6" s="387"/>
      <c r="G6" s="387"/>
      <c r="H6" s="386">
        <v>355</v>
      </c>
      <c r="I6" s="387"/>
      <c r="J6" s="387"/>
      <c r="K6" s="386"/>
      <c r="L6" s="387"/>
      <c r="M6" s="387"/>
      <c r="N6" s="386"/>
      <c r="O6" s="387"/>
      <c r="P6" s="387"/>
      <c r="Q6" s="386"/>
      <c r="R6" s="387"/>
      <c r="S6" s="387"/>
      <c r="T6" s="386"/>
      <c r="U6" s="387"/>
      <c r="V6" s="387"/>
      <c r="W6" s="386"/>
      <c r="X6" s="387"/>
      <c r="Y6" s="387"/>
      <c r="Z6" s="386"/>
      <c r="AA6" s="387"/>
      <c r="AB6" s="388"/>
    </row>
    <row r="7" spans="1:28" ht="14.4" customHeight="1" thickBot="1" x14ac:dyDescent="0.35">
      <c r="A7" s="392" t="s">
        <v>283</v>
      </c>
      <c r="B7" s="389"/>
      <c r="C7" s="390"/>
      <c r="D7" s="390"/>
      <c r="E7" s="389"/>
      <c r="F7" s="390"/>
      <c r="G7" s="390"/>
      <c r="H7" s="389">
        <v>355</v>
      </c>
      <c r="I7" s="390"/>
      <c r="J7" s="390"/>
      <c r="K7" s="389"/>
      <c r="L7" s="390"/>
      <c r="M7" s="390"/>
      <c r="N7" s="389"/>
      <c r="O7" s="390"/>
      <c r="P7" s="390"/>
      <c r="Q7" s="389"/>
      <c r="R7" s="390"/>
      <c r="S7" s="390"/>
      <c r="T7" s="389"/>
      <c r="U7" s="390"/>
      <c r="V7" s="390"/>
      <c r="W7" s="389"/>
      <c r="X7" s="390"/>
      <c r="Y7" s="390"/>
      <c r="Z7" s="389"/>
      <c r="AA7" s="390"/>
      <c r="AB7" s="391"/>
    </row>
    <row r="8" spans="1:28" ht="14.4" customHeight="1" thickBot="1" x14ac:dyDescent="0.35"/>
    <row r="9" spans="1:28" ht="14.4" customHeight="1" x14ac:dyDescent="0.3">
      <c r="A9" s="385" t="s">
        <v>285</v>
      </c>
      <c r="B9" s="386"/>
      <c r="C9" s="387"/>
      <c r="D9" s="387"/>
      <c r="E9" s="386"/>
      <c r="F9" s="387"/>
      <c r="G9" s="387"/>
      <c r="H9" s="386">
        <v>355</v>
      </c>
      <c r="I9" s="387"/>
      <c r="J9" s="388"/>
    </row>
    <row r="10" spans="1:28" ht="14.4" customHeight="1" thickBot="1" x14ac:dyDescent="0.35">
      <c r="A10" s="392" t="s">
        <v>286</v>
      </c>
      <c r="B10" s="389"/>
      <c r="C10" s="390"/>
      <c r="D10" s="390"/>
      <c r="E10" s="389"/>
      <c r="F10" s="390"/>
      <c r="G10" s="390"/>
      <c r="H10" s="389">
        <v>355</v>
      </c>
      <c r="I10" s="390"/>
      <c r="J10" s="391"/>
    </row>
    <row r="11" spans="1:28" ht="14.4" customHeight="1" x14ac:dyDescent="0.3">
      <c r="A11" s="393" t="s">
        <v>180</v>
      </c>
    </row>
    <row r="12" spans="1:28" ht="14.4" customHeight="1" x14ac:dyDescent="0.3">
      <c r="A12" s="394" t="s">
        <v>287</v>
      </c>
    </row>
    <row r="13" spans="1:28" ht="14.4" customHeight="1" x14ac:dyDescent="0.3">
      <c r="A13" s="393" t="s">
        <v>288</v>
      </c>
    </row>
    <row r="14" spans="1:28" ht="14.4" customHeight="1" x14ac:dyDescent="0.3">
      <c r="A14" s="393" t="s">
        <v>289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2018-04-24T10:23:31Z</dcterms:modified>
</cp:coreProperties>
</file>