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9" i="431"/>
  <c r="D13" i="431"/>
  <c r="E9" i="431"/>
  <c r="E13" i="431"/>
  <c r="F9" i="431"/>
  <c r="F13" i="431"/>
  <c r="G9" i="431"/>
  <c r="G13" i="431"/>
  <c r="H13" i="431"/>
  <c r="I9" i="431"/>
  <c r="J9" i="431"/>
  <c r="K9" i="431"/>
  <c r="L9" i="431"/>
  <c r="M9" i="431"/>
  <c r="N9" i="431"/>
  <c r="O13" i="431"/>
  <c r="P13" i="431"/>
  <c r="Q13" i="431"/>
  <c r="J11" i="431"/>
  <c r="K15" i="431"/>
  <c r="M11" i="431"/>
  <c r="N15" i="431"/>
  <c r="P11" i="431"/>
  <c r="Q11" i="431"/>
  <c r="C10" i="431"/>
  <c r="C14" i="431"/>
  <c r="D10" i="431"/>
  <c r="D14" i="431"/>
  <c r="E10" i="431"/>
  <c r="E14" i="431"/>
  <c r="F10" i="431"/>
  <c r="F14" i="431"/>
  <c r="G10" i="431"/>
  <c r="G14" i="431"/>
  <c r="H10" i="431"/>
  <c r="H14" i="431"/>
  <c r="I10" i="431"/>
  <c r="I14" i="431"/>
  <c r="J10" i="431"/>
  <c r="J14" i="431"/>
  <c r="K10" i="431"/>
  <c r="K14" i="431"/>
  <c r="L10" i="431"/>
  <c r="L14" i="431"/>
  <c r="M10" i="431"/>
  <c r="M14" i="431"/>
  <c r="N10" i="431"/>
  <c r="N14" i="431"/>
  <c r="O10" i="431"/>
  <c r="O14" i="431"/>
  <c r="P10" i="431"/>
  <c r="P14" i="431"/>
  <c r="Q10" i="431"/>
  <c r="Q14" i="431"/>
  <c r="C11" i="431"/>
  <c r="C15" i="431"/>
  <c r="D11" i="431"/>
  <c r="D15" i="431"/>
  <c r="E11" i="431"/>
  <c r="E15" i="431"/>
  <c r="F11" i="431"/>
  <c r="F15" i="431"/>
  <c r="G11" i="431"/>
  <c r="G15" i="431"/>
  <c r="H11" i="431"/>
  <c r="H15" i="431"/>
  <c r="I11" i="431"/>
  <c r="J15" i="431"/>
  <c r="L11" i="431"/>
  <c r="M15" i="431"/>
  <c r="O15" i="431"/>
  <c r="Q15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N12" i="431"/>
  <c r="N16" i="431"/>
  <c r="O12" i="431"/>
  <c r="O16" i="431"/>
  <c r="P12" i="431"/>
  <c r="P16" i="431"/>
  <c r="Q12" i="431"/>
  <c r="Q16" i="431"/>
  <c r="H9" i="431"/>
  <c r="I13" i="431"/>
  <c r="J13" i="431"/>
  <c r="K13" i="431"/>
  <c r="L13" i="431"/>
  <c r="M13" i="431"/>
  <c r="N13" i="431"/>
  <c r="O9" i="431"/>
  <c r="P9" i="431"/>
  <c r="Q9" i="431"/>
  <c r="I15" i="431"/>
  <c r="K11" i="431"/>
  <c r="L15" i="431"/>
  <c r="N11" i="431"/>
  <c r="O11" i="431"/>
  <c r="P15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R9" i="431" l="1"/>
  <c r="S9" i="431"/>
  <c r="R16" i="431"/>
  <c r="S16" i="431"/>
  <c r="R12" i="431"/>
  <c r="S12" i="431"/>
  <c r="R15" i="431"/>
  <c r="S15" i="431"/>
  <c r="R14" i="431"/>
  <c r="S14" i="431"/>
  <c r="R10" i="431"/>
  <c r="S10" i="431"/>
  <c r="R11" i="431"/>
  <c r="S11" i="431"/>
  <c r="R13" i="431"/>
  <c r="S13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9" i="414"/>
  <c r="A7" i="414"/>
  <c r="A20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C14" i="414"/>
  <c r="D14" i="414"/>
  <c r="D4" i="414"/>
  <c r="D17" i="414"/>
  <c r="D10" i="414" l="1"/>
  <c r="C13" i="414" l="1"/>
  <c r="C7" i="414"/>
  <c r="D9" i="414" l="1"/>
  <c r="E9" i="414" s="1"/>
  <c r="E21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C22" i="414"/>
  <c r="D22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4" i="383"/>
  <c r="A23" i="383"/>
  <c r="A21" i="383"/>
  <c r="A19" i="383"/>
  <c r="A16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<sst xmlns="http://schemas.openxmlformats.org/spreadsheetml/2006/main" count="1121" uniqueCount="428">
  <si>
    <t>NS</t>
  </si>
  <si>
    <t>Účet</t>
  </si>
  <si>
    <t>%</t>
  </si>
  <si>
    <t>Celkem</t>
  </si>
  <si>
    <t>Klinika</t>
  </si>
  <si>
    <t>Oddělení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</si>
  <si>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</si>
  <si>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</si>
  <si>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</si>
  <si>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</si>
  <si>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</si>
  <si>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</si>
  <si>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</si>
  <si>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</si>
  <si>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</si>
  <si>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</si>
  <si>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</si>
  <si>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</si>
  <si>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</si>
  <si>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</si>
  <si>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</si>
  <si>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</si>
  <si>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</si>
  <si>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</si>
  <si>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</si>
  <si>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</si>
  <si>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</si>
  <si>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</si>
  <si>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</si>
  <si>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</si>
  <si>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</si>
  <si>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</si>
  <si>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</si>
  <si>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</si>
  <si>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</si>
  <si>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</si>
  <si>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</si>
  <si>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</si>
  <si>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</si>
  <si>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</si>
  <si>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</si>
  <si>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</si>
  <si>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</si>
  <si>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</si>
  <si>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</si>
  <si>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</si>
  <si>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</si>
  <si>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</si>
  <si>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</si>
  <si>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</si>
  <si>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</si>
  <si>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</si>
  <si>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</si>
  <si>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</si>
  <si>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</si>
  <si>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</si>
  <si>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</si>
  <si>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</si>
  <si>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</si>
  <si>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</si>
  <si>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</si>
  <si>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</si>
  <si>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</si>
  <si>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</si>
  <si>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</si>
  <si>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</si>
  <si>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</si>
  <si>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</si>
  <si>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</si>
  <si>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</si>
  <si>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</si>
  <si>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</si>
  <si>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</si>
  <si>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</si>
  <si>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</si>
  <si>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</si>
  <si>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</si>
  <si>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</si>
  <si>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</si>
  <si>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</si>
  <si>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</si>
  <si>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</si>
  <si>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</si>
  <si>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</si>
  <si>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</si>
  <si>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</si>
  <si>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</si>
  <si>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</si>
  <si>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</si>
  <si>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</si>
  <si>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</si>
  <si>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</si>
  <si>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</si>
  <si>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</si>
  <si>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</si>
  <si>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</si>
  <si>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</si>
  <si>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</si>
  <si>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</si>
  <si>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</si>
  <si>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</si>
  <si>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</si>
  <si>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</si>
  <si>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</si>
  <si>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</si>
  <si>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</si>
  <si>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</si>
  <si>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</si>
  <si>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</si>
  <si>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</si>
  <si>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</si>
  <si>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</si>
  <si>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</si>
  <si>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</si>
  <si>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</si>
  <si>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</si>
  <si>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</si>
  <si>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</si>
  <si>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</si>
  <si>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</si>
  <si>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</si>
  <si>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</si>
  <si>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</si>
  <si>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</si>
  <si>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</si>
  <si>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</si>
  <si>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</si>
  <si>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</si>
  <si>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</si>
  <si>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</si>
  <si>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Přehledové sestavy</t>
  </si>
  <si>
    <t>Akt. měsíc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</si>
  <si>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</si>
  <si>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</si>
  <si>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</si>
  <si>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</si>
  <si>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</si>
  <si>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</si>
  <si>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</si>
  <si>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</si>
  <si>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</si>
  <si>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</si>
  <si>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</si>
  <si>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</si>
  <si>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</si>
  <si>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</si>
  <si>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</si>
  <si>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</si>
  <si>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</si>
  <si>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</si>
  <si>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</si>
  <si>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</si>
  <si>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</si>
  <si>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</si>
  <si>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</si>
  <si>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</si>
  <si>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</si>
  <si>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</si>
  <si>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</si>
  <si>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</si>
  <si>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</si>
  <si>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</si>
  <si>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</si>
  <si>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</si>
  <si>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</si>
  <si>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</si>
  <si>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</si>
  <si>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</si>
  <si>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</si>
  <si>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</si>
  <si>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</si>
  <si>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</si>
  <si>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</si>
  <si>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</si>
  <si>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</si>
  <si>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</si>
  <si>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</si>
  <si>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</si>
  <si>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</si>
  <si>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</si>
  <si>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</si>
  <si>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</si>
  <si>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</si>
  <si>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</si>
  <si>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</si>
  <si>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</si>
  <si>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</si>
  <si>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</si>
  <si>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</si>
  <si>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</si>
  <si>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</si>
  <si>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</si>
  <si>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</si>
  <si>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</si>
  <si>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</si>
  <si>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</si>
  <si>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</si>
  <si>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</si>
  <si>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</si>
  <si>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</si>
  <si>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</si>
  <si>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</si>
  <si>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</si>
  <si>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</si>
  <si>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</si>
  <si>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</si>
  <si>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</si>
  <si>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</si>
  <si>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</si>
  <si>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</si>
  <si>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</si>
  <si>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</si>
  <si>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</si>
  <si>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</si>
  <si>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</si>
  <si>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</si>
  <si>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</si>
  <si>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</si>
  <si>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</si>
  <si>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</si>
  <si>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</si>
  <si>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</si>
  <si>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</si>
  <si>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</si>
  <si>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</si>
  <si>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</si>
  <si>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</si>
  <si>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</si>
  <si>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</si>
  <si>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</si>
  <si>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</si>
  <si>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</si>
  <si>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</si>
  <si>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</si>
  <si>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</si>
  <si>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</si>
  <si>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</si>
  <si>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</si>
  <si>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</si>
  <si>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</si>
  <si>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</si>
  <si>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</si>
  <si>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</si>
  <si>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</si>
  <si>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</si>
  <si>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</si>
  <si>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</si>
  <si>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</si>
  <si>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50117004     tiskopisy a kanc.potřeby (sk.V42, 43)</t>
  </si>
  <si>
    <t>50117015     IT - spotřební materiál (sk. P37, 38, 48)</t>
  </si>
  <si>
    <t>50119     DDHM a textil</t>
  </si>
  <si>
    <t>--</t>
  </si>
  <si>
    <t>50119077     OOPP a prádlo pro zaměstnance (sk.T14)</t>
  </si>
  <si>
    <t>51     Služby</t>
  </si>
  <si>
    <t>51102     Technika a stavby</t>
  </si>
  <si>
    <t>51102025     opravy - hl.energetik</t>
  </si>
  <si>
    <t>51201     Cestovné zaměstnanců-tuzemské</t>
  </si>
  <si>
    <t>51201000     cestovné z mezd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</si>
  <si>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</si>
  <si>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</si>
  <si>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</si>
  <si>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</si>
  <si>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</si>
  <si>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</si>
  <si>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</si>
  <si>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</si>
  <si>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</si>
  <si>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</si>
  <si>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</si>
  <si>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</si>
  <si>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</si>
  <si>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</si>
  <si>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</si>
  <si>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</si>
  <si>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</si>
  <si>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</si>
  <si>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</si>
  <si>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</si>
  <si>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</si>
  <si>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54972     Školení, kongres.popl.tuzemské - lékaři (pouze OPMČ)</t>
  </si>
  <si>
    <t>54972000     školení, kongres.popl.tuzemské - lékaři (pouze OPMČ)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</si>
  <si>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</si>
  <si>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</si>
  <si>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</si>
  <si>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</si>
  <si>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</si>
  <si>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</si>
  <si>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</si>
  <si>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</si>
  <si>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</si>
  <si>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</si>
  <si>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</si>
  <si>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</si>
  <si>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</si>
  <si>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</si>
  <si>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</si>
  <si>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</si>
  <si>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</si>
  <si>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</si>
  <si>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</si>
  <si>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</si>
  <si>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</si>
  <si>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</si>
  <si>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</si>
  <si>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</si>
  <si>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</si>
  <si>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</si>
  <si>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</si>
  <si>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</si>
  <si>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Ústav farmakologie</t>
  </si>
  <si>
    <t>HVLP</t>
  </si>
  <si>
    <t>43</t>
  </si>
  <si>
    <t>SumaKL</t>
  </si>
  <si>
    <t/>
  </si>
  <si>
    <t>89301432</t>
  </si>
  <si>
    <t>Oddělení klinické farmakologie Celkem</t>
  </si>
  <si>
    <t>SumaNS</t>
  </si>
  <si>
    <t>mezeraNS</t>
  </si>
  <si>
    <t>Ústav farmakologie Celkem</t>
  </si>
  <si>
    <t>* Legenda</t>
  </si>
  <si>
    <t>DIAPZT = Pomůcky pro diabetiky, jejichž název začíná slovem "Pumpa"</t>
  </si>
  <si>
    <t>Strojil Jan</t>
  </si>
  <si>
    <t>Urbánek Karel</t>
  </si>
  <si>
    <t>GLUKAGON</t>
  </si>
  <si>
    <t>83741</t>
  </si>
  <si>
    <t>GLUCAGEN 1 MG HYPOKIT</t>
  </si>
  <si>
    <t>1MG INJ PSO LQF 1+1ML+STŘ</t>
  </si>
  <si>
    <t>MEFENOXALON</t>
  </si>
  <si>
    <t>85656</t>
  </si>
  <si>
    <t>DORSIFLEX</t>
  </si>
  <si>
    <t>200MG TBL NOB 30</t>
  </si>
  <si>
    <t>PERINDOPRIL</t>
  </si>
  <si>
    <t>177336</t>
  </si>
  <si>
    <t>PERINDOPRIL MYLAN</t>
  </si>
  <si>
    <t>8MG TBL NOB 90</t>
  </si>
  <si>
    <t>RIVAROXABAN</t>
  </si>
  <si>
    <t>168903</t>
  </si>
  <si>
    <t>XARELTO</t>
  </si>
  <si>
    <t>20MG TBL FLM 28 II</t>
  </si>
  <si>
    <t>Oddělení klinické farmakologie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</si>
  <si>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</si>
  <si>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</si>
  <si>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</si>
  <si>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C09AA04 - PERINDOPRIL</t>
  </si>
  <si>
    <t>C09AA04</t>
  </si>
  <si>
    <t>Přehled plnění PL - Preskripce léčivých přípravků - orientační přehled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</si>
  <si>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</si>
  <si>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</si>
  <si>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</si>
  <si>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</si>
  <si>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</si>
  <si>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</si>
  <si>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</si>
  <si>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</si>
  <si>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</si>
  <si>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</si>
  <si>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</si>
  <si>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</si>
  <si>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</si>
  <si>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</si>
  <si>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</si>
  <si>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</si>
  <si>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</si>
  <si>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</si>
  <si>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</si>
  <si>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</si>
  <si>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</si>
  <si>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</si>
  <si>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</si>
  <si>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</si>
  <si>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</si>
  <si>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</si>
  <si>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</si>
  <si>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</si>
  <si>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</si>
  <si>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</si>
  <si>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</si>
  <si>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</si>
  <si>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</si>
  <si>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</si>
  <si>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 xml:space="preserve">CÍLENÉ VYŠETŘENÍ KLINICKÝM FARMAKOLOGEM           </t>
  </si>
  <si>
    <t>26023</t>
  </si>
  <si>
    <t>KONTROLNÍ VYŠETŘENÍ KLINICKÝM FARMAKOLOGEM</t>
  </si>
  <si>
    <t>99113</t>
  </si>
  <si>
    <t>FARMAKOLOGICKÉ ZHODNOCENÍ LÉČBY KLINICKÝM FARMAKOL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</si>
  <si>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</si>
  <si>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</si>
  <si>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</si>
  <si>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</si>
  <si>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</si>
  <si>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</si>
  <si>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</si>
  <si>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</si>
  <si>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</si>
  <si>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</si>
  <si>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</si>
  <si>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</si>
  <si>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</si>
  <si>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</si>
  <si>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</si>
  <si>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</si>
  <si>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</si>
  <si>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</si>
  <si>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</si>
  <si>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</si>
  <si>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</si>
  <si>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</si>
  <si>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</si>
  <si>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 xml:space="preserve">KONTROLNÍ VYŠETŘENÍ KLINICKÝM FARMAKOLOGEM        </t>
  </si>
  <si>
    <t>02</t>
  </si>
  <si>
    <t>03</t>
  </si>
  <si>
    <t>04</t>
  </si>
  <si>
    <t>05</t>
  </si>
  <si>
    <t>07</t>
  </si>
  <si>
    <t>08</t>
  </si>
  <si>
    <t>10</t>
  </si>
  <si>
    <t>11</t>
  </si>
  <si>
    <t>14</t>
  </si>
  <si>
    <t>16</t>
  </si>
  <si>
    <t>17</t>
  </si>
  <si>
    <t>20</t>
  </si>
  <si>
    <t>21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</si>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</sst>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65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29" fillId="0" borderId="3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9" fontId="33" fillId="0" borderId="27" xfId="0" applyNumberFormat="1" applyFont="1" applyFill="1" applyBorder="1"/>
    <xf numFmtId="9" fontId="33" fillId="0" borderId="86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6" xfId="0" quotePrefix="1" applyNumberFormat="1" applyFont="1" applyFill="1" applyBorder="1" applyAlignment="1">
      <alignment horizontal="center" vertical="center"/>
    </xf>
    <xf numFmtId="0" fontId="26" fillId="4" borderId="84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5" xfId="0" applyFont="1" applyBorder="1"/>
    <xf numFmtId="0" fontId="32" fillId="2" borderId="75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7" xfId="0" applyNumberFormat="1" applyFont="1" applyBorder="1" applyAlignment="1">
      <alignment horizontal="right" vertical="center"/>
    </xf>
    <xf numFmtId="9" fontId="40" fillId="0" borderId="100" xfId="0" applyNumberFormat="1" applyFont="1" applyBorder="1" applyAlignment="1">
      <alignment horizontal="right" vertical="center"/>
    </xf>
    <xf numFmtId="173" fontId="40" fillId="0" borderId="100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horizontal="right" vertical="center"/>
    </xf>
    <xf numFmtId="173" fontId="40" fillId="0" borderId="75" xfId="0" applyNumberFormat="1" applyFont="1" applyBorder="1" applyAlignment="1">
      <alignment vertical="center"/>
    </xf>
    <xf numFmtId="173" fontId="40" fillId="0" borderId="101" xfId="0" applyNumberFormat="1" applyFont="1" applyBorder="1" applyAlignment="1">
      <alignment vertical="center"/>
    </xf>
    <xf numFmtId="173" fontId="40" fillId="0" borderId="100" xfId="0" applyNumberFormat="1" applyFont="1" applyBorder="1" applyAlignment="1">
      <alignment vertical="center"/>
    </xf>
    <xf numFmtId="173" fontId="40" fillId="0" borderId="73" xfId="0" applyNumberFormat="1" applyFont="1" applyBorder="1" applyAlignment="1">
      <alignment vertical="center"/>
    </xf>
    <xf numFmtId="173" fontId="40" fillId="0" borderId="102" xfId="0" applyNumberFormat="1" applyFont="1" applyBorder="1" applyAlignment="1">
      <alignment vertical="center"/>
    </xf>
    <xf numFmtId="174" fontId="40" fillId="0" borderId="103" xfId="0" applyNumberFormat="1" applyFont="1" applyBorder="1" applyAlignment="1">
      <alignment vertical="center"/>
    </xf>
    <xf numFmtId="174" fontId="40" fillId="0" borderId="100" xfId="0" applyNumberFormat="1" applyFont="1" applyBorder="1" applyAlignment="1">
      <alignment vertical="center"/>
    </xf>
    <xf numFmtId="174" fontId="40" fillId="0" borderId="73" xfId="0" applyNumberFormat="1" applyFont="1" applyBorder="1" applyAlignment="1">
      <alignment vertical="center"/>
    </xf>
    <xf numFmtId="168" fontId="40" fillId="0" borderId="96" xfId="0" applyNumberFormat="1" applyFont="1" applyBorder="1" applyAlignment="1">
      <alignment vertical="center"/>
    </xf>
    <xf numFmtId="0" fontId="33" fillId="0" borderId="101" xfId="0" applyFont="1" applyBorder="1" applyAlignment="1">
      <alignment horizontal="center" vertical="center"/>
    </xf>
    <xf numFmtId="166" fontId="40" fillId="2" borderId="73" xfId="0" applyNumberFormat="1" applyFont="1" applyFill="1" applyBorder="1" applyAlignment="1">
      <alignment horizontal="center" vertical="center"/>
    </xf>
    <xf numFmtId="173" fontId="40" fillId="0" borderId="82" xfId="0" applyNumberFormat="1" applyFont="1" applyBorder="1" applyAlignment="1">
      <alignment horizontal="right" vertical="center"/>
    </xf>
    <xf numFmtId="175" fontId="40" fillId="0" borderId="81" xfId="0" applyNumberFormat="1" applyFont="1" applyBorder="1" applyAlignment="1">
      <alignment horizontal="right" vertical="center"/>
    </xf>
    <xf numFmtId="173" fontId="40" fillId="0" borderId="81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3" fontId="40" fillId="0" borderId="80" xfId="0" applyNumberFormat="1" applyFont="1" applyBorder="1" applyAlignment="1">
      <alignment vertical="center"/>
    </xf>
    <xf numFmtId="176" fontId="40" fillId="0" borderId="8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86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0" fontId="41" fillId="9" borderId="8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9" xfId="0" applyNumberFormat="1" applyFont="1" applyFill="1" applyBorder="1"/>
    <xf numFmtId="3" fontId="0" fillId="7" borderId="74" xfId="0" applyNumberFormat="1" applyFont="1" applyFill="1" applyBorder="1"/>
    <xf numFmtId="0" fontId="0" fillId="0" borderId="110" xfId="0" applyNumberFormat="1" applyFont="1" applyBorder="1"/>
    <xf numFmtId="3" fontId="0" fillId="0" borderId="111" xfId="0" applyNumberFormat="1" applyFont="1" applyBorder="1"/>
    <xf numFmtId="0" fontId="0" fillId="7" borderId="110" xfId="0" applyNumberFormat="1" applyFont="1" applyFill="1" applyBorder="1"/>
    <xf numFmtId="3" fontId="0" fillId="7" borderId="111" xfId="0" applyNumberFormat="1" applyFont="1" applyFill="1" applyBorder="1"/>
    <xf numFmtId="0" fontId="53" fillId="8" borderId="110" xfId="0" applyNumberFormat="1" applyFont="1" applyFill="1" applyBorder="1"/>
    <xf numFmtId="3" fontId="53" fillId="8" borderId="111" xfId="0" applyNumberFormat="1" applyFont="1" applyFill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0" fillId="0" borderId="2" xfId="0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88" xfId="0" applyNumberFormat="1" applyFont="1" applyFill="1" applyBorder="1" applyAlignment="1">
      <alignment horizontal="center" vertical="center"/>
    </xf>
    <xf numFmtId="3" fontId="55" fillId="4" borderId="98" xfId="0" applyNumberFormat="1" applyFont="1" applyFill="1" applyBorder="1" applyAlignment="1">
      <alignment horizontal="center" vertical="center"/>
    </xf>
    <xf numFmtId="9" fontId="55" fillId="4" borderId="88" xfId="0" applyNumberFormat="1" applyFont="1" applyFill="1" applyBorder="1" applyAlignment="1">
      <alignment horizontal="center" vertical="center"/>
    </xf>
    <xf numFmtId="9" fontId="55" fillId="4" borderId="98" xfId="0" applyNumberFormat="1" applyFont="1" applyFill="1" applyBorder="1" applyAlignment="1">
      <alignment horizontal="center" vertical="center"/>
    </xf>
    <xf numFmtId="3" fontId="55" fillId="4" borderId="89" xfId="0" applyNumberFormat="1" applyFont="1" applyFill="1" applyBorder="1" applyAlignment="1">
      <alignment horizontal="center" vertical="center" wrapText="1"/>
    </xf>
    <xf numFmtId="3" fontId="55" fillId="4" borderId="99" xfId="0" applyNumberFormat="1" applyFont="1" applyFill="1" applyBorder="1" applyAlignment="1">
      <alignment horizontal="center" vertical="center" wrapText="1"/>
    </xf>
    <xf numFmtId="0" fontId="40" fillId="2" borderId="106" xfId="0" applyFont="1" applyFill="1" applyBorder="1" applyAlignment="1">
      <alignment horizontal="center" vertical="center" wrapText="1"/>
    </xf>
    <xf numFmtId="0" fontId="40" fillId="2" borderId="91" xfId="0" applyFont="1" applyFill="1" applyBorder="1" applyAlignment="1">
      <alignment horizontal="center" vertical="center" wrapText="1"/>
    </xf>
    <xf numFmtId="0" fontId="55" fillId="9" borderId="108" xfId="0" applyFont="1" applyFill="1" applyBorder="1" applyAlignment="1">
      <alignment horizontal="center"/>
    </xf>
    <xf numFmtId="0" fontId="55" fillId="9" borderId="107" xfId="0" applyFont="1" applyFill="1" applyBorder="1" applyAlignment="1">
      <alignment horizontal="center"/>
    </xf>
    <xf numFmtId="0" fontId="55" fillId="9" borderId="87" xfId="0" applyFont="1" applyFill="1" applyBorder="1" applyAlignment="1">
      <alignment horizontal="center"/>
    </xf>
    <xf numFmtId="0" fontId="55" fillId="2" borderId="89" xfId="0" applyFont="1" applyFill="1" applyBorder="1" applyAlignment="1">
      <alignment horizontal="center" vertical="center" wrapText="1"/>
    </xf>
    <xf numFmtId="0" fontId="55" fillId="2" borderId="99" xfId="0" applyFont="1" applyFill="1" applyBorder="1" applyAlignment="1">
      <alignment horizontal="center" vertical="center" wrapText="1"/>
    </xf>
    <xf numFmtId="0" fontId="40" fillId="4" borderId="96" xfId="0" applyFont="1" applyFill="1" applyBorder="1" applyAlignment="1">
      <alignment horizontal="center" vertical="center" wrapText="1"/>
    </xf>
    <xf numFmtId="0" fontId="40" fillId="4" borderId="76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3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8" xfId="0" applyFont="1" applyFill="1" applyBorder="1" applyAlignment="1">
      <alignment horizontal="center"/>
    </xf>
    <xf numFmtId="0" fontId="59" fillId="4" borderId="79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8" xfId="0" applyFont="1" applyFill="1" applyBorder="1" applyAlignment="1">
      <alignment horizontal="center"/>
    </xf>
    <xf numFmtId="0" fontId="59" fillId="2" borderId="79" xfId="0" applyFont="1" applyFill="1" applyBorder="1" applyAlignment="1">
      <alignment horizontal="center"/>
    </xf>
    <xf numFmtId="166" fontId="40" fillId="2" borderId="80" xfId="0" applyNumberFormat="1" applyFont="1" applyFill="1" applyBorder="1" applyAlignment="1">
      <alignment horizontal="center" vertical="center"/>
    </xf>
    <xf numFmtId="0" fontId="33" fillId="0" borderId="104" xfId="0" applyFont="1" applyBorder="1" applyAlignment="1">
      <alignment horizontal="center" vertical="center"/>
    </xf>
    <xf numFmtId="0" fontId="55" fillId="4" borderId="97" xfId="0" applyFont="1" applyFill="1" applyBorder="1" applyAlignment="1">
      <alignment horizontal="center" vertical="center" wrapText="1"/>
    </xf>
    <xf numFmtId="0" fontId="55" fillId="4" borderId="105" xfId="0" applyFont="1" applyFill="1" applyBorder="1" applyAlignment="1">
      <alignment horizontal="center" vertical="center" wrapText="1"/>
    </xf>
    <xf numFmtId="0" fontId="55" fillId="4" borderId="88" xfId="0" applyFont="1" applyFill="1" applyBorder="1" applyAlignment="1">
      <alignment horizontal="center" vertical="center" wrapText="1"/>
    </xf>
    <xf numFmtId="0" fontId="55" fillId="4" borderId="98" xfId="0" applyFont="1" applyFill="1" applyBorder="1" applyAlignment="1">
      <alignment horizontal="center" vertical="center" wrapText="1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168" fontId="55" fillId="2" borderId="105" xfId="0" applyNumberFormat="1" applyFont="1" applyFill="1" applyBorder="1" applyAlignment="1">
      <alignment horizontal="center" vertical="center" wrapText="1"/>
    </xf>
    <xf numFmtId="0" fontId="55" fillId="2" borderId="88" xfId="0" applyFont="1" applyFill="1" applyBorder="1" applyAlignment="1">
      <alignment horizontal="center" vertical="center" wrapText="1"/>
    </xf>
    <xf numFmtId="0" fontId="55" fillId="2" borderId="9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2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6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4" fillId="2" borderId="52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2" xfId="0" applyNumberFormat="1" applyFont="1" applyFill="1" applyBorder="1" applyAlignment="1">
      <alignment horizontal="center" vertical="top"/>
    </xf>
    <xf numFmtId="3" fontId="34" fillId="10" borderId="113" xfId="0" applyNumberFormat="1" applyFont="1" applyFill="1" applyBorder="1" applyAlignment="1">
      <alignment horizontal="right" vertical="top"/>
    </xf>
    <xf numFmtId="3" fontId="34" fillId="10" borderId="114" xfId="0" applyNumberFormat="1" applyFont="1" applyFill="1" applyBorder="1" applyAlignment="1">
      <alignment horizontal="right" vertical="top"/>
    </xf>
    <xf numFmtId="177" fontId="34" fillId="10" borderId="115" xfId="0" applyNumberFormat="1" applyFont="1" applyFill="1" applyBorder="1" applyAlignment="1">
      <alignment horizontal="right" vertical="top"/>
    </xf>
    <xf numFmtId="3" fontId="34" fillId="0" borderId="113" xfId="0" applyNumberFormat="1" applyFont="1" applyBorder="1" applyAlignment="1">
      <alignment horizontal="right" vertical="top"/>
    </xf>
    <xf numFmtId="177" fontId="34" fillId="10" borderId="116" xfId="0" applyNumberFormat="1" applyFont="1" applyFill="1" applyBorder="1" applyAlignment="1">
      <alignment horizontal="right" vertical="top"/>
    </xf>
    <xf numFmtId="3" fontId="36" fillId="10" borderId="118" xfId="0" applyNumberFormat="1" applyFont="1" applyFill="1" applyBorder="1" applyAlignment="1">
      <alignment horizontal="right" vertical="top"/>
    </xf>
    <xf numFmtId="3" fontId="36" fillId="10" borderId="119" xfId="0" applyNumberFormat="1" applyFont="1" applyFill="1" applyBorder="1" applyAlignment="1">
      <alignment horizontal="right" vertical="top"/>
    </xf>
    <xf numFmtId="177" fontId="36" fillId="10" borderId="120" xfId="0" applyNumberFormat="1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177" fontId="36" fillId="10" borderId="121" xfId="0" applyNumberFormat="1" applyFont="1" applyFill="1" applyBorder="1" applyAlignment="1">
      <alignment horizontal="right" vertical="top"/>
    </xf>
    <xf numFmtId="0" fontId="36" fillId="10" borderId="120" xfId="0" applyFont="1" applyFill="1" applyBorder="1" applyAlignment="1">
      <alignment horizontal="right" vertical="top"/>
    </xf>
    <xf numFmtId="0" fontId="34" fillId="10" borderId="115" xfId="0" applyFont="1" applyFill="1" applyBorder="1" applyAlignment="1">
      <alignment horizontal="right" vertical="top"/>
    </xf>
    <xf numFmtId="0" fontId="36" fillId="10" borderId="121" xfId="0" applyFont="1" applyFill="1" applyBorder="1" applyAlignment="1">
      <alignment horizontal="right" vertical="top"/>
    </xf>
    <xf numFmtId="0" fontId="34" fillId="10" borderId="116" xfId="0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7" fontId="36" fillId="10" borderId="125" xfId="0" applyNumberFormat="1" applyFont="1" applyFill="1" applyBorder="1" applyAlignment="1">
      <alignment horizontal="right" vertical="top"/>
    </xf>
    <xf numFmtId="0" fontId="38" fillId="11" borderId="112" xfId="0" applyFont="1" applyFill="1" applyBorder="1" applyAlignment="1">
      <alignment vertical="top"/>
    </xf>
    <xf numFmtId="0" fontId="38" fillId="11" borderId="112" xfId="0" applyFont="1" applyFill="1" applyBorder="1" applyAlignment="1">
      <alignment vertical="top" indent="2"/>
    </xf>
    <xf numFmtId="0" fontId="38" fillId="11" borderId="112" xfId="0" applyFont="1" applyFill="1" applyBorder="1" applyAlignment="1">
      <alignment vertical="top" indent="4"/>
    </xf>
    <xf numFmtId="0" fontId="39" fillId="11" borderId="117" xfId="0" applyFont="1" applyFill="1" applyBorder="1" applyAlignment="1">
      <alignment vertical="top" indent="6"/>
    </xf>
    <xf numFmtId="0" fontId="38" fillId="11" borderId="112" xfId="0" applyFont="1" applyFill="1" applyBorder="1" applyAlignment="1">
      <alignment vertical="top" indent="8"/>
    </xf>
    <xf numFmtId="0" fontId="39" fillId="11" borderId="117" xfId="0" applyFont="1" applyFill="1" applyBorder="1" applyAlignment="1">
      <alignment vertical="top" indent="2"/>
    </xf>
    <xf numFmtId="0" fontId="38" fillId="11" borderId="112" xfId="0" applyFont="1" applyFill="1" applyBorder="1" applyAlignment="1">
      <alignment vertical="top" indent="6"/>
    </xf>
    <xf numFmtId="0" fontId="39" fillId="11" borderId="117" xfId="0" applyFont="1" applyFill="1" applyBorder="1" applyAlignment="1">
      <alignment vertical="top" indent="4"/>
    </xf>
    <xf numFmtId="0" fontId="33" fillId="11" borderId="112" xfId="0" applyFont="1" applyFill="1" applyBorder="1"/>
    <xf numFmtId="0" fontId="39" fillId="11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" fillId="2" borderId="102" xfId="79" applyFont="1" applyFill="1" applyBorder="1" applyAlignment="1">
      <alignment horizontal="left"/>
    </xf>
    <xf numFmtId="0" fontId="40" fillId="11" borderId="95" xfId="0" applyFont="1" applyFill="1" applyBorder="1"/>
    <xf numFmtId="0" fontId="40" fillId="11" borderId="94" xfId="0" applyFont="1" applyFill="1" applyBorder="1"/>
    <xf numFmtId="3" fontId="3" fillId="2" borderId="88" xfId="80" applyNumberFormat="1" applyFont="1" applyFill="1" applyBorder="1"/>
    <xf numFmtId="0" fontId="3" fillId="2" borderId="88" xfId="80" applyFont="1" applyFill="1" applyBorder="1"/>
    <xf numFmtId="3" fontId="33" fillId="0" borderId="77" xfId="0" applyNumberFormat="1" applyFont="1" applyFill="1" applyBorder="1"/>
    <xf numFmtId="0" fontId="33" fillId="0" borderId="78" xfId="0" applyFont="1" applyFill="1" applyBorder="1"/>
    <xf numFmtId="3" fontId="33" fillId="0" borderId="78" xfId="0" applyNumberFormat="1" applyFont="1" applyFill="1" applyBorder="1"/>
    <xf numFmtId="3" fontId="33" fillId="0" borderId="80" xfId="0" applyNumberFormat="1" applyFont="1" applyFill="1" applyBorder="1"/>
    <xf numFmtId="0" fontId="33" fillId="0" borderId="81" xfId="0" applyFont="1" applyFill="1" applyBorder="1"/>
    <xf numFmtId="3" fontId="33" fillId="0" borderId="81" xfId="0" applyNumberFormat="1" applyFont="1" applyFill="1" applyBorder="1"/>
    <xf numFmtId="3" fontId="33" fillId="0" borderId="126" xfId="0" applyNumberFormat="1" applyFont="1" applyFill="1" applyBorder="1"/>
    <xf numFmtId="3" fontId="33" fillId="0" borderId="104" xfId="0" applyNumberFormat="1" applyFont="1" applyFill="1" applyBorder="1"/>
    <xf numFmtId="9" fontId="3" fillId="2" borderId="88" xfId="80" applyNumberFormat="1" applyFont="1" applyFill="1" applyBorder="1"/>
    <xf numFmtId="9" fontId="3" fillId="2" borderId="89" xfId="8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0" fontId="33" fillId="0" borderId="95" xfId="0" applyFont="1" applyFill="1" applyBorder="1"/>
    <xf numFmtId="0" fontId="33" fillId="0" borderId="94" xfId="0" applyFont="1" applyFill="1" applyBorder="1"/>
    <xf numFmtId="3" fontId="33" fillId="0" borderId="127" xfId="0" applyNumberFormat="1" applyFont="1" applyFill="1" applyBorder="1"/>
    <xf numFmtId="3" fontId="33" fillId="0" borderId="90" xfId="0" applyNumberFormat="1" applyFont="1" applyFill="1" applyBorder="1"/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80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9" fontId="33" fillId="0" borderId="56" xfId="0" applyNumberFormat="1" applyFont="1" applyFill="1" applyBorder="1"/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2" xfId="0" applyFont="1" applyFill="1" applyBorder="1"/>
    <xf numFmtId="0" fontId="33" fillId="0" borderId="133" xfId="0" applyFont="1" applyFill="1" applyBorder="1"/>
    <xf numFmtId="0" fontId="33" fillId="0" borderId="133" xfId="0" applyFont="1" applyFill="1" applyBorder="1" applyAlignment="1">
      <alignment horizontal="right"/>
    </xf>
    <xf numFmtId="0" fontId="33" fillId="0" borderId="133" xfId="0" applyFont="1" applyFill="1" applyBorder="1" applyAlignment="1">
      <alignment horizontal="left"/>
    </xf>
    <xf numFmtId="164" fontId="33" fillId="0" borderId="133" xfId="0" applyNumberFormat="1" applyFont="1" applyFill="1" applyBorder="1"/>
    <xf numFmtId="165" fontId="33" fillId="0" borderId="133" xfId="0" applyNumberFormat="1" applyFont="1" applyFill="1" applyBorder="1"/>
    <xf numFmtId="9" fontId="33" fillId="0" borderId="133" xfId="0" applyNumberFormat="1" applyFont="1" applyFill="1" applyBorder="1"/>
    <xf numFmtId="9" fontId="33" fillId="0" borderId="134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40" fillId="2" borderId="54" xfId="0" applyFont="1" applyFill="1" applyBorder="1"/>
    <xf numFmtId="3" fontId="40" fillId="2" borderId="103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56" xfId="0" applyNumberFormat="1" applyFont="1" applyFill="1" applyBorder="1"/>
    <xf numFmtId="3" fontId="33" fillId="0" borderId="61" xfId="0" applyNumberFormat="1" applyFont="1" applyFill="1" applyBorder="1"/>
    <xf numFmtId="3" fontId="33" fillId="0" borderId="25" xfId="0" applyNumberFormat="1" applyFont="1" applyFill="1" applyBorder="1"/>
    <xf numFmtId="3" fontId="33" fillId="0" borderId="133" xfId="0" applyNumberFormat="1" applyFont="1" applyFill="1" applyBorder="1"/>
    <xf numFmtId="3" fontId="33" fillId="0" borderId="134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1" borderId="19" xfId="0" applyFont="1" applyFill="1" applyBorder="1"/>
    <xf numFmtId="3" fontId="40" fillId="11" borderId="27" xfId="0" applyNumberFormat="1" applyFont="1" applyFill="1" applyBorder="1"/>
    <xf numFmtId="9" fontId="40" fillId="11" borderId="27" xfId="0" applyNumberFormat="1" applyFont="1" applyFill="1" applyBorder="1"/>
    <xf numFmtId="3" fontId="40" fillId="11" borderId="20" xfId="0" applyNumberFormat="1" applyFont="1" applyFill="1" applyBorder="1"/>
    <xf numFmtId="0" fontId="40" fillId="0" borderId="54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56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27" xfId="0" applyFont="1" applyFill="1" applyBorder="1"/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133" xfId="0" applyNumberFormat="1" applyBorder="1"/>
    <xf numFmtId="9" fontId="0" fillId="0" borderId="133" xfId="0" applyNumberFormat="1" applyBorder="1"/>
    <xf numFmtId="9" fontId="0" fillId="0" borderId="134" xfId="0" applyNumberFormat="1" applyBorder="1"/>
    <xf numFmtId="0" fontId="59" fillId="0" borderId="132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7" xfId="0" applyNumberFormat="1" applyFont="1" applyFill="1" applyBorder="1"/>
    <xf numFmtId="169" fontId="33" fillId="0" borderId="20" xfId="0" applyNumberFormat="1" applyFont="1" applyFill="1" applyBorder="1"/>
    <xf numFmtId="0" fontId="40" fillId="0" borderId="19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6" xfId="0" applyNumberFormat="1" applyFont="1" applyFill="1" applyBorder="1"/>
    <xf numFmtId="169" fontId="33" fillId="0" borderId="13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32" xfId="0" applyFont="1" applyFill="1" applyBorder="1"/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8"/>
      <tableStyleElement type="headerRow" dxfId="67"/>
      <tableStyleElement type="totalRow" dxfId="66"/>
      <tableStyleElement type="firstColumn" dxfId="65"/>
      <tableStyleElement type="lastColumn" dxfId="64"/>
      <tableStyleElement type="firstRowStripe" dxfId="63"/>
      <tableStyleElement type="firstColumnStripe" dxfId="62"/>
    </tableStyle>
    <tableStyle name="TableStyleMedium2 2" pivot="0" count="7">
      <tableStyleElement type="wholeTable" dxfId="61"/>
      <tableStyleElement type="headerRow" dxfId="60"/>
      <tableStyleElement type="totalRow" dxfId="59"/>
      <tableStyleElement type="firstColumn" dxfId="58"/>
      <tableStyleElement type="lastColumn" dxfId="57"/>
      <tableStyleElement type="firstRowStripe" dxfId="56"/>
      <tableStyleElement type="firstColumnStripe" dxfId="5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2.7538436870227947E-3</c:v>
                </c:pt>
                <c:pt idx="1">
                  <c:v>2.4401650060198181E-3</c:v>
                </c:pt>
                <c:pt idx="2">
                  <c:v>2.5167941657260984E-3</c:v>
                </c:pt>
                <c:pt idx="3">
                  <c:v>2.5289035587583351E-3</c:v>
                </c:pt>
                <c:pt idx="4">
                  <c:v>2.7852266480690811E-3</c:v>
                </c:pt>
                <c:pt idx="5">
                  <c:v>2.284866835905008E-3</c:v>
                </c:pt>
                <c:pt idx="6">
                  <c:v>1.734323503354162E-3</c:v>
                </c:pt>
                <c:pt idx="7">
                  <c:v>1.5390488908909436E-3</c:v>
                </c:pt>
                <c:pt idx="8">
                  <c:v>1.3840638982380992E-3</c:v>
                </c:pt>
                <c:pt idx="9">
                  <c:v>1.2574365655092657E-3</c:v>
                </c:pt>
                <c:pt idx="10">
                  <c:v>1.1316106468585491E-3</c:v>
                </c:pt>
                <c:pt idx="11">
                  <c:v>9.8472787812112499E-4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721584"/>
        <c:axId val="115272212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722672"/>
        <c:axId val="1152716688"/>
      </c:scatterChart>
      <c:catAx>
        <c:axId val="115272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52722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27221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52721584"/>
        <c:crosses val="autoZero"/>
        <c:crossBetween val="between"/>
      </c:valAx>
      <c:valAx>
        <c:axId val="11527226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52716688"/>
        <c:crosses val="max"/>
        <c:crossBetween val="midCat"/>
      </c:valAx>
      <c:valAx>
        <c:axId val="11527166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527226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6" totalsRowShown="0" headerRowDxfId="54" tableBorderDxfId="53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2"/>
    <tableColumn id="2" name="popis" dataDxfId="51"/>
    <tableColumn id="3" name="01 uv_sk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35">
      <calculatedColumnFormula>IF(Tabulka[[#This Row],[15_vzpl]]=0,"",Tabulka[[#This Row],[14_vzsk]]/Tabulka[[#This Row],[15_vzpl]])</calculatedColumnFormula>
    </tableColumn>
    <tableColumn id="20" name="17_vzroz" dataDxfId="3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13" totalsRowShown="0">
  <autoFilter ref="C3:S11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6" bestFit="1" customWidth="1"/>
    <col min="2" max="2" width="102.21875" style="126" bestFit="1" customWidth="1"/>
    <col min="3" max="3" width="16.109375" style="47" hidden="1" customWidth="1"/>
    <col min="4" max="16384" width="8.88671875" style="126"/>
  </cols>
  <sheetData>
    <row r="1" spans="1:3" ht="18.600000000000001" customHeight="1" thickBot="1" x14ac:dyDescent="0.4">
      <c r="A1" s="300" t="s">
        <v>104</v>
      </c>
      <c r="B1" s="300"/>
    </row>
    <row r="2" spans="1:3" ht="14.4" customHeight="1" thickBot="1" x14ac:dyDescent="0.35">
      <c r="A2" s="225" t="s">
        <v>241</v>
      </c>
      <c r="B2" s="46"/>
    </row>
    <row r="3" spans="1:3" ht="14.4" customHeight="1" thickBot="1" x14ac:dyDescent="0.35">
      <c r="A3" s="296" t="s">
        <v>130</v>
      </c>
      <c r="B3" s="297"/>
    </row>
    <row r="4" spans="1:3" ht="14.4" customHeight="1" x14ac:dyDescent="0.3">
      <c r="A4" s="140" t="str">
        <f t="shared" ref="A4:A8" si="0">HYPERLINK("#'"&amp;C4&amp;"'!A1",C4)</f>
        <v>Motivace</v>
      </c>
      <c r="B4" s="87" t="s">
        <v>113</v>
      </c>
      <c r="C4" s="47" t="s">
        <v>114</v>
      </c>
    </row>
    <row r="5" spans="1:3" ht="14.4" customHeight="1" x14ac:dyDescent="0.3">
      <c r="A5" s="141" t="str">
        <f t="shared" si="0"/>
        <v>HI</v>
      </c>
      <c r="B5" s="88" t="s">
        <v>128</v>
      </c>
      <c r="C5" s="47" t="s">
        <v>107</v>
      </c>
    </row>
    <row r="6" spans="1:3" ht="14.4" customHeight="1" x14ac:dyDescent="0.3">
      <c r="A6" s="142" t="str">
        <f t="shared" si="0"/>
        <v>HI Graf</v>
      </c>
      <c r="B6" s="89" t="s">
        <v>100</v>
      </c>
      <c r="C6" s="47" t="s">
        <v>108</v>
      </c>
    </row>
    <row r="7" spans="1:3" ht="14.4" customHeight="1" x14ac:dyDescent="0.3">
      <c r="A7" s="142" t="str">
        <f t="shared" si="0"/>
        <v>Man Tab</v>
      </c>
      <c r="B7" s="89" t="s">
        <v>243</v>
      </c>
      <c r="C7" s="47" t="s">
        <v>109</v>
      </c>
    </row>
    <row r="8" spans="1:3" ht="14.4" customHeight="1" thickBot="1" x14ac:dyDescent="0.35">
      <c r="A8" s="143" t="str">
        <f t="shared" si="0"/>
        <v>HV</v>
      </c>
      <c r="B8" s="90" t="s">
        <v>58</v>
      </c>
      <c r="C8" s="47" t="s">
        <v>63</v>
      </c>
    </row>
    <row r="9" spans="1:3" ht="14.4" customHeight="1" thickBot="1" x14ac:dyDescent="0.35">
      <c r="A9" s="91"/>
      <c r="B9" s="91"/>
    </row>
    <row r="10" spans="1:3" ht="14.4" customHeight="1" thickBot="1" x14ac:dyDescent="0.35">
      <c r="A10" s="298" t="s">
        <v>105</v>
      </c>
      <c r="B10" s="297"/>
    </row>
    <row r="11" spans="1:3" ht="14.4" customHeight="1" x14ac:dyDescent="0.3">
      <c r="A11" s="142" t="str">
        <f t="shared" ref="A11:A16" si="1">HYPERLINK("#'"&amp;C11&amp;"'!A1",C11)</f>
        <v>Léky Recepty</v>
      </c>
      <c r="B11" s="89" t="s">
        <v>129</v>
      </c>
      <c r="C11" s="47" t="s">
        <v>110</v>
      </c>
    </row>
    <row r="12" spans="1:3" ht="14.4" customHeight="1" x14ac:dyDescent="0.3">
      <c r="A12" s="142" t="str">
        <f t="shared" si="1"/>
        <v>LRp Lékaři</v>
      </c>
      <c r="B12" s="89" t="s">
        <v>135</v>
      </c>
      <c r="C12" s="47" t="s">
        <v>136</v>
      </c>
    </row>
    <row r="13" spans="1:3" ht="14.4" customHeight="1" x14ac:dyDescent="0.3">
      <c r="A13" s="142" t="str">
        <f t="shared" si="1"/>
        <v>LRp Detail</v>
      </c>
      <c r="B13" s="89" t="s">
        <v>341</v>
      </c>
      <c r="C13" s="47" t="s">
        <v>111</v>
      </c>
    </row>
    <row r="14" spans="1:3" ht="28.8" customHeight="1" x14ac:dyDescent="0.3">
      <c r="A14" s="142" t="str">
        <f t="shared" si="1"/>
        <v>LRp PL</v>
      </c>
      <c r="B14" s="518" t="s">
        <v>342</v>
      </c>
      <c r="C14" s="47" t="s">
        <v>132</v>
      </c>
    </row>
    <row r="15" spans="1:3" ht="14.4" customHeight="1" x14ac:dyDescent="0.3">
      <c r="A15" s="142" t="str">
        <f>HYPERLINK("#'"&amp;C15&amp;"'!A1",C15)</f>
        <v>LRp PL Detail</v>
      </c>
      <c r="B15" s="89" t="s">
        <v>345</v>
      </c>
      <c r="C15" s="47" t="s">
        <v>133</v>
      </c>
    </row>
    <row r="16" spans="1:3" ht="14.4" customHeight="1" thickBot="1" x14ac:dyDescent="0.35">
      <c r="A16" s="144" t="str">
        <f t="shared" si="1"/>
        <v>Osobní náklady</v>
      </c>
      <c r="B16" s="89" t="s">
        <v>102</v>
      </c>
      <c r="C16" s="47" t="s">
        <v>112</v>
      </c>
    </row>
    <row r="17" spans="1:3" ht="14.4" customHeight="1" thickBot="1" x14ac:dyDescent="0.35">
      <c r="A17" s="92"/>
      <c r="B17" s="92"/>
    </row>
    <row r="18" spans="1:3" ht="14.4" customHeight="1" thickBot="1" x14ac:dyDescent="0.35">
      <c r="A18" s="299" t="s">
        <v>106</v>
      </c>
      <c r="B18" s="297"/>
    </row>
    <row r="19" spans="1:3" ht="14.4" customHeight="1" x14ac:dyDescent="0.3">
      <c r="A19" s="145" t="str">
        <f t="shared" ref="A19:A24" si="2">HYPERLINK("#'"&amp;C19&amp;"'!A1",C19)</f>
        <v>ZV Vykáz.-A</v>
      </c>
      <c r="B19" s="88" t="s">
        <v>369</v>
      </c>
      <c r="C19" s="47" t="s">
        <v>115</v>
      </c>
    </row>
    <row r="20" spans="1:3" ht="14.4" customHeight="1" x14ac:dyDescent="0.3">
      <c r="A20" s="142" t="str">
        <f t="shared" ref="A20" si="3">HYPERLINK("#'"&amp;C20&amp;"'!A1",C20)</f>
        <v>ZV Vykáz.-A Lékaři</v>
      </c>
      <c r="B20" s="89" t="s">
        <v>374</v>
      </c>
      <c r="C20" s="47" t="s">
        <v>180</v>
      </c>
    </row>
    <row r="21" spans="1:3" ht="14.4" customHeight="1" x14ac:dyDescent="0.3">
      <c r="A21" s="142" t="str">
        <f t="shared" si="2"/>
        <v>ZV Vykáz.-A Detail</v>
      </c>
      <c r="B21" s="89" t="s">
        <v>385</v>
      </c>
      <c r="C21" s="47" t="s">
        <v>116</v>
      </c>
    </row>
    <row r="22" spans="1:3" ht="14.4" customHeight="1" x14ac:dyDescent="0.3">
      <c r="A22" s="242" t="str">
        <f>HYPERLINK("#'"&amp;C22&amp;"'!A1",C22)</f>
        <v>ZV Vykáz.-A Det.Lék.</v>
      </c>
      <c r="B22" s="89" t="s">
        <v>386</v>
      </c>
      <c r="C22" s="47" t="s">
        <v>184</v>
      </c>
    </row>
    <row r="23" spans="1:3" ht="14.4" customHeight="1" x14ac:dyDescent="0.3">
      <c r="A23" s="142" t="str">
        <f t="shared" si="2"/>
        <v>ZV Vykáz.-H</v>
      </c>
      <c r="B23" s="89" t="s">
        <v>119</v>
      </c>
      <c r="C23" s="47" t="s">
        <v>117</v>
      </c>
    </row>
    <row r="24" spans="1:3" ht="14.4" customHeight="1" x14ac:dyDescent="0.3">
      <c r="A24" s="142" t="str">
        <f t="shared" si="2"/>
        <v>ZV Vykáz.-H Detail</v>
      </c>
      <c r="B24" s="89" t="s">
        <v>427</v>
      </c>
      <c r="C24" s="47" t="s">
        <v>118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6" customWidth="1"/>
    <col min="2" max="2" width="10" style="203" customWidth="1"/>
    <col min="3" max="3" width="5.5546875" style="206" customWidth="1"/>
    <col min="4" max="4" width="10" style="203" customWidth="1"/>
    <col min="5" max="5" width="5.5546875" style="206" customWidth="1"/>
    <col min="6" max="6" width="10" style="203" customWidth="1"/>
    <col min="7" max="7" width="8.88671875" style="126" customWidth="1"/>
    <col min="8" max="16384" width="8.88671875" style="126"/>
  </cols>
  <sheetData>
    <row r="1" spans="1:6" ht="37.799999999999997" customHeight="1" thickBot="1" x14ac:dyDescent="0.4">
      <c r="A1" s="329" t="s">
        <v>342</v>
      </c>
      <c r="B1" s="330"/>
      <c r="C1" s="330"/>
      <c r="D1" s="330"/>
      <c r="E1" s="330"/>
      <c r="F1" s="330"/>
    </row>
    <row r="2" spans="1:6" ht="14.4" customHeight="1" thickBot="1" x14ac:dyDescent="0.35">
      <c r="A2" s="225" t="s">
        <v>241</v>
      </c>
      <c r="B2" s="62"/>
      <c r="C2" s="63"/>
      <c r="D2" s="64"/>
      <c r="E2" s="63"/>
      <c r="F2" s="64"/>
    </row>
    <row r="3" spans="1:6" ht="14.4" customHeight="1" thickBot="1" x14ac:dyDescent="0.35">
      <c r="A3" s="97"/>
      <c r="B3" s="331" t="s">
        <v>122</v>
      </c>
      <c r="C3" s="332"/>
      <c r="D3" s="333" t="s">
        <v>121</v>
      </c>
      <c r="E3" s="332"/>
      <c r="F3" s="79" t="s">
        <v>3</v>
      </c>
    </row>
    <row r="4" spans="1:6" ht="14.4" customHeight="1" thickBot="1" x14ac:dyDescent="0.35">
      <c r="A4" s="501" t="s">
        <v>148</v>
      </c>
      <c r="B4" s="502" t="s">
        <v>11</v>
      </c>
      <c r="C4" s="503" t="s">
        <v>2</v>
      </c>
      <c r="D4" s="502" t="s">
        <v>11</v>
      </c>
      <c r="E4" s="503" t="s">
        <v>2</v>
      </c>
      <c r="F4" s="504" t="s">
        <v>11</v>
      </c>
    </row>
    <row r="5" spans="1:6" ht="14.4" customHeight="1" thickBot="1" x14ac:dyDescent="0.35">
      <c r="A5" s="517" t="s">
        <v>321</v>
      </c>
      <c r="B5" s="505"/>
      <c r="C5" s="477">
        <v>0</v>
      </c>
      <c r="D5" s="505">
        <v>286.18</v>
      </c>
      <c r="E5" s="477">
        <v>1</v>
      </c>
      <c r="F5" s="506">
        <v>286.18</v>
      </c>
    </row>
    <row r="6" spans="1:6" ht="14.4" customHeight="1" thickBot="1" x14ac:dyDescent="0.35">
      <c r="A6" s="513" t="s">
        <v>3</v>
      </c>
      <c r="B6" s="514"/>
      <c r="C6" s="515">
        <v>0</v>
      </c>
      <c r="D6" s="514">
        <v>286.18</v>
      </c>
      <c r="E6" s="515">
        <v>1</v>
      </c>
      <c r="F6" s="516">
        <v>286.18</v>
      </c>
    </row>
    <row r="7" spans="1:6" ht="14.4" customHeight="1" thickBot="1" x14ac:dyDescent="0.35"/>
    <row r="8" spans="1:6" ht="14.4" customHeight="1" thickBot="1" x14ac:dyDescent="0.35">
      <c r="A8" s="517" t="s">
        <v>343</v>
      </c>
      <c r="B8" s="505"/>
      <c r="C8" s="477">
        <v>0</v>
      </c>
      <c r="D8" s="505">
        <v>286.18</v>
      </c>
      <c r="E8" s="477">
        <v>1</v>
      </c>
      <c r="F8" s="506">
        <v>286.18</v>
      </c>
    </row>
    <row r="9" spans="1:6" ht="14.4" customHeight="1" thickBot="1" x14ac:dyDescent="0.35">
      <c r="A9" s="513" t="s">
        <v>3</v>
      </c>
      <c r="B9" s="514"/>
      <c r="C9" s="515">
        <v>0</v>
      </c>
      <c r="D9" s="514">
        <v>286.18</v>
      </c>
      <c r="E9" s="515">
        <v>1</v>
      </c>
      <c r="F9" s="516">
        <v>286.18</v>
      </c>
    </row>
  </sheetData>
  <mergeCells count="3">
    <mergeCell ref="A1:F1"/>
    <mergeCell ref="B3:C3"/>
    <mergeCell ref="D3:E3"/>
  </mergeCells>
  <conditionalFormatting sqref="C5:C1048576">
    <cfRule type="cellIs" dxfId="5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{240ECD46-E20A-4AD3-9666-B990971BC0F9}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{BF57D3D6-A6D0-46AF-964F-12039F32FC5B}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0ECD46-E20A-4AD3-9666-B990971BC0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BF57D3D6-A6D0-46AF-964F-12039F32FC5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6" customWidth="1"/>
    <col min="2" max="2" width="8.88671875" style="126" bestFit="1" customWidth="1"/>
    <col min="3" max="3" width="7" style="126" bestFit="1" customWidth="1"/>
    <col min="4" max="5" width="22.21875" style="126" customWidth="1"/>
    <col min="6" max="6" width="6.6640625" style="203" customWidth="1"/>
    <col min="7" max="7" width="10" style="203" customWidth="1"/>
    <col min="8" max="8" width="6.77734375" style="206" customWidth="1"/>
    <col min="9" max="9" width="6.6640625" style="203" customWidth="1"/>
    <col min="10" max="10" width="10" style="203" customWidth="1"/>
    <col min="11" max="11" width="6.77734375" style="206" customWidth="1"/>
    <col min="12" max="12" width="6.6640625" style="203" customWidth="1"/>
    <col min="13" max="13" width="10" style="203" customWidth="1"/>
    <col min="14" max="16384" width="8.88671875" style="126"/>
  </cols>
  <sheetData>
    <row r="1" spans="1:13" ht="18.600000000000001" customHeight="1" thickBot="1" x14ac:dyDescent="0.4">
      <c r="A1" s="330" t="s">
        <v>345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00"/>
      <c r="M1" s="300"/>
    </row>
    <row r="2" spans="1:13" ht="14.4" customHeight="1" thickBot="1" x14ac:dyDescent="0.35">
      <c r="A2" s="225" t="s">
        <v>241</v>
      </c>
      <c r="B2" s="202"/>
      <c r="C2" s="202"/>
      <c r="D2" s="202"/>
      <c r="E2" s="202"/>
      <c r="F2" s="207"/>
      <c r="G2" s="207"/>
      <c r="H2" s="208"/>
      <c r="I2" s="207"/>
      <c r="J2" s="207"/>
      <c r="K2" s="208"/>
      <c r="L2" s="207"/>
    </row>
    <row r="3" spans="1:13" ht="14.4" customHeight="1" thickBot="1" x14ac:dyDescent="0.35">
      <c r="E3" s="78" t="s">
        <v>120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286.18</v>
      </c>
      <c r="K3" s="44">
        <f>IF(M3=0,0,J3/M3)</f>
        <v>1</v>
      </c>
      <c r="L3" s="43">
        <f>SUBTOTAL(9,L6:L1048576)</f>
        <v>1</v>
      </c>
      <c r="M3" s="45">
        <f>SUBTOTAL(9,M6:M1048576)</f>
        <v>286.18</v>
      </c>
    </row>
    <row r="4" spans="1:13" ht="14.4" customHeight="1" thickBot="1" x14ac:dyDescent="0.35">
      <c r="A4" s="41"/>
      <c r="B4" s="41"/>
      <c r="C4" s="41"/>
      <c r="D4" s="41"/>
      <c r="E4" s="42"/>
      <c r="F4" s="334" t="s">
        <v>122</v>
      </c>
      <c r="G4" s="335"/>
      <c r="H4" s="336"/>
      <c r="I4" s="337" t="s">
        <v>121</v>
      </c>
      <c r="J4" s="335"/>
      <c r="K4" s="336"/>
      <c r="L4" s="338" t="s">
        <v>3</v>
      </c>
      <c r="M4" s="339"/>
    </row>
    <row r="5" spans="1:13" ht="14.4" customHeight="1" thickBot="1" x14ac:dyDescent="0.35">
      <c r="A5" s="501" t="s">
        <v>127</v>
      </c>
      <c r="B5" s="519" t="s">
        <v>123</v>
      </c>
      <c r="C5" s="519" t="s">
        <v>67</v>
      </c>
      <c r="D5" s="519" t="s">
        <v>124</v>
      </c>
      <c r="E5" s="519" t="s">
        <v>125</v>
      </c>
      <c r="F5" s="520" t="s">
        <v>25</v>
      </c>
      <c r="G5" s="520" t="s">
        <v>11</v>
      </c>
      <c r="H5" s="503" t="s">
        <v>126</v>
      </c>
      <c r="I5" s="502" t="s">
        <v>25</v>
      </c>
      <c r="J5" s="520" t="s">
        <v>11</v>
      </c>
      <c r="K5" s="503" t="s">
        <v>126</v>
      </c>
      <c r="L5" s="502" t="s">
        <v>25</v>
      </c>
      <c r="M5" s="521" t="s">
        <v>11</v>
      </c>
    </row>
    <row r="6" spans="1:13" ht="14.4" customHeight="1" thickBot="1" x14ac:dyDescent="0.35">
      <c r="A6" s="510" t="s">
        <v>321</v>
      </c>
      <c r="B6" s="522" t="s">
        <v>344</v>
      </c>
      <c r="C6" s="522" t="s">
        <v>332</v>
      </c>
      <c r="D6" s="522" t="s">
        <v>333</v>
      </c>
      <c r="E6" s="522" t="s">
        <v>334</v>
      </c>
      <c r="F6" s="511"/>
      <c r="G6" s="511"/>
      <c r="H6" s="231">
        <v>0</v>
      </c>
      <c r="I6" s="511">
        <v>1</v>
      </c>
      <c r="J6" s="511">
        <v>286.18</v>
      </c>
      <c r="K6" s="231">
        <v>1</v>
      </c>
      <c r="L6" s="511">
        <v>1</v>
      </c>
      <c r="M6" s="512">
        <v>286.18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8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24" customWidth="1"/>
    <col min="18" max="18" width="7.33203125" style="247" customWidth="1"/>
    <col min="19" max="19" width="8" style="224" customWidth="1"/>
    <col min="21" max="21" width="11.21875" bestFit="1" customWidth="1"/>
  </cols>
  <sheetData>
    <row r="1" spans="1:19" ht="18.600000000000001" thickBot="1" x14ac:dyDescent="0.4">
      <c r="A1" s="355" t="s">
        <v>102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19" ht="15" thickBot="1" x14ac:dyDescent="0.35">
      <c r="A2" s="225" t="s">
        <v>241</v>
      </c>
      <c r="B2" s="226"/>
    </row>
    <row r="3" spans="1:19" x14ac:dyDescent="0.3">
      <c r="A3" s="369" t="s">
        <v>174</v>
      </c>
      <c r="B3" s="370"/>
      <c r="C3" s="371" t="s">
        <v>163</v>
      </c>
      <c r="D3" s="372"/>
      <c r="E3" s="372"/>
      <c r="F3" s="373"/>
      <c r="G3" s="374" t="s">
        <v>164</v>
      </c>
      <c r="H3" s="375"/>
      <c r="I3" s="375"/>
      <c r="J3" s="376"/>
      <c r="K3" s="377" t="s">
        <v>173</v>
      </c>
      <c r="L3" s="378"/>
      <c r="M3" s="378"/>
      <c r="N3" s="378"/>
      <c r="O3" s="379"/>
      <c r="P3" s="375" t="s">
        <v>216</v>
      </c>
      <c r="Q3" s="375"/>
      <c r="R3" s="375"/>
      <c r="S3" s="376"/>
    </row>
    <row r="4" spans="1:19" ht="15" thickBot="1" x14ac:dyDescent="0.35">
      <c r="A4" s="388">
        <v>2018</v>
      </c>
      <c r="B4" s="389"/>
      <c r="C4" s="390" t="s">
        <v>215</v>
      </c>
      <c r="D4" s="392" t="s">
        <v>103</v>
      </c>
      <c r="E4" s="392" t="s">
        <v>71</v>
      </c>
      <c r="F4" s="367" t="s">
        <v>64</v>
      </c>
      <c r="G4" s="382" t="s">
        <v>165</v>
      </c>
      <c r="H4" s="384" t="s">
        <v>169</v>
      </c>
      <c r="I4" s="384" t="s">
        <v>214</v>
      </c>
      <c r="J4" s="386" t="s">
        <v>166</v>
      </c>
      <c r="K4" s="364" t="s">
        <v>213</v>
      </c>
      <c r="L4" s="365"/>
      <c r="M4" s="365"/>
      <c r="N4" s="366"/>
      <c r="O4" s="367" t="s">
        <v>212</v>
      </c>
      <c r="P4" s="356" t="s">
        <v>211</v>
      </c>
      <c r="Q4" s="356" t="s">
        <v>176</v>
      </c>
      <c r="R4" s="358" t="s">
        <v>71</v>
      </c>
      <c r="S4" s="360" t="s">
        <v>175</v>
      </c>
    </row>
    <row r="5" spans="1:19" s="282" customFormat="1" ht="19.2" customHeight="1" x14ac:dyDescent="0.3">
      <c r="A5" s="362" t="s">
        <v>210</v>
      </c>
      <c r="B5" s="363"/>
      <c r="C5" s="391"/>
      <c r="D5" s="393"/>
      <c r="E5" s="393"/>
      <c r="F5" s="368"/>
      <c r="G5" s="383"/>
      <c r="H5" s="385"/>
      <c r="I5" s="385"/>
      <c r="J5" s="387"/>
      <c r="K5" s="285" t="s">
        <v>167</v>
      </c>
      <c r="L5" s="284" t="s">
        <v>168</v>
      </c>
      <c r="M5" s="284" t="s">
        <v>209</v>
      </c>
      <c r="N5" s="283" t="s">
        <v>3</v>
      </c>
      <c r="O5" s="368"/>
      <c r="P5" s="357"/>
      <c r="Q5" s="357"/>
      <c r="R5" s="359"/>
      <c r="S5" s="361"/>
    </row>
    <row r="6" spans="1:19" ht="15" thickBot="1" x14ac:dyDescent="0.35">
      <c r="A6" s="380" t="s">
        <v>162</v>
      </c>
      <c r="B6" s="381"/>
      <c r="C6" s="281">
        <f ca="1">SUM(Tabulka[01 uv_sk])/2</f>
        <v>2.3666666666666663</v>
      </c>
      <c r="D6" s="279"/>
      <c r="E6" s="279"/>
      <c r="F6" s="278"/>
      <c r="G6" s="280">
        <f ca="1">SUM(Tabulka[05 h_vram])/2</f>
        <v>4348</v>
      </c>
      <c r="H6" s="279">
        <f ca="1">SUM(Tabulka[06 h_naduv])/2</f>
        <v>0</v>
      </c>
      <c r="I6" s="279">
        <f ca="1">SUM(Tabulka[07 h_nadzk])/2</f>
        <v>0</v>
      </c>
      <c r="J6" s="278">
        <f ca="1">SUM(Tabulka[08 h_oon])/2</f>
        <v>0</v>
      </c>
      <c r="K6" s="280">
        <f ca="1">SUM(Tabulka[09 m_kl])/2</f>
        <v>0</v>
      </c>
      <c r="L6" s="279">
        <f ca="1">SUM(Tabulka[10 m_gr])/2</f>
        <v>0</v>
      </c>
      <c r="M6" s="279">
        <f ca="1">SUM(Tabulka[11 m_jo])/2</f>
        <v>217100</v>
      </c>
      <c r="N6" s="279">
        <f ca="1">SUM(Tabulka[12 m_oc])/2</f>
        <v>217100</v>
      </c>
      <c r="O6" s="278">
        <f ca="1">SUM(Tabulka[13 m_sk])/2</f>
        <v>1421166</v>
      </c>
      <c r="P6" s="277">
        <f ca="1">SUM(Tabulka[14_vzsk])/2</f>
        <v>9950</v>
      </c>
      <c r="Q6" s="277">
        <f ca="1">SUM(Tabulka[15_vzpl])/2</f>
        <v>6294.758273852709</v>
      </c>
      <c r="R6" s="276">
        <f ca="1">IF(Q6=0,0,P6/Q6)</f>
        <v>1.580680236972801</v>
      </c>
      <c r="S6" s="275">
        <f ca="1">Q6-P6</f>
        <v>-3655.241726147291</v>
      </c>
    </row>
    <row r="7" spans="1:19" hidden="1" x14ac:dyDescent="0.3">
      <c r="A7" s="274" t="s">
        <v>208</v>
      </c>
      <c r="B7" s="273" t="s">
        <v>207</v>
      </c>
      <c r="C7" s="272" t="s">
        <v>206</v>
      </c>
      <c r="D7" s="271" t="s">
        <v>205</v>
      </c>
      <c r="E7" s="270" t="s">
        <v>204</v>
      </c>
      <c r="F7" s="269" t="s">
        <v>203</v>
      </c>
      <c r="G7" s="268" t="s">
        <v>202</v>
      </c>
      <c r="H7" s="266" t="s">
        <v>201</v>
      </c>
      <c r="I7" s="266" t="s">
        <v>200</v>
      </c>
      <c r="J7" s="265" t="s">
        <v>199</v>
      </c>
      <c r="K7" s="267" t="s">
        <v>198</v>
      </c>
      <c r="L7" s="266" t="s">
        <v>197</v>
      </c>
      <c r="M7" s="266" t="s">
        <v>196</v>
      </c>
      <c r="N7" s="265" t="s">
        <v>195</v>
      </c>
      <c r="O7" s="264" t="s">
        <v>194</v>
      </c>
      <c r="P7" s="263" t="s">
        <v>193</v>
      </c>
      <c r="Q7" s="262" t="s">
        <v>192</v>
      </c>
      <c r="R7" s="261" t="s">
        <v>191</v>
      </c>
      <c r="S7" s="260" t="s">
        <v>190</v>
      </c>
    </row>
    <row r="8" spans="1:19" x14ac:dyDescent="0.3">
      <c r="A8" s="257" t="s">
        <v>189</v>
      </c>
      <c r="B8" s="256"/>
      <c r="C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1.6333333333333331</v>
      </c>
      <c r="D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3064</v>
      </c>
      <c r="H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179746</v>
      </c>
      <c r="N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179746</v>
      </c>
      <c r="O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1210046</v>
      </c>
      <c r="P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9950</v>
      </c>
      <c r="Q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6294.758273852709</v>
      </c>
      <c r="R8" s="259">
        <f ca="1">IF(Tabulka[[#This Row],[15_vzpl]]=0,"",Tabulka[[#This Row],[14_vzsk]]/Tabulka[[#This Row],[15_vzpl]])</f>
        <v>1.580680236972801</v>
      </c>
      <c r="S8" s="258">
        <f ca="1">IF(Tabulka[[#This Row],[15_vzpl]]-Tabulka[[#This Row],[14_vzsk]]=0,"",Tabulka[[#This Row],[15_vzpl]]-Tabulka[[#This Row],[14_vzsk]])</f>
        <v>-3655.241726147291</v>
      </c>
    </row>
    <row r="9" spans="1:19" x14ac:dyDescent="0.3">
      <c r="A9" s="257">
        <v>99</v>
      </c>
      <c r="B9" s="256" t="s">
        <v>361</v>
      </c>
      <c r="C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9950</v>
      </c>
      <c r="Q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6294.758273852709</v>
      </c>
      <c r="R9" s="259">
        <f ca="1">IF(Tabulka[[#This Row],[15_vzpl]]=0,"",Tabulka[[#This Row],[14_vzsk]]/Tabulka[[#This Row],[15_vzpl]])</f>
        <v>1.580680236972801</v>
      </c>
      <c r="S9" s="258">
        <f ca="1">IF(Tabulka[[#This Row],[15_vzpl]]-Tabulka[[#This Row],[14_vzsk]]=0,"",Tabulka[[#This Row],[15_vzpl]]-Tabulka[[#This Row],[14_vzsk]])</f>
        <v>-3655.241726147291</v>
      </c>
    </row>
    <row r="10" spans="1:19" x14ac:dyDescent="0.3">
      <c r="A10" s="257">
        <v>100</v>
      </c>
      <c r="B10" s="256" t="s">
        <v>362</v>
      </c>
      <c r="C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0.25</v>
      </c>
      <c r="D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</v>
      </c>
      <c r="H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114127</v>
      </c>
      <c r="P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9" t="str">
        <f ca="1">IF(Tabulka[[#This Row],[15_vzpl]]=0,"",Tabulka[[#This Row],[14_vzsk]]/Tabulka[[#This Row],[15_vzpl]])</f>
        <v/>
      </c>
      <c r="S10" s="258" t="str">
        <f ca="1">IF(Tabulka[[#This Row],[15_vzpl]]-Tabulka[[#This Row],[14_vzsk]]=0,"",Tabulka[[#This Row],[15_vzpl]]-Tabulka[[#This Row],[14_vzsk]])</f>
        <v/>
      </c>
    </row>
    <row r="11" spans="1:19" x14ac:dyDescent="0.3">
      <c r="A11" s="257">
        <v>101</v>
      </c>
      <c r="B11" s="256" t="s">
        <v>363</v>
      </c>
      <c r="C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1.25</v>
      </c>
      <c r="D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2340</v>
      </c>
      <c r="H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178129</v>
      </c>
      <c r="N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178129</v>
      </c>
      <c r="O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1053109</v>
      </c>
      <c r="P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9" t="str">
        <f ca="1">IF(Tabulka[[#This Row],[15_vzpl]]=0,"",Tabulka[[#This Row],[14_vzsk]]/Tabulka[[#This Row],[15_vzpl]])</f>
        <v/>
      </c>
      <c r="S11" s="258" t="str">
        <f ca="1">IF(Tabulka[[#This Row],[15_vzpl]]-Tabulka[[#This Row],[14_vzsk]]=0,"",Tabulka[[#This Row],[15_vzpl]]-Tabulka[[#This Row],[14_vzsk]])</f>
        <v/>
      </c>
    </row>
    <row r="12" spans="1:19" x14ac:dyDescent="0.3">
      <c r="A12" s="257">
        <v>203</v>
      </c>
      <c r="B12" s="256" t="s">
        <v>364</v>
      </c>
      <c r="C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0.13333333333333333</v>
      </c>
      <c r="D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</v>
      </c>
      <c r="H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1617</v>
      </c>
      <c r="N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1617</v>
      </c>
      <c r="O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42810</v>
      </c>
      <c r="P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59" t="str">
        <f ca="1">IF(Tabulka[[#This Row],[15_vzpl]]=0,"",Tabulka[[#This Row],[14_vzsk]]/Tabulka[[#This Row],[15_vzpl]])</f>
        <v/>
      </c>
      <c r="S12" s="258" t="str">
        <f ca="1">IF(Tabulka[[#This Row],[15_vzpl]]-Tabulka[[#This Row],[14_vzsk]]=0,"",Tabulka[[#This Row],[15_vzpl]]-Tabulka[[#This Row],[14_vzsk]])</f>
        <v/>
      </c>
    </row>
    <row r="13" spans="1:19" x14ac:dyDescent="0.3">
      <c r="A13" s="257" t="s">
        <v>346</v>
      </c>
      <c r="B13" s="256"/>
      <c r="C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</v>
      </c>
      <c r="H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1180</v>
      </c>
      <c r="N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1180</v>
      </c>
      <c r="O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32503</v>
      </c>
      <c r="P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59" t="str">
        <f ca="1">IF(Tabulka[[#This Row],[15_vzpl]]=0,"",Tabulka[[#This Row],[14_vzsk]]/Tabulka[[#This Row],[15_vzpl]])</f>
        <v/>
      </c>
      <c r="S13" s="258" t="str">
        <f ca="1">IF(Tabulka[[#This Row],[15_vzpl]]-Tabulka[[#This Row],[14_vzsk]]=0,"",Tabulka[[#This Row],[15_vzpl]]-Tabulka[[#This Row],[14_vzsk]])</f>
        <v/>
      </c>
    </row>
    <row r="14" spans="1:19" x14ac:dyDescent="0.3">
      <c r="A14" s="257">
        <v>526</v>
      </c>
      <c r="B14" s="256" t="s">
        <v>365</v>
      </c>
      <c r="C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</v>
      </c>
      <c r="H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1180</v>
      </c>
      <c r="N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1180</v>
      </c>
      <c r="O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32503</v>
      </c>
      <c r="P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9" t="str">
        <f ca="1">IF(Tabulka[[#This Row],[15_vzpl]]=0,"",Tabulka[[#This Row],[14_vzsk]]/Tabulka[[#This Row],[15_vzpl]])</f>
        <v/>
      </c>
      <c r="S14" s="258" t="str">
        <f ca="1">IF(Tabulka[[#This Row],[15_vzpl]]-Tabulka[[#This Row],[14_vzsk]]=0,"",Tabulka[[#This Row],[15_vzpl]]-Tabulka[[#This Row],[14_vzsk]])</f>
        <v/>
      </c>
    </row>
    <row r="15" spans="1:19" x14ac:dyDescent="0.3">
      <c r="A15" s="257" t="s">
        <v>347</v>
      </c>
      <c r="B15" s="256"/>
      <c r="C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0.68333333333333313</v>
      </c>
      <c r="D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1188</v>
      </c>
      <c r="H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36174</v>
      </c>
      <c r="N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36174</v>
      </c>
      <c r="O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178617</v>
      </c>
      <c r="P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59" t="str">
        <f ca="1">IF(Tabulka[[#This Row],[15_vzpl]]=0,"",Tabulka[[#This Row],[14_vzsk]]/Tabulka[[#This Row],[15_vzpl]])</f>
        <v/>
      </c>
      <c r="S15" s="258" t="str">
        <f ca="1">IF(Tabulka[[#This Row],[15_vzpl]]-Tabulka[[#This Row],[14_vzsk]]=0,"",Tabulka[[#This Row],[15_vzpl]]-Tabulka[[#This Row],[14_vzsk]])</f>
        <v/>
      </c>
    </row>
    <row r="16" spans="1:19" x14ac:dyDescent="0.3">
      <c r="A16" s="257">
        <v>30</v>
      </c>
      <c r="B16" s="256" t="s">
        <v>366</v>
      </c>
      <c r="C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0.68333333333333313</v>
      </c>
      <c r="D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1188</v>
      </c>
      <c r="H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36174</v>
      </c>
      <c r="N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36174</v>
      </c>
      <c r="O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178617</v>
      </c>
      <c r="P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59" t="str">
        <f ca="1">IF(Tabulka[[#This Row],[15_vzpl]]=0,"",Tabulka[[#This Row],[14_vzsk]]/Tabulka[[#This Row],[15_vzpl]])</f>
        <v/>
      </c>
      <c r="S16" s="258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218</v>
      </c>
    </row>
    <row r="18" spans="1:1" x14ac:dyDescent="0.3">
      <c r="A18" s="110" t="s">
        <v>145</v>
      </c>
    </row>
    <row r="19" spans="1:1" x14ac:dyDescent="0.3">
      <c r="A19" s="111" t="s">
        <v>188</v>
      </c>
    </row>
    <row r="20" spans="1:1" x14ac:dyDescent="0.3">
      <c r="A20" s="249" t="s">
        <v>187</v>
      </c>
    </row>
    <row r="21" spans="1:1" x14ac:dyDescent="0.3">
      <c r="A21" s="228" t="s">
        <v>172</v>
      </c>
    </row>
    <row r="22" spans="1:1" x14ac:dyDescent="0.3">
      <c r="A22" s="230" t="s">
        <v>177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1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360</v>
      </c>
    </row>
    <row r="2" spans="1:19" x14ac:dyDescent="0.3">
      <c r="A2" s="225" t="s">
        <v>241</v>
      </c>
    </row>
    <row r="3" spans="1:19" x14ac:dyDescent="0.3">
      <c r="A3" s="295" t="s">
        <v>149</v>
      </c>
      <c r="B3" s="294">
        <v>2018</v>
      </c>
      <c r="C3" t="s">
        <v>217</v>
      </c>
      <c r="D3" t="s">
        <v>208</v>
      </c>
      <c r="E3" t="s">
        <v>206</v>
      </c>
      <c r="F3" t="s">
        <v>205</v>
      </c>
      <c r="G3" t="s">
        <v>204</v>
      </c>
      <c r="H3" t="s">
        <v>203</v>
      </c>
      <c r="I3" t="s">
        <v>202</v>
      </c>
      <c r="J3" t="s">
        <v>201</v>
      </c>
      <c r="K3" t="s">
        <v>200</v>
      </c>
      <c r="L3" t="s">
        <v>199</v>
      </c>
      <c r="M3" t="s">
        <v>198</v>
      </c>
      <c r="N3" t="s">
        <v>197</v>
      </c>
      <c r="O3" t="s">
        <v>196</v>
      </c>
      <c r="P3" t="s">
        <v>195</v>
      </c>
      <c r="Q3" t="s">
        <v>194</v>
      </c>
      <c r="R3" t="s">
        <v>193</v>
      </c>
      <c r="S3" t="s">
        <v>192</v>
      </c>
    </row>
    <row r="4" spans="1:19" x14ac:dyDescent="0.3">
      <c r="A4" s="293" t="s">
        <v>150</v>
      </c>
      <c r="B4" s="292">
        <v>1</v>
      </c>
      <c r="C4" s="287">
        <v>1</v>
      </c>
      <c r="D4" s="287" t="s">
        <v>189</v>
      </c>
      <c r="E4" s="286">
        <v>1.5</v>
      </c>
      <c r="F4" s="286"/>
      <c r="G4" s="286"/>
      <c r="H4" s="286"/>
      <c r="I4" s="286">
        <v>256</v>
      </c>
      <c r="J4" s="286"/>
      <c r="K4" s="286"/>
      <c r="L4" s="286"/>
      <c r="M4" s="286"/>
      <c r="N4" s="286"/>
      <c r="O4" s="286"/>
      <c r="P4" s="286"/>
      <c r="Q4" s="286">
        <v>81946</v>
      </c>
      <c r="R4" s="286">
        <v>1950</v>
      </c>
      <c r="S4" s="286">
        <v>524.56318948772559</v>
      </c>
    </row>
    <row r="5" spans="1:19" x14ac:dyDescent="0.3">
      <c r="A5" s="291" t="s">
        <v>151</v>
      </c>
      <c r="B5" s="290">
        <v>2</v>
      </c>
      <c r="C5">
        <v>1</v>
      </c>
      <c r="D5">
        <v>99</v>
      </c>
      <c r="R5">
        <v>1950</v>
      </c>
      <c r="S5">
        <v>524.56318948772559</v>
      </c>
    </row>
    <row r="6" spans="1:19" x14ac:dyDescent="0.3">
      <c r="A6" s="293" t="s">
        <v>152</v>
      </c>
      <c r="B6" s="292">
        <v>3</v>
      </c>
      <c r="C6">
        <v>1</v>
      </c>
      <c r="D6">
        <v>100</v>
      </c>
      <c r="E6">
        <v>0.5</v>
      </c>
      <c r="I6">
        <v>88</v>
      </c>
      <c r="Q6">
        <v>18905</v>
      </c>
    </row>
    <row r="7" spans="1:19" x14ac:dyDescent="0.3">
      <c r="A7" s="291" t="s">
        <v>153</v>
      </c>
      <c r="B7" s="290">
        <v>4</v>
      </c>
      <c r="C7">
        <v>1</v>
      </c>
      <c r="D7">
        <v>101</v>
      </c>
      <c r="E7">
        <v>1</v>
      </c>
      <c r="I7">
        <v>168</v>
      </c>
      <c r="Q7">
        <v>63041</v>
      </c>
    </row>
    <row r="8" spans="1:19" x14ac:dyDescent="0.3">
      <c r="A8" s="293" t="s">
        <v>154</v>
      </c>
      <c r="B8" s="292">
        <v>5</v>
      </c>
      <c r="C8">
        <v>1</v>
      </c>
      <c r="D8" t="s">
        <v>346</v>
      </c>
      <c r="E8">
        <v>0.05</v>
      </c>
      <c r="I8">
        <v>9.1999999999999993</v>
      </c>
      <c r="Q8">
        <v>2606</v>
      </c>
    </row>
    <row r="9" spans="1:19" x14ac:dyDescent="0.3">
      <c r="A9" s="291" t="s">
        <v>155</v>
      </c>
      <c r="B9" s="290">
        <v>6</v>
      </c>
      <c r="C9">
        <v>1</v>
      </c>
      <c r="D9">
        <v>526</v>
      </c>
      <c r="E9">
        <v>0.05</v>
      </c>
      <c r="I9">
        <v>9.1999999999999993</v>
      </c>
      <c r="Q9">
        <v>2606</v>
      </c>
    </row>
    <row r="10" spans="1:19" x14ac:dyDescent="0.3">
      <c r="A10" s="293" t="s">
        <v>156</v>
      </c>
      <c r="B10" s="292">
        <v>7</v>
      </c>
      <c r="C10">
        <v>1</v>
      </c>
      <c r="D10" t="s">
        <v>347</v>
      </c>
      <c r="E10">
        <v>0.6</v>
      </c>
      <c r="I10">
        <v>110.4</v>
      </c>
      <c r="Q10">
        <v>10347</v>
      </c>
    </row>
    <row r="11" spans="1:19" x14ac:dyDescent="0.3">
      <c r="A11" s="291" t="s">
        <v>157</v>
      </c>
      <c r="B11" s="290">
        <v>8</v>
      </c>
      <c r="C11">
        <v>1</v>
      </c>
      <c r="D11">
        <v>30</v>
      </c>
      <c r="E11">
        <v>0.6</v>
      </c>
      <c r="I11">
        <v>110.4</v>
      </c>
      <c r="Q11">
        <v>10347</v>
      </c>
    </row>
    <row r="12" spans="1:19" x14ac:dyDescent="0.3">
      <c r="A12" s="293" t="s">
        <v>158</v>
      </c>
      <c r="B12" s="292">
        <v>9</v>
      </c>
      <c r="C12" t="s">
        <v>348</v>
      </c>
      <c r="E12">
        <v>2.15</v>
      </c>
      <c r="I12">
        <v>375.6</v>
      </c>
      <c r="Q12">
        <v>94899</v>
      </c>
      <c r="R12">
        <v>1950</v>
      </c>
      <c r="S12">
        <v>524.56318948772559</v>
      </c>
    </row>
    <row r="13" spans="1:19" x14ac:dyDescent="0.3">
      <c r="A13" s="291" t="s">
        <v>159</v>
      </c>
      <c r="B13" s="290">
        <v>10</v>
      </c>
      <c r="C13">
        <v>2</v>
      </c>
      <c r="D13" t="s">
        <v>189</v>
      </c>
      <c r="E13">
        <v>1.5</v>
      </c>
      <c r="I13">
        <v>232</v>
      </c>
      <c r="Q13">
        <v>80521</v>
      </c>
      <c r="S13">
        <v>524.56318948772559</v>
      </c>
    </row>
    <row r="14" spans="1:19" x14ac:dyDescent="0.3">
      <c r="A14" s="293" t="s">
        <v>160</v>
      </c>
      <c r="B14" s="292">
        <v>11</v>
      </c>
      <c r="C14">
        <v>2</v>
      </c>
      <c r="D14">
        <v>99</v>
      </c>
      <c r="S14">
        <v>524.56318948772559</v>
      </c>
    </row>
    <row r="15" spans="1:19" x14ac:dyDescent="0.3">
      <c r="A15" s="291" t="s">
        <v>161</v>
      </c>
      <c r="B15" s="290">
        <v>12</v>
      </c>
      <c r="C15">
        <v>2</v>
      </c>
      <c r="D15">
        <v>100</v>
      </c>
      <c r="E15">
        <v>0.5</v>
      </c>
      <c r="I15">
        <v>80</v>
      </c>
      <c r="Q15">
        <v>18875</v>
      </c>
    </row>
    <row r="16" spans="1:19" x14ac:dyDescent="0.3">
      <c r="A16" s="289" t="s">
        <v>149</v>
      </c>
      <c r="B16" s="288">
        <v>2018</v>
      </c>
      <c r="C16">
        <v>2</v>
      </c>
      <c r="D16">
        <v>101</v>
      </c>
      <c r="E16">
        <v>1</v>
      </c>
      <c r="I16">
        <v>152</v>
      </c>
      <c r="Q16">
        <v>61646</v>
      </c>
    </row>
    <row r="17" spans="3:19" x14ac:dyDescent="0.3">
      <c r="C17">
        <v>2</v>
      </c>
      <c r="D17" t="s">
        <v>346</v>
      </c>
      <c r="E17">
        <v>0.05</v>
      </c>
      <c r="I17">
        <v>8</v>
      </c>
      <c r="Q17">
        <v>2606</v>
      </c>
    </row>
    <row r="18" spans="3:19" x14ac:dyDescent="0.3">
      <c r="C18">
        <v>2</v>
      </c>
      <c r="D18">
        <v>526</v>
      </c>
      <c r="E18">
        <v>0.05</v>
      </c>
      <c r="I18">
        <v>8</v>
      </c>
      <c r="Q18">
        <v>2606</v>
      </c>
    </row>
    <row r="19" spans="3:19" x14ac:dyDescent="0.3">
      <c r="C19">
        <v>2</v>
      </c>
      <c r="D19" t="s">
        <v>347</v>
      </c>
      <c r="E19">
        <v>0.6</v>
      </c>
      <c r="I19">
        <v>96</v>
      </c>
      <c r="O19">
        <v>25000</v>
      </c>
      <c r="P19">
        <v>25000</v>
      </c>
      <c r="Q19">
        <v>11397</v>
      </c>
    </row>
    <row r="20" spans="3:19" x14ac:dyDescent="0.3">
      <c r="C20">
        <v>2</v>
      </c>
      <c r="D20">
        <v>30</v>
      </c>
      <c r="E20">
        <v>0.6</v>
      </c>
      <c r="I20">
        <v>96</v>
      </c>
      <c r="O20">
        <v>25000</v>
      </c>
      <c r="P20">
        <v>25000</v>
      </c>
      <c r="Q20">
        <v>11397</v>
      </c>
    </row>
    <row r="21" spans="3:19" x14ac:dyDescent="0.3">
      <c r="C21" t="s">
        <v>349</v>
      </c>
      <c r="E21">
        <v>2.15</v>
      </c>
      <c r="I21">
        <v>336</v>
      </c>
      <c r="O21">
        <v>25000</v>
      </c>
      <c r="P21">
        <v>25000</v>
      </c>
      <c r="Q21">
        <v>94524</v>
      </c>
      <c r="S21">
        <v>524.56318948772559</v>
      </c>
    </row>
    <row r="22" spans="3:19" x14ac:dyDescent="0.3">
      <c r="C22">
        <v>3</v>
      </c>
      <c r="D22" t="s">
        <v>189</v>
      </c>
      <c r="E22">
        <v>1.5</v>
      </c>
      <c r="I22">
        <v>244</v>
      </c>
      <c r="Q22">
        <v>83025</v>
      </c>
      <c r="R22">
        <v>8000</v>
      </c>
      <c r="S22">
        <v>524.56318948772559</v>
      </c>
    </row>
    <row r="23" spans="3:19" x14ac:dyDescent="0.3">
      <c r="C23">
        <v>3</v>
      </c>
      <c r="D23">
        <v>99</v>
      </c>
      <c r="R23">
        <v>8000</v>
      </c>
      <c r="S23">
        <v>524.56318948772559</v>
      </c>
    </row>
    <row r="24" spans="3:19" x14ac:dyDescent="0.3">
      <c r="C24">
        <v>3</v>
      </c>
      <c r="D24">
        <v>100</v>
      </c>
      <c r="E24">
        <v>0.5</v>
      </c>
      <c r="I24">
        <v>84</v>
      </c>
      <c r="Q24">
        <v>18868</v>
      </c>
    </row>
    <row r="25" spans="3:19" x14ac:dyDescent="0.3">
      <c r="C25">
        <v>3</v>
      </c>
      <c r="D25">
        <v>101</v>
      </c>
      <c r="E25">
        <v>1</v>
      </c>
      <c r="I25">
        <v>160</v>
      </c>
      <c r="Q25">
        <v>64157</v>
      </c>
    </row>
    <row r="26" spans="3:19" x14ac:dyDescent="0.3">
      <c r="C26">
        <v>3</v>
      </c>
      <c r="D26" t="s">
        <v>346</v>
      </c>
      <c r="E26">
        <v>0.05</v>
      </c>
      <c r="I26">
        <v>8.8000000000000007</v>
      </c>
      <c r="Q26">
        <v>2606</v>
      </c>
    </row>
    <row r="27" spans="3:19" x14ac:dyDescent="0.3">
      <c r="C27">
        <v>3</v>
      </c>
      <c r="D27">
        <v>526</v>
      </c>
      <c r="E27">
        <v>0.05</v>
      </c>
      <c r="I27">
        <v>8.8000000000000007</v>
      </c>
      <c r="Q27">
        <v>2606</v>
      </c>
    </row>
    <row r="28" spans="3:19" x14ac:dyDescent="0.3">
      <c r="C28">
        <v>3</v>
      </c>
      <c r="D28" t="s">
        <v>347</v>
      </c>
      <c r="E28">
        <v>0.6</v>
      </c>
      <c r="I28">
        <v>105.6</v>
      </c>
      <c r="Q28">
        <v>11572</v>
      </c>
    </row>
    <row r="29" spans="3:19" x14ac:dyDescent="0.3">
      <c r="C29">
        <v>3</v>
      </c>
      <c r="D29">
        <v>30</v>
      </c>
      <c r="E29">
        <v>0.6</v>
      </c>
      <c r="I29">
        <v>105.6</v>
      </c>
      <c r="Q29">
        <v>11572</v>
      </c>
    </row>
    <row r="30" spans="3:19" x14ac:dyDescent="0.3">
      <c r="C30" t="s">
        <v>350</v>
      </c>
      <c r="E30">
        <v>2.15</v>
      </c>
      <c r="I30">
        <v>358.4</v>
      </c>
      <c r="Q30">
        <v>97203</v>
      </c>
      <c r="R30">
        <v>8000</v>
      </c>
      <c r="S30">
        <v>524.56318948772559</v>
      </c>
    </row>
    <row r="31" spans="3:19" x14ac:dyDescent="0.3">
      <c r="C31">
        <v>4</v>
      </c>
      <c r="D31" t="s">
        <v>189</v>
      </c>
      <c r="E31">
        <v>1.5</v>
      </c>
      <c r="I31">
        <v>232</v>
      </c>
      <c r="Q31">
        <v>79344</v>
      </c>
      <c r="S31">
        <v>524.56318948772559</v>
      </c>
    </row>
    <row r="32" spans="3:19" x14ac:dyDescent="0.3">
      <c r="C32">
        <v>4</v>
      </c>
      <c r="D32">
        <v>99</v>
      </c>
      <c r="S32">
        <v>524.56318948772559</v>
      </c>
    </row>
    <row r="33" spans="3:19" x14ac:dyDescent="0.3">
      <c r="C33">
        <v>4</v>
      </c>
      <c r="D33">
        <v>100</v>
      </c>
      <c r="E33">
        <v>0.5</v>
      </c>
      <c r="I33">
        <v>68</v>
      </c>
      <c r="Q33">
        <v>18987</v>
      </c>
    </row>
    <row r="34" spans="3:19" x14ac:dyDescent="0.3">
      <c r="C34">
        <v>4</v>
      </c>
      <c r="D34">
        <v>101</v>
      </c>
      <c r="E34">
        <v>1</v>
      </c>
      <c r="I34">
        <v>164</v>
      </c>
      <c r="Q34">
        <v>60357</v>
      </c>
    </row>
    <row r="35" spans="3:19" x14ac:dyDescent="0.3">
      <c r="C35">
        <v>4</v>
      </c>
      <c r="D35" t="s">
        <v>346</v>
      </c>
      <c r="E35">
        <v>0.05</v>
      </c>
      <c r="I35">
        <v>8.4</v>
      </c>
      <c r="Q35">
        <v>2606</v>
      </c>
    </row>
    <row r="36" spans="3:19" x14ac:dyDescent="0.3">
      <c r="C36">
        <v>4</v>
      </c>
      <c r="D36">
        <v>526</v>
      </c>
      <c r="E36">
        <v>0.05</v>
      </c>
      <c r="I36">
        <v>8.4</v>
      </c>
      <c r="Q36">
        <v>2606</v>
      </c>
    </row>
    <row r="37" spans="3:19" x14ac:dyDescent="0.3">
      <c r="C37">
        <v>4</v>
      </c>
      <c r="D37" t="s">
        <v>347</v>
      </c>
      <c r="E37">
        <v>0.6</v>
      </c>
      <c r="I37">
        <v>100.8</v>
      </c>
      <c r="Q37">
        <v>11572</v>
      </c>
    </row>
    <row r="38" spans="3:19" x14ac:dyDescent="0.3">
      <c r="C38">
        <v>4</v>
      </c>
      <c r="D38">
        <v>30</v>
      </c>
      <c r="E38">
        <v>0.6</v>
      </c>
      <c r="I38">
        <v>100.8</v>
      </c>
      <c r="Q38">
        <v>11572</v>
      </c>
    </row>
    <row r="39" spans="3:19" x14ac:dyDescent="0.3">
      <c r="C39" t="s">
        <v>351</v>
      </c>
      <c r="E39">
        <v>2.15</v>
      </c>
      <c r="I39">
        <v>341.2</v>
      </c>
      <c r="Q39">
        <v>93522</v>
      </c>
      <c r="S39">
        <v>524.56318948772559</v>
      </c>
    </row>
    <row r="40" spans="3:19" x14ac:dyDescent="0.3">
      <c r="C40">
        <v>5</v>
      </c>
      <c r="D40" t="s">
        <v>189</v>
      </c>
      <c r="E40">
        <v>1.7</v>
      </c>
      <c r="I40">
        <v>284.8</v>
      </c>
      <c r="Q40">
        <v>84590</v>
      </c>
      <c r="S40">
        <v>524.56318948772559</v>
      </c>
    </row>
    <row r="41" spans="3:19" x14ac:dyDescent="0.3">
      <c r="C41">
        <v>5</v>
      </c>
      <c r="D41">
        <v>99</v>
      </c>
      <c r="S41">
        <v>524.56318948772559</v>
      </c>
    </row>
    <row r="42" spans="3:19" x14ac:dyDescent="0.3">
      <c r="C42">
        <v>5</v>
      </c>
      <c r="D42">
        <v>100</v>
      </c>
      <c r="E42">
        <v>0.5</v>
      </c>
      <c r="I42">
        <v>64</v>
      </c>
      <c r="Q42">
        <v>19617</v>
      </c>
    </row>
    <row r="43" spans="3:19" x14ac:dyDescent="0.3">
      <c r="C43">
        <v>5</v>
      </c>
      <c r="D43">
        <v>101</v>
      </c>
      <c r="E43">
        <v>1</v>
      </c>
      <c r="I43">
        <v>184</v>
      </c>
      <c r="Q43">
        <v>59835</v>
      </c>
    </row>
    <row r="44" spans="3:19" x14ac:dyDescent="0.3">
      <c r="C44">
        <v>5</v>
      </c>
      <c r="D44">
        <v>203</v>
      </c>
      <c r="E44">
        <v>0.2</v>
      </c>
      <c r="I44">
        <v>36.799999999999997</v>
      </c>
      <c r="Q44">
        <v>5138</v>
      </c>
    </row>
    <row r="45" spans="3:19" x14ac:dyDescent="0.3">
      <c r="C45">
        <v>5</v>
      </c>
      <c r="D45" t="s">
        <v>346</v>
      </c>
      <c r="E45">
        <v>0.05</v>
      </c>
      <c r="I45">
        <v>9.1999999999999993</v>
      </c>
      <c r="Q45">
        <v>2606</v>
      </c>
    </row>
    <row r="46" spans="3:19" x14ac:dyDescent="0.3">
      <c r="C46">
        <v>5</v>
      </c>
      <c r="D46">
        <v>526</v>
      </c>
      <c r="E46">
        <v>0.05</v>
      </c>
      <c r="I46">
        <v>9.1999999999999993</v>
      </c>
      <c r="Q46">
        <v>2606</v>
      </c>
    </row>
    <row r="47" spans="3:19" x14ac:dyDescent="0.3">
      <c r="C47">
        <v>5</v>
      </c>
      <c r="D47" t="s">
        <v>347</v>
      </c>
      <c r="E47">
        <v>1.1000000000000001</v>
      </c>
      <c r="I47">
        <v>110.4</v>
      </c>
      <c r="Q47">
        <v>15734</v>
      </c>
    </row>
    <row r="48" spans="3:19" x14ac:dyDescent="0.3">
      <c r="C48">
        <v>5</v>
      </c>
      <c r="D48">
        <v>30</v>
      </c>
      <c r="E48">
        <v>1.1000000000000001</v>
      </c>
      <c r="I48">
        <v>110.4</v>
      </c>
      <c r="Q48">
        <v>15734</v>
      </c>
    </row>
    <row r="49" spans="3:19" x14ac:dyDescent="0.3">
      <c r="C49" t="s">
        <v>352</v>
      </c>
      <c r="E49">
        <v>2.85</v>
      </c>
      <c r="I49">
        <v>404.4</v>
      </c>
      <c r="Q49">
        <v>102930</v>
      </c>
      <c r="S49">
        <v>524.56318948772559</v>
      </c>
    </row>
    <row r="50" spans="3:19" x14ac:dyDescent="0.3">
      <c r="C50">
        <v>6</v>
      </c>
      <c r="D50" t="s">
        <v>189</v>
      </c>
      <c r="E50">
        <v>1.7</v>
      </c>
      <c r="I50">
        <v>269.60000000000002</v>
      </c>
      <c r="Q50">
        <v>85936</v>
      </c>
      <c r="S50">
        <v>524.56318948772559</v>
      </c>
    </row>
    <row r="51" spans="3:19" x14ac:dyDescent="0.3">
      <c r="C51">
        <v>6</v>
      </c>
      <c r="D51">
        <v>99</v>
      </c>
      <c r="S51">
        <v>524.56318948772559</v>
      </c>
    </row>
    <row r="52" spans="3:19" x14ac:dyDescent="0.3">
      <c r="C52">
        <v>6</v>
      </c>
      <c r="D52">
        <v>100</v>
      </c>
      <c r="E52">
        <v>0.5</v>
      </c>
      <c r="I52">
        <v>84</v>
      </c>
      <c r="Q52">
        <v>18875</v>
      </c>
    </row>
    <row r="53" spans="3:19" x14ac:dyDescent="0.3">
      <c r="C53">
        <v>6</v>
      </c>
      <c r="D53">
        <v>101</v>
      </c>
      <c r="E53">
        <v>1</v>
      </c>
      <c r="I53">
        <v>152</v>
      </c>
      <c r="Q53">
        <v>61923</v>
      </c>
    </row>
    <row r="54" spans="3:19" x14ac:dyDescent="0.3">
      <c r="C54">
        <v>6</v>
      </c>
      <c r="D54">
        <v>203</v>
      </c>
      <c r="E54">
        <v>0.2</v>
      </c>
      <c r="I54">
        <v>33.6</v>
      </c>
      <c r="Q54">
        <v>5138</v>
      </c>
    </row>
    <row r="55" spans="3:19" x14ac:dyDescent="0.3">
      <c r="C55">
        <v>6</v>
      </c>
      <c r="D55" t="s">
        <v>346</v>
      </c>
      <c r="E55">
        <v>0.05</v>
      </c>
      <c r="I55">
        <v>8.4</v>
      </c>
      <c r="Q55">
        <v>2606</v>
      </c>
    </row>
    <row r="56" spans="3:19" x14ac:dyDescent="0.3">
      <c r="C56">
        <v>6</v>
      </c>
      <c r="D56">
        <v>526</v>
      </c>
      <c r="E56">
        <v>0.05</v>
      </c>
      <c r="I56">
        <v>8.4</v>
      </c>
      <c r="Q56">
        <v>2606</v>
      </c>
    </row>
    <row r="57" spans="3:19" x14ac:dyDescent="0.3">
      <c r="C57">
        <v>6</v>
      </c>
      <c r="D57" t="s">
        <v>347</v>
      </c>
      <c r="E57">
        <v>1.1000000000000001</v>
      </c>
      <c r="I57">
        <v>100.8</v>
      </c>
      <c r="Q57">
        <v>23537</v>
      </c>
    </row>
    <row r="58" spans="3:19" x14ac:dyDescent="0.3">
      <c r="C58">
        <v>6</v>
      </c>
      <c r="D58">
        <v>30</v>
      </c>
      <c r="E58">
        <v>1.1000000000000001</v>
      </c>
      <c r="I58">
        <v>100.8</v>
      </c>
      <c r="Q58">
        <v>23537</v>
      </c>
    </row>
    <row r="59" spans="3:19" x14ac:dyDescent="0.3">
      <c r="C59" t="s">
        <v>353</v>
      </c>
      <c r="E59">
        <v>2.85</v>
      </c>
      <c r="I59">
        <v>378.8</v>
      </c>
      <c r="Q59">
        <v>112079</v>
      </c>
      <c r="S59">
        <v>524.56318948772559</v>
      </c>
    </row>
    <row r="60" spans="3:19" x14ac:dyDescent="0.3">
      <c r="C60">
        <v>7</v>
      </c>
      <c r="D60" t="s">
        <v>189</v>
      </c>
      <c r="E60">
        <v>1.7</v>
      </c>
      <c r="I60">
        <v>208</v>
      </c>
      <c r="O60">
        <v>86965</v>
      </c>
      <c r="P60">
        <v>86965</v>
      </c>
      <c r="Q60">
        <v>174838</v>
      </c>
      <c r="S60">
        <v>524.56318948772559</v>
      </c>
    </row>
    <row r="61" spans="3:19" x14ac:dyDescent="0.3">
      <c r="C61">
        <v>7</v>
      </c>
      <c r="D61">
        <v>99</v>
      </c>
      <c r="S61">
        <v>524.56318948772559</v>
      </c>
    </row>
    <row r="62" spans="3:19" x14ac:dyDescent="0.3">
      <c r="C62">
        <v>7</v>
      </c>
      <c r="D62">
        <v>101</v>
      </c>
      <c r="E62">
        <v>1.5</v>
      </c>
      <c r="I62">
        <v>176</v>
      </c>
      <c r="O62">
        <v>86965</v>
      </c>
      <c r="P62">
        <v>86965</v>
      </c>
      <c r="Q62">
        <v>169700</v>
      </c>
    </row>
    <row r="63" spans="3:19" x14ac:dyDescent="0.3">
      <c r="C63">
        <v>7</v>
      </c>
      <c r="D63">
        <v>203</v>
      </c>
      <c r="E63">
        <v>0.2</v>
      </c>
      <c r="I63">
        <v>32</v>
      </c>
      <c r="Q63">
        <v>5138</v>
      </c>
    </row>
    <row r="64" spans="3:19" x14ac:dyDescent="0.3">
      <c r="C64">
        <v>7</v>
      </c>
      <c r="D64" t="s">
        <v>346</v>
      </c>
      <c r="E64">
        <v>0.05</v>
      </c>
      <c r="I64">
        <v>4.4000000000000004</v>
      </c>
      <c r="O64">
        <v>679</v>
      </c>
      <c r="P64">
        <v>679</v>
      </c>
      <c r="Q64">
        <v>3305</v>
      </c>
    </row>
    <row r="65" spans="3:19" x14ac:dyDescent="0.3">
      <c r="C65">
        <v>7</v>
      </c>
      <c r="D65">
        <v>526</v>
      </c>
      <c r="E65">
        <v>0.05</v>
      </c>
      <c r="I65">
        <v>4.4000000000000004</v>
      </c>
      <c r="O65">
        <v>679</v>
      </c>
      <c r="P65">
        <v>679</v>
      </c>
      <c r="Q65">
        <v>3305</v>
      </c>
    </row>
    <row r="66" spans="3:19" x14ac:dyDescent="0.3">
      <c r="C66">
        <v>7</v>
      </c>
      <c r="D66" t="s">
        <v>347</v>
      </c>
      <c r="E66">
        <v>0.6</v>
      </c>
      <c r="I66">
        <v>59.2</v>
      </c>
      <c r="O66">
        <v>3225</v>
      </c>
      <c r="P66">
        <v>3225</v>
      </c>
      <c r="Q66">
        <v>20549</v>
      </c>
    </row>
    <row r="67" spans="3:19" x14ac:dyDescent="0.3">
      <c r="C67">
        <v>7</v>
      </c>
      <c r="D67">
        <v>30</v>
      </c>
      <c r="E67">
        <v>0.6</v>
      </c>
      <c r="I67">
        <v>59.2</v>
      </c>
      <c r="O67">
        <v>3225</v>
      </c>
      <c r="P67">
        <v>3225</v>
      </c>
      <c r="Q67">
        <v>20549</v>
      </c>
    </row>
    <row r="68" spans="3:19" x14ac:dyDescent="0.3">
      <c r="C68" t="s">
        <v>354</v>
      </c>
      <c r="E68">
        <v>2.35</v>
      </c>
      <c r="I68">
        <v>271.60000000000002</v>
      </c>
      <c r="O68">
        <v>90869</v>
      </c>
      <c r="P68">
        <v>90869</v>
      </c>
      <c r="Q68">
        <v>198692</v>
      </c>
      <c r="S68">
        <v>524.56318948772559</v>
      </c>
    </row>
    <row r="69" spans="3:19" x14ac:dyDescent="0.3">
      <c r="C69">
        <v>8</v>
      </c>
      <c r="D69" t="s">
        <v>189</v>
      </c>
      <c r="E69">
        <v>1.7</v>
      </c>
      <c r="I69">
        <v>256.8</v>
      </c>
      <c r="Q69">
        <v>89171</v>
      </c>
      <c r="S69">
        <v>524.56318948772559</v>
      </c>
    </row>
    <row r="70" spans="3:19" x14ac:dyDescent="0.3">
      <c r="C70">
        <v>8</v>
      </c>
      <c r="D70">
        <v>99</v>
      </c>
      <c r="S70">
        <v>524.56318948772559</v>
      </c>
    </row>
    <row r="71" spans="3:19" x14ac:dyDescent="0.3">
      <c r="C71">
        <v>8</v>
      </c>
      <c r="D71">
        <v>101</v>
      </c>
      <c r="E71">
        <v>1.5</v>
      </c>
      <c r="I71">
        <v>236</v>
      </c>
      <c r="Q71">
        <v>83930</v>
      </c>
    </row>
    <row r="72" spans="3:19" x14ac:dyDescent="0.3">
      <c r="C72">
        <v>8</v>
      </c>
      <c r="D72">
        <v>203</v>
      </c>
      <c r="E72">
        <v>0.2</v>
      </c>
      <c r="I72">
        <v>20.8</v>
      </c>
      <c r="Q72">
        <v>5241</v>
      </c>
    </row>
    <row r="73" spans="3:19" x14ac:dyDescent="0.3">
      <c r="C73">
        <v>8</v>
      </c>
      <c r="D73" t="s">
        <v>346</v>
      </c>
      <c r="E73">
        <v>0.05</v>
      </c>
      <c r="I73">
        <v>9.1999999999999993</v>
      </c>
      <c r="Q73">
        <v>2606</v>
      </c>
    </row>
    <row r="74" spans="3:19" x14ac:dyDescent="0.3">
      <c r="C74">
        <v>8</v>
      </c>
      <c r="D74">
        <v>526</v>
      </c>
      <c r="E74">
        <v>0.05</v>
      </c>
      <c r="I74">
        <v>9.1999999999999993</v>
      </c>
      <c r="Q74">
        <v>2606</v>
      </c>
    </row>
    <row r="75" spans="3:19" x14ac:dyDescent="0.3">
      <c r="C75">
        <v>8</v>
      </c>
      <c r="D75" t="s">
        <v>347</v>
      </c>
      <c r="E75">
        <v>0.6</v>
      </c>
      <c r="I75">
        <v>98.4</v>
      </c>
      <c r="Q75">
        <v>12851</v>
      </c>
    </row>
    <row r="76" spans="3:19" x14ac:dyDescent="0.3">
      <c r="C76">
        <v>8</v>
      </c>
      <c r="D76">
        <v>30</v>
      </c>
      <c r="E76">
        <v>0.6</v>
      </c>
      <c r="I76">
        <v>98.4</v>
      </c>
      <c r="Q76">
        <v>12851</v>
      </c>
    </row>
    <row r="77" spans="3:19" x14ac:dyDescent="0.3">
      <c r="C77" t="s">
        <v>355</v>
      </c>
      <c r="E77">
        <v>2.35</v>
      </c>
      <c r="I77">
        <v>364.4</v>
      </c>
      <c r="Q77">
        <v>104628</v>
      </c>
      <c r="S77">
        <v>524.56318948772559</v>
      </c>
    </row>
    <row r="78" spans="3:19" x14ac:dyDescent="0.3">
      <c r="C78">
        <v>9</v>
      </c>
      <c r="D78" t="s">
        <v>189</v>
      </c>
      <c r="E78">
        <v>1.7</v>
      </c>
      <c r="I78">
        <v>272</v>
      </c>
      <c r="Q78">
        <v>88678</v>
      </c>
      <c r="S78">
        <v>524.56318948772559</v>
      </c>
    </row>
    <row r="79" spans="3:19" x14ac:dyDescent="0.3">
      <c r="C79">
        <v>9</v>
      </c>
      <c r="D79">
        <v>99</v>
      </c>
      <c r="S79">
        <v>524.56318948772559</v>
      </c>
    </row>
    <row r="80" spans="3:19" x14ac:dyDescent="0.3">
      <c r="C80">
        <v>9</v>
      </c>
      <c r="D80">
        <v>101</v>
      </c>
      <c r="E80">
        <v>1.5</v>
      </c>
      <c r="I80">
        <v>240</v>
      </c>
      <c r="Q80">
        <v>83540</v>
      </c>
    </row>
    <row r="81" spans="3:19" x14ac:dyDescent="0.3">
      <c r="C81">
        <v>9</v>
      </c>
      <c r="D81">
        <v>203</v>
      </c>
      <c r="E81">
        <v>0.2</v>
      </c>
      <c r="I81">
        <v>32</v>
      </c>
      <c r="Q81">
        <v>5138</v>
      </c>
    </row>
    <row r="82" spans="3:19" x14ac:dyDescent="0.3">
      <c r="C82">
        <v>9</v>
      </c>
      <c r="D82" t="s">
        <v>346</v>
      </c>
      <c r="E82">
        <v>0.05</v>
      </c>
      <c r="I82">
        <v>8</v>
      </c>
      <c r="Q82">
        <v>2606</v>
      </c>
    </row>
    <row r="83" spans="3:19" x14ac:dyDescent="0.3">
      <c r="C83">
        <v>9</v>
      </c>
      <c r="D83">
        <v>526</v>
      </c>
      <c r="E83">
        <v>0.05</v>
      </c>
      <c r="I83">
        <v>8</v>
      </c>
      <c r="Q83">
        <v>2606</v>
      </c>
    </row>
    <row r="84" spans="3:19" x14ac:dyDescent="0.3">
      <c r="C84">
        <v>9</v>
      </c>
      <c r="D84" t="s">
        <v>347</v>
      </c>
      <c r="E84">
        <v>0.6</v>
      </c>
      <c r="I84">
        <v>96</v>
      </c>
      <c r="Q84">
        <v>12772</v>
      </c>
    </row>
    <row r="85" spans="3:19" x14ac:dyDescent="0.3">
      <c r="C85">
        <v>9</v>
      </c>
      <c r="D85">
        <v>30</v>
      </c>
      <c r="E85">
        <v>0.6</v>
      </c>
      <c r="I85">
        <v>96</v>
      </c>
      <c r="Q85">
        <v>12772</v>
      </c>
    </row>
    <row r="86" spans="3:19" x14ac:dyDescent="0.3">
      <c r="C86" t="s">
        <v>356</v>
      </c>
      <c r="E86">
        <v>2.35</v>
      </c>
      <c r="I86">
        <v>376</v>
      </c>
      <c r="Q86">
        <v>104056</v>
      </c>
      <c r="S86">
        <v>524.56318948772559</v>
      </c>
    </row>
    <row r="87" spans="3:19" x14ac:dyDescent="0.3">
      <c r="C87">
        <v>10</v>
      </c>
      <c r="D87" t="s">
        <v>189</v>
      </c>
      <c r="E87">
        <v>1.7</v>
      </c>
      <c r="I87">
        <v>312.8</v>
      </c>
      <c r="Q87">
        <v>88678</v>
      </c>
      <c r="S87">
        <v>524.56318948772559</v>
      </c>
    </row>
    <row r="88" spans="3:19" x14ac:dyDescent="0.3">
      <c r="C88">
        <v>10</v>
      </c>
      <c r="D88">
        <v>99</v>
      </c>
      <c r="S88">
        <v>524.56318948772559</v>
      </c>
    </row>
    <row r="89" spans="3:19" x14ac:dyDescent="0.3">
      <c r="C89">
        <v>10</v>
      </c>
      <c r="D89">
        <v>101</v>
      </c>
      <c r="E89">
        <v>1.5</v>
      </c>
      <c r="I89">
        <v>276</v>
      </c>
      <c r="Q89">
        <v>83540</v>
      </c>
    </row>
    <row r="90" spans="3:19" x14ac:dyDescent="0.3">
      <c r="C90">
        <v>10</v>
      </c>
      <c r="D90">
        <v>203</v>
      </c>
      <c r="E90">
        <v>0.2</v>
      </c>
      <c r="I90">
        <v>36.799999999999997</v>
      </c>
      <c r="Q90">
        <v>5138</v>
      </c>
    </row>
    <row r="91" spans="3:19" x14ac:dyDescent="0.3">
      <c r="C91">
        <v>10</v>
      </c>
      <c r="D91" t="s">
        <v>346</v>
      </c>
      <c r="E91">
        <v>0.05</v>
      </c>
      <c r="I91">
        <v>9.1999999999999993</v>
      </c>
      <c r="Q91">
        <v>2606</v>
      </c>
    </row>
    <row r="92" spans="3:19" x14ac:dyDescent="0.3">
      <c r="C92">
        <v>10</v>
      </c>
      <c r="D92">
        <v>526</v>
      </c>
      <c r="E92">
        <v>0.05</v>
      </c>
      <c r="I92">
        <v>9.1999999999999993</v>
      </c>
      <c r="Q92">
        <v>2606</v>
      </c>
    </row>
    <row r="93" spans="3:19" x14ac:dyDescent="0.3">
      <c r="C93">
        <v>10</v>
      </c>
      <c r="D93" t="s">
        <v>347</v>
      </c>
      <c r="E93">
        <v>0.6</v>
      </c>
      <c r="I93">
        <v>110.4</v>
      </c>
      <c r="Q93">
        <v>12772</v>
      </c>
    </row>
    <row r="94" spans="3:19" x14ac:dyDescent="0.3">
      <c r="C94">
        <v>10</v>
      </c>
      <c r="D94">
        <v>30</v>
      </c>
      <c r="E94">
        <v>0.6</v>
      </c>
      <c r="I94">
        <v>110.4</v>
      </c>
      <c r="Q94">
        <v>12772</v>
      </c>
    </row>
    <row r="95" spans="3:19" x14ac:dyDescent="0.3">
      <c r="C95" t="s">
        <v>357</v>
      </c>
      <c r="E95">
        <v>2.35</v>
      </c>
      <c r="I95">
        <v>432.4</v>
      </c>
      <c r="Q95">
        <v>104056</v>
      </c>
      <c r="S95">
        <v>524.56318948772559</v>
      </c>
    </row>
    <row r="96" spans="3:19" x14ac:dyDescent="0.3">
      <c r="C96">
        <v>11</v>
      </c>
      <c r="D96" t="s">
        <v>189</v>
      </c>
      <c r="E96">
        <v>1.7</v>
      </c>
      <c r="I96">
        <v>267.2</v>
      </c>
      <c r="O96">
        <v>12661</v>
      </c>
      <c r="P96">
        <v>12661</v>
      </c>
      <c r="Q96">
        <v>102322</v>
      </c>
      <c r="S96">
        <v>524.56318948772559</v>
      </c>
    </row>
    <row r="97" spans="3:19" x14ac:dyDescent="0.3">
      <c r="C97">
        <v>11</v>
      </c>
      <c r="D97">
        <v>99</v>
      </c>
      <c r="S97">
        <v>524.56318948772559</v>
      </c>
    </row>
    <row r="98" spans="3:19" x14ac:dyDescent="0.3">
      <c r="C98">
        <v>11</v>
      </c>
      <c r="D98">
        <v>101</v>
      </c>
      <c r="E98">
        <v>1.5</v>
      </c>
      <c r="I98">
        <v>232</v>
      </c>
      <c r="O98">
        <v>11044</v>
      </c>
      <c r="P98">
        <v>11044</v>
      </c>
      <c r="Q98">
        <v>95567</v>
      </c>
    </row>
    <row r="99" spans="3:19" x14ac:dyDescent="0.3">
      <c r="C99">
        <v>11</v>
      </c>
      <c r="D99">
        <v>203</v>
      </c>
      <c r="E99">
        <v>0.2</v>
      </c>
      <c r="I99">
        <v>35.200000000000003</v>
      </c>
      <c r="O99">
        <v>1617</v>
      </c>
      <c r="P99">
        <v>1617</v>
      </c>
      <c r="Q99">
        <v>6755</v>
      </c>
    </row>
    <row r="100" spans="3:19" x14ac:dyDescent="0.3">
      <c r="C100">
        <v>11</v>
      </c>
      <c r="D100" t="s">
        <v>346</v>
      </c>
      <c r="E100">
        <v>0.05</v>
      </c>
      <c r="I100">
        <v>8</v>
      </c>
      <c r="O100">
        <v>501</v>
      </c>
      <c r="P100">
        <v>501</v>
      </c>
      <c r="Q100">
        <v>3123</v>
      </c>
    </row>
    <row r="101" spans="3:19" x14ac:dyDescent="0.3">
      <c r="C101">
        <v>11</v>
      </c>
      <c r="D101">
        <v>526</v>
      </c>
      <c r="E101">
        <v>0.05</v>
      </c>
      <c r="I101">
        <v>8</v>
      </c>
      <c r="O101">
        <v>501</v>
      </c>
      <c r="P101">
        <v>501</v>
      </c>
      <c r="Q101">
        <v>3123</v>
      </c>
    </row>
    <row r="102" spans="3:19" x14ac:dyDescent="0.3">
      <c r="C102">
        <v>11</v>
      </c>
      <c r="D102" t="s">
        <v>347</v>
      </c>
      <c r="E102">
        <v>0.6</v>
      </c>
      <c r="I102">
        <v>104.8</v>
      </c>
      <c r="O102">
        <v>7949</v>
      </c>
      <c r="P102">
        <v>7949</v>
      </c>
      <c r="Q102">
        <v>21018</v>
      </c>
    </row>
    <row r="103" spans="3:19" x14ac:dyDescent="0.3">
      <c r="C103">
        <v>11</v>
      </c>
      <c r="D103">
        <v>30</v>
      </c>
      <c r="E103">
        <v>0.6</v>
      </c>
      <c r="I103">
        <v>104.8</v>
      </c>
      <c r="O103">
        <v>7949</v>
      </c>
      <c r="P103">
        <v>7949</v>
      </c>
      <c r="Q103">
        <v>21018</v>
      </c>
    </row>
    <row r="104" spans="3:19" x14ac:dyDescent="0.3">
      <c r="C104" t="s">
        <v>358</v>
      </c>
      <c r="E104">
        <v>2.35</v>
      </c>
      <c r="I104">
        <v>380</v>
      </c>
      <c r="O104">
        <v>21111</v>
      </c>
      <c r="P104">
        <v>21111</v>
      </c>
      <c r="Q104">
        <v>126463</v>
      </c>
      <c r="S104">
        <v>524.56318948772559</v>
      </c>
    </row>
    <row r="105" spans="3:19" x14ac:dyDescent="0.3">
      <c r="C105">
        <v>12</v>
      </c>
      <c r="D105" t="s">
        <v>189</v>
      </c>
      <c r="E105">
        <v>1.7</v>
      </c>
      <c r="I105">
        <v>228.8</v>
      </c>
      <c r="O105">
        <v>80120</v>
      </c>
      <c r="P105">
        <v>80120</v>
      </c>
      <c r="Q105">
        <v>170997</v>
      </c>
      <c r="S105">
        <v>524.56318948772559</v>
      </c>
    </row>
    <row r="106" spans="3:19" x14ac:dyDescent="0.3">
      <c r="C106">
        <v>12</v>
      </c>
      <c r="D106">
        <v>99</v>
      </c>
      <c r="S106">
        <v>524.56318948772559</v>
      </c>
    </row>
    <row r="107" spans="3:19" x14ac:dyDescent="0.3">
      <c r="C107">
        <v>12</v>
      </c>
      <c r="D107">
        <v>101</v>
      </c>
      <c r="E107">
        <v>1.5</v>
      </c>
      <c r="I107">
        <v>200</v>
      </c>
      <c r="O107">
        <v>80120</v>
      </c>
      <c r="P107">
        <v>80120</v>
      </c>
      <c r="Q107">
        <v>165873</v>
      </c>
    </row>
    <row r="108" spans="3:19" x14ac:dyDescent="0.3">
      <c r="C108">
        <v>12</v>
      </c>
      <c r="D108">
        <v>203</v>
      </c>
      <c r="E108">
        <v>0.2</v>
      </c>
      <c r="I108">
        <v>28.8</v>
      </c>
      <c r="Q108">
        <v>5124</v>
      </c>
    </row>
    <row r="109" spans="3:19" x14ac:dyDescent="0.3">
      <c r="C109">
        <v>12</v>
      </c>
      <c r="D109" t="s">
        <v>346</v>
      </c>
      <c r="E109">
        <v>0.05</v>
      </c>
      <c r="I109">
        <v>5.2</v>
      </c>
      <c r="Q109">
        <v>2621</v>
      </c>
    </row>
    <row r="110" spans="3:19" x14ac:dyDescent="0.3">
      <c r="C110">
        <v>12</v>
      </c>
      <c r="D110">
        <v>526</v>
      </c>
      <c r="E110">
        <v>0.05</v>
      </c>
      <c r="I110">
        <v>5.2</v>
      </c>
      <c r="Q110">
        <v>2621</v>
      </c>
    </row>
    <row r="111" spans="3:19" x14ac:dyDescent="0.3">
      <c r="C111">
        <v>12</v>
      </c>
      <c r="D111" t="s">
        <v>347</v>
      </c>
      <c r="E111">
        <v>0.6</v>
      </c>
      <c r="I111">
        <v>95.2</v>
      </c>
      <c r="Q111">
        <v>14496</v>
      </c>
    </row>
    <row r="112" spans="3:19" x14ac:dyDescent="0.3">
      <c r="C112">
        <v>12</v>
      </c>
      <c r="D112">
        <v>30</v>
      </c>
      <c r="E112">
        <v>0.6</v>
      </c>
      <c r="I112">
        <v>95.2</v>
      </c>
      <c r="Q112">
        <v>14496</v>
      </c>
    </row>
    <row r="113" spans="3:19" x14ac:dyDescent="0.3">
      <c r="C113" t="s">
        <v>359</v>
      </c>
      <c r="E113">
        <v>2.35</v>
      </c>
      <c r="I113">
        <v>329.2</v>
      </c>
      <c r="O113">
        <v>80120</v>
      </c>
      <c r="P113">
        <v>80120</v>
      </c>
      <c r="Q113">
        <v>188114</v>
      </c>
      <c r="S113">
        <v>524.56318948772559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6" customWidth="1" collapsed="1"/>
    <col min="2" max="2" width="7.77734375" style="103" hidden="1" customWidth="1" outlineLevel="1"/>
    <col min="3" max="4" width="5.44140625" style="126" hidden="1" customWidth="1"/>
    <col min="5" max="5" width="7.77734375" style="103" customWidth="1"/>
    <col min="6" max="6" width="7.77734375" style="103" hidden="1" customWidth="1"/>
    <col min="7" max="7" width="5.44140625" style="126" hidden="1" customWidth="1"/>
    <col min="8" max="8" width="7.77734375" style="103" customWidth="1" collapsed="1"/>
    <col min="9" max="9" width="7.77734375" style="206" hidden="1" customWidth="1" outlineLevel="1"/>
    <col min="10" max="10" width="7.77734375" style="206" customWidth="1" collapsed="1"/>
    <col min="11" max="12" width="7.77734375" style="103" hidden="1" customWidth="1"/>
    <col min="13" max="13" width="5.44140625" style="126" hidden="1" customWidth="1"/>
    <col min="14" max="14" width="7.77734375" style="103" customWidth="1"/>
    <col min="15" max="15" width="7.77734375" style="103" hidden="1" customWidth="1"/>
    <col min="16" max="16" width="5.44140625" style="126" hidden="1" customWidth="1"/>
    <col min="17" max="17" width="7.77734375" style="103" customWidth="1" collapsed="1"/>
    <col min="18" max="18" width="7.77734375" style="206" hidden="1" customWidth="1" outlineLevel="1"/>
    <col min="19" max="19" width="7.77734375" style="206" customWidth="1" collapsed="1"/>
    <col min="20" max="21" width="7.77734375" style="103" hidden="1" customWidth="1"/>
    <col min="22" max="22" width="5" style="126" hidden="1" customWidth="1"/>
    <col min="23" max="23" width="7.77734375" style="103" customWidth="1"/>
    <col min="24" max="24" width="7.77734375" style="103" hidden="1" customWidth="1"/>
    <col min="25" max="25" width="5" style="126" hidden="1" customWidth="1"/>
    <col min="26" max="26" width="7.77734375" style="103" customWidth="1" collapsed="1"/>
    <col min="27" max="27" width="7.77734375" style="206" hidden="1" customWidth="1" outlineLevel="1"/>
    <col min="28" max="28" width="7.77734375" style="206" customWidth="1" collapsed="1"/>
    <col min="29" max="16384" width="8.88671875" style="126"/>
  </cols>
  <sheetData>
    <row r="1" spans="1:28" ht="18.600000000000001" customHeight="1" thickBot="1" x14ac:dyDescent="0.4">
      <c r="A1" s="394" t="s">
        <v>369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</row>
    <row r="2" spans="1:28" ht="14.4" customHeight="1" thickBot="1" x14ac:dyDescent="0.35">
      <c r="A2" s="225" t="s">
        <v>241</v>
      </c>
      <c r="B2" s="108"/>
      <c r="C2" s="108"/>
      <c r="D2" s="108"/>
      <c r="E2" s="108"/>
      <c r="F2" s="108"/>
      <c r="G2" s="108"/>
      <c r="H2" s="108"/>
      <c r="I2" s="220"/>
      <c r="J2" s="220"/>
      <c r="K2" s="108"/>
      <c r="L2" s="108"/>
      <c r="M2" s="108"/>
      <c r="N2" s="108"/>
      <c r="O2" s="108"/>
      <c r="P2" s="108"/>
      <c r="Q2" s="108"/>
      <c r="R2" s="220"/>
      <c r="S2" s="220"/>
      <c r="T2" s="108"/>
      <c r="U2" s="108"/>
      <c r="V2" s="108"/>
      <c r="W2" s="108"/>
      <c r="X2" s="108"/>
      <c r="Y2" s="108"/>
      <c r="Z2" s="108"/>
      <c r="AA2" s="220"/>
      <c r="AB2" s="220"/>
    </row>
    <row r="3" spans="1:28" ht="14.4" customHeight="1" thickBot="1" x14ac:dyDescent="0.35">
      <c r="A3" s="213" t="s">
        <v>120</v>
      </c>
      <c r="B3" s="214">
        <f>SUBTOTAL(9,B6:B1048576)/4</f>
        <v>0</v>
      </c>
      <c r="C3" s="215">
        <f t="shared" ref="C3:Z3" si="0">SUBTOTAL(9,C6:C1048576)</f>
        <v>0</v>
      </c>
      <c r="D3" s="215"/>
      <c r="E3" s="215">
        <f>SUBTOTAL(9,E6:E1048576)/4</f>
        <v>0</v>
      </c>
      <c r="F3" s="215"/>
      <c r="G3" s="215">
        <f t="shared" si="0"/>
        <v>0</v>
      </c>
      <c r="H3" s="215">
        <f>SUBTOTAL(9,H6:H1048576)/4</f>
        <v>1945</v>
      </c>
      <c r="I3" s="218" t="str">
        <f>IF(B3&lt;&gt;0,H3/B3,"")</f>
        <v/>
      </c>
      <c r="J3" s="216" t="str">
        <f>IF(E3&lt;&gt;0,H3/E3,"")</f>
        <v/>
      </c>
      <c r="K3" s="217">
        <f t="shared" si="0"/>
        <v>0</v>
      </c>
      <c r="L3" s="217"/>
      <c r="M3" s="215">
        <f t="shared" si="0"/>
        <v>0</v>
      </c>
      <c r="N3" s="215">
        <f t="shared" si="0"/>
        <v>0</v>
      </c>
      <c r="O3" s="215"/>
      <c r="P3" s="215">
        <f t="shared" si="0"/>
        <v>0</v>
      </c>
      <c r="Q3" s="215">
        <f t="shared" si="0"/>
        <v>0</v>
      </c>
      <c r="R3" s="218" t="str">
        <f>IF(K3&lt;&gt;0,Q3/K3,"")</f>
        <v/>
      </c>
      <c r="S3" s="218" t="str">
        <f>IF(N3&lt;&gt;0,Q3/N3,"")</f>
        <v/>
      </c>
      <c r="T3" s="214">
        <f t="shared" si="0"/>
        <v>0</v>
      </c>
      <c r="U3" s="217"/>
      <c r="V3" s="215">
        <f t="shared" si="0"/>
        <v>0</v>
      </c>
      <c r="W3" s="215">
        <f t="shared" si="0"/>
        <v>0</v>
      </c>
      <c r="X3" s="215"/>
      <c r="Y3" s="215">
        <f t="shared" si="0"/>
        <v>0</v>
      </c>
      <c r="Z3" s="215">
        <f t="shared" si="0"/>
        <v>0</v>
      </c>
      <c r="AA3" s="218" t="str">
        <f>IF(T3&lt;&gt;0,Z3/T3,"")</f>
        <v/>
      </c>
      <c r="AB3" s="216" t="str">
        <f>IF(W3&lt;&gt;0,Z3/W3,"")</f>
        <v/>
      </c>
    </row>
    <row r="4" spans="1:28" ht="14.4" customHeight="1" x14ac:dyDescent="0.3">
      <c r="A4" s="395" t="s">
        <v>181</v>
      </c>
      <c r="B4" s="396" t="s">
        <v>95</v>
      </c>
      <c r="C4" s="397"/>
      <c r="D4" s="398"/>
      <c r="E4" s="397"/>
      <c r="F4" s="398"/>
      <c r="G4" s="397"/>
      <c r="H4" s="397"/>
      <c r="I4" s="398"/>
      <c r="J4" s="399"/>
      <c r="K4" s="396" t="s">
        <v>96</v>
      </c>
      <c r="L4" s="398"/>
      <c r="M4" s="397"/>
      <c r="N4" s="397"/>
      <c r="O4" s="398"/>
      <c r="P4" s="397"/>
      <c r="Q4" s="397"/>
      <c r="R4" s="398"/>
      <c r="S4" s="399"/>
      <c r="T4" s="396" t="s">
        <v>97</v>
      </c>
      <c r="U4" s="398"/>
      <c r="V4" s="397"/>
      <c r="W4" s="397"/>
      <c r="X4" s="398"/>
      <c r="Y4" s="397"/>
      <c r="Z4" s="397"/>
      <c r="AA4" s="398"/>
      <c r="AB4" s="399"/>
    </row>
    <row r="5" spans="1:28" ht="14.4" customHeight="1" thickBot="1" x14ac:dyDescent="0.35">
      <c r="A5" s="523"/>
      <c r="B5" s="524">
        <v>2015</v>
      </c>
      <c r="C5" s="525"/>
      <c r="D5" s="525"/>
      <c r="E5" s="525">
        <v>2017</v>
      </c>
      <c r="F5" s="525"/>
      <c r="G5" s="525"/>
      <c r="H5" s="525">
        <v>2018</v>
      </c>
      <c r="I5" s="526" t="s">
        <v>182</v>
      </c>
      <c r="J5" s="527" t="s">
        <v>2</v>
      </c>
      <c r="K5" s="524">
        <v>2015</v>
      </c>
      <c r="L5" s="525"/>
      <c r="M5" s="525"/>
      <c r="N5" s="525">
        <v>2017</v>
      </c>
      <c r="O5" s="525"/>
      <c r="P5" s="525"/>
      <c r="Q5" s="525">
        <v>2018</v>
      </c>
      <c r="R5" s="526" t="s">
        <v>182</v>
      </c>
      <c r="S5" s="527" t="s">
        <v>2</v>
      </c>
      <c r="T5" s="524">
        <v>2015</v>
      </c>
      <c r="U5" s="525"/>
      <c r="V5" s="525"/>
      <c r="W5" s="525">
        <v>2017</v>
      </c>
      <c r="X5" s="525"/>
      <c r="Y5" s="525"/>
      <c r="Z5" s="525">
        <v>2018</v>
      </c>
      <c r="AA5" s="526" t="s">
        <v>182</v>
      </c>
      <c r="AB5" s="527" t="s">
        <v>2</v>
      </c>
    </row>
    <row r="6" spans="1:28" ht="14.4" customHeight="1" x14ac:dyDescent="0.3">
      <c r="A6" s="528" t="s">
        <v>367</v>
      </c>
      <c r="B6" s="529"/>
      <c r="C6" s="530"/>
      <c r="D6" s="530"/>
      <c r="E6" s="529"/>
      <c r="F6" s="530"/>
      <c r="G6" s="530"/>
      <c r="H6" s="529">
        <v>1945</v>
      </c>
      <c r="I6" s="530"/>
      <c r="J6" s="530"/>
      <c r="K6" s="529"/>
      <c r="L6" s="530"/>
      <c r="M6" s="530"/>
      <c r="N6" s="529"/>
      <c r="O6" s="530"/>
      <c r="P6" s="530"/>
      <c r="Q6" s="529"/>
      <c r="R6" s="530"/>
      <c r="S6" s="530"/>
      <c r="T6" s="529"/>
      <c r="U6" s="530"/>
      <c r="V6" s="530"/>
      <c r="W6" s="529"/>
      <c r="X6" s="530"/>
      <c r="Y6" s="530"/>
      <c r="Z6" s="529"/>
      <c r="AA6" s="530"/>
      <c r="AB6" s="531"/>
    </row>
    <row r="7" spans="1:28" ht="14.4" customHeight="1" thickBot="1" x14ac:dyDescent="0.35">
      <c r="A7" s="535" t="s">
        <v>368</v>
      </c>
      <c r="B7" s="532"/>
      <c r="C7" s="533"/>
      <c r="D7" s="533"/>
      <c r="E7" s="532"/>
      <c r="F7" s="533"/>
      <c r="G7" s="533"/>
      <c r="H7" s="532">
        <v>1945</v>
      </c>
      <c r="I7" s="533"/>
      <c r="J7" s="533"/>
      <c r="K7" s="532"/>
      <c r="L7" s="533"/>
      <c r="M7" s="533"/>
      <c r="N7" s="532"/>
      <c r="O7" s="533"/>
      <c r="P7" s="533"/>
      <c r="Q7" s="532"/>
      <c r="R7" s="533"/>
      <c r="S7" s="533"/>
      <c r="T7" s="532"/>
      <c r="U7" s="533"/>
      <c r="V7" s="533"/>
      <c r="W7" s="532"/>
      <c r="X7" s="533"/>
      <c r="Y7" s="533"/>
      <c r="Z7" s="532"/>
      <c r="AA7" s="533"/>
      <c r="AB7" s="534"/>
    </row>
    <row r="8" spans="1:28" ht="14.4" customHeight="1" thickBot="1" x14ac:dyDescent="0.35"/>
    <row r="9" spans="1:28" ht="14.4" customHeight="1" x14ac:dyDescent="0.3">
      <c r="A9" s="528" t="s">
        <v>370</v>
      </c>
      <c r="B9" s="529"/>
      <c r="C9" s="530"/>
      <c r="D9" s="530"/>
      <c r="E9" s="529"/>
      <c r="F9" s="530"/>
      <c r="G9" s="530"/>
      <c r="H9" s="529">
        <v>1945</v>
      </c>
      <c r="I9" s="530"/>
      <c r="J9" s="531"/>
    </row>
    <row r="10" spans="1:28" ht="14.4" customHeight="1" thickBot="1" x14ac:dyDescent="0.35">
      <c r="A10" s="535" t="s">
        <v>371</v>
      </c>
      <c r="B10" s="532"/>
      <c r="C10" s="533"/>
      <c r="D10" s="533"/>
      <c r="E10" s="532"/>
      <c r="F10" s="533"/>
      <c r="G10" s="533"/>
      <c r="H10" s="532">
        <v>1945</v>
      </c>
      <c r="I10" s="533"/>
      <c r="J10" s="534"/>
    </row>
    <row r="11" spans="1:28" ht="14.4" customHeight="1" x14ac:dyDescent="0.3">
      <c r="A11" s="447" t="s">
        <v>218</v>
      </c>
    </row>
    <row r="12" spans="1:28" ht="14.4" customHeight="1" x14ac:dyDescent="0.3">
      <c r="A12" s="448" t="s">
        <v>319</v>
      </c>
    </row>
    <row r="13" spans="1:28" ht="14.4" customHeight="1" x14ac:dyDescent="0.3">
      <c r="A13" s="447" t="s">
        <v>372</v>
      </c>
    </row>
    <row r="14" spans="1:28" ht="14.4" customHeight="1" x14ac:dyDescent="0.3">
      <c r="A14" s="447" t="s">
        <v>373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6" bestFit="1" customWidth="1"/>
    <col min="2" max="2" width="7.77734375" style="203" hidden="1" customWidth="1" outlineLevel="1"/>
    <col min="3" max="3" width="7.77734375" style="203" customWidth="1" collapsed="1"/>
    <col min="4" max="4" width="7.77734375" style="203" customWidth="1"/>
    <col min="5" max="5" width="7.77734375" style="103" hidden="1" customWidth="1" outlineLevel="1"/>
    <col min="6" max="6" width="7.77734375" style="103" customWidth="1" collapsed="1"/>
    <col min="7" max="7" width="7.77734375" style="103" customWidth="1"/>
    <col min="8" max="16384" width="8.88671875" style="126"/>
  </cols>
  <sheetData>
    <row r="1" spans="1:7" ht="18.600000000000001" customHeight="1" thickBot="1" x14ac:dyDescent="0.4">
      <c r="A1" s="394" t="s">
        <v>374</v>
      </c>
      <c r="B1" s="300"/>
      <c r="C1" s="300"/>
      <c r="D1" s="300"/>
      <c r="E1" s="300"/>
      <c r="F1" s="300"/>
      <c r="G1" s="300"/>
    </row>
    <row r="2" spans="1:7" ht="14.4" customHeight="1" thickBot="1" x14ac:dyDescent="0.35">
      <c r="A2" s="225" t="s">
        <v>241</v>
      </c>
      <c r="B2" s="108"/>
      <c r="C2" s="108"/>
      <c r="D2" s="108"/>
      <c r="E2" s="108"/>
      <c r="F2" s="108"/>
      <c r="G2" s="108"/>
    </row>
    <row r="3" spans="1:7" ht="14.4" customHeight="1" thickBot="1" x14ac:dyDescent="0.35">
      <c r="A3" s="246" t="s">
        <v>120</v>
      </c>
      <c r="B3" s="234">
        <f t="shared" ref="B3:G3" si="0">SUBTOTAL(9,B6:B1048576)</f>
        <v>0</v>
      </c>
      <c r="C3" s="235">
        <f t="shared" si="0"/>
        <v>0</v>
      </c>
      <c r="D3" s="245">
        <f t="shared" si="0"/>
        <v>6</v>
      </c>
      <c r="E3" s="217">
        <f t="shared" si="0"/>
        <v>0</v>
      </c>
      <c r="F3" s="215">
        <f t="shared" si="0"/>
        <v>0</v>
      </c>
      <c r="G3" s="236">
        <f t="shared" si="0"/>
        <v>1945</v>
      </c>
    </row>
    <row r="4" spans="1:7" ht="14.4" customHeight="1" x14ac:dyDescent="0.3">
      <c r="A4" s="395" t="s">
        <v>127</v>
      </c>
      <c r="B4" s="400" t="s">
        <v>179</v>
      </c>
      <c r="C4" s="398"/>
      <c r="D4" s="401"/>
      <c r="E4" s="400" t="s">
        <v>95</v>
      </c>
      <c r="F4" s="398"/>
      <c r="G4" s="401"/>
    </row>
    <row r="5" spans="1:7" ht="14.4" customHeight="1" thickBot="1" x14ac:dyDescent="0.35">
      <c r="A5" s="523"/>
      <c r="B5" s="524">
        <v>2015</v>
      </c>
      <c r="C5" s="525">
        <v>2017</v>
      </c>
      <c r="D5" s="536">
        <v>2018</v>
      </c>
      <c r="E5" s="524">
        <v>2015</v>
      </c>
      <c r="F5" s="525">
        <v>2017</v>
      </c>
      <c r="G5" s="536">
        <v>2018</v>
      </c>
    </row>
    <row r="6" spans="1:7" ht="14.4" customHeight="1" thickBot="1" x14ac:dyDescent="0.35">
      <c r="A6" s="539" t="s">
        <v>321</v>
      </c>
      <c r="B6" s="511"/>
      <c r="C6" s="511"/>
      <c r="D6" s="511">
        <v>6</v>
      </c>
      <c r="E6" s="537"/>
      <c r="F6" s="537"/>
      <c r="G6" s="538">
        <v>1945</v>
      </c>
    </row>
    <row r="7" spans="1:7" ht="14.4" customHeight="1" x14ac:dyDescent="0.3">
      <c r="A7" s="447" t="s">
        <v>218</v>
      </c>
    </row>
    <row r="8" spans="1:7" ht="14.4" customHeight="1" x14ac:dyDescent="0.3">
      <c r="A8" s="448" t="s">
        <v>319</v>
      </c>
    </row>
    <row r="9" spans="1:7" ht="14.4" customHeight="1" x14ac:dyDescent="0.3">
      <c r="A9" s="447" t="s">
        <v>372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6" customWidth="1"/>
    <col min="2" max="2" width="8.6640625" style="126" bestFit="1" customWidth="1"/>
    <col min="3" max="3" width="6.109375" style="126" customWidth="1"/>
    <col min="4" max="4" width="2.109375" style="126" bestFit="1" customWidth="1"/>
    <col min="5" max="5" width="8" style="126" customWidth="1"/>
    <col min="6" max="6" width="50.88671875" style="126" bestFit="1" customWidth="1" collapsed="1"/>
    <col min="7" max="8" width="11.109375" style="203" hidden="1" customWidth="1" outlineLevel="1"/>
    <col min="9" max="10" width="9.33203125" style="126" hidden="1" customWidth="1"/>
    <col min="11" max="12" width="11.109375" style="203" customWidth="1"/>
    <col min="13" max="14" width="9.33203125" style="126" hidden="1" customWidth="1"/>
    <col min="15" max="16" width="11.109375" style="203" customWidth="1"/>
    <col min="17" max="17" width="11.109375" style="206" customWidth="1"/>
    <col min="18" max="18" width="11.109375" style="203" customWidth="1"/>
    <col min="19" max="16384" width="8.88671875" style="126"/>
  </cols>
  <sheetData>
    <row r="1" spans="1:18" ht="18.600000000000001" customHeight="1" thickBot="1" x14ac:dyDescent="0.4">
      <c r="A1" s="300" t="s">
        <v>385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</row>
    <row r="2" spans="1:18" ht="14.4" customHeight="1" thickBot="1" x14ac:dyDescent="0.35">
      <c r="A2" s="225" t="s">
        <v>241</v>
      </c>
      <c r="B2" s="193"/>
      <c r="C2" s="193"/>
      <c r="D2" s="108"/>
      <c r="E2" s="108"/>
      <c r="F2" s="108"/>
      <c r="G2" s="223"/>
      <c r="H2" s="223"/>
      <c r="I2" s="108"/>
      <c r="J2" s="108"/>
      <c r="K2" s="223"/>
      <c r="L2" s="223"/>
      <c r="M2" s="108"/>
      <c r="N2" s="108"/>
      <c r="O2" s="223"/>
      <c r="P2" s="223"/>
      <c r="Q2" s="220"/>
      <c r="R2" s="223"/>
    </row>
    <row r="3" spans="1:18" ht="14.4" customHeight="1" thickBot="1" x14ac:dyDescent="0.35">
      <c r="F3" s="86" t="s">
        <v>120</v>
      </c>
      <c r="G3" s="99">
        <f t="shared" ref="G3:P3" si="0">SUBTOTAL(9,G6:G1048576)</f>
        <v>0</v>
      </c>
      <c r="H3" s="100">
        <f t="shared" si="0"/>
        <v>0</v>
      </c>
      <c r="I3" s="73"/>
      <c r="J3" s="73"/>
      <c r="K3" s="100">
        <f t="shared" si="0"/>
        <v>0</v>
      </c>
      <c r="L3" s="100">
        <f t="shared" si="0"/>
        <v>0</v>
      </c>
      <c r="M3" s="73"/>
      <c r="N3" s="73"/>
      <c r="O3" s="100">
        <f t="shared" si="0"/>
        <v>6</v>
      </c>
      <c r="P3" s="100">
        <f t="shared" si="0"/>
        <v>1945</v>
      </c>
      <c r="Q3" s="74">
        <f>IF(L3=0,0,P3/L3)</f>
        <v>0</v>
      </c>
      <c r="R3" s="101">
        <f>IF(O3=0,0,P3/O3)</f>
        <v>324.16666666666669</v>
      </c>
    </row>
    <row r="4" spans="1:18" ht="14.4" customHeight="1" x14ac:dyDescent="0.3">
      <c r="A4" s="402" t="s">
        <v>183</v>
      </c>
      <c r="B4" s="402" t="s">
        <v>91</v>
      </c>
      <c r="C4" s="410" t="s">
        <v>0</v>
      </c>
      <c r="D4" s="404" t="s">
        <v>92</v>
      </c>
      <c r="E4" s="409" t="s">
        <v>67</v>
      </c>
      <c r="F4" s="405" t="s">
        <v>66</v>
      </c>
      <c r="G4" s="406">
        <v>2015</v>
      </c>
      <c r="H4" s="407"/>
      <c r="I4" s="98"/>
      <c r="J4" s="98"/>
      <c r="K4" s="406">
        <v>2017</v>
      </c>
      <c r="L4" s="407"/>
      <c r="M4" s="98"/>
      <c r="N4" s="98"/>
      <c r="O4" s="406">
        <v>2018</v>
      </c>
      <c r="P4" s="407"/>
      <c r="Q4" s="408" t="s">
        <v>2</v>
      </c>
      <c r="R4" s="403" t="s">
        <v>94</v>
      </c>
    </row>
    <row r="5" spans="1:18" ht="14.4" customHeight="1" thickBot="1" x14ac:dyDescent="0.35">
      <c r="A5" s="540"/>
      <c r="B5" s="540"/>
      <c r="C5" s="541"/>
      <c r="D5" s="542"/>
      <c r="E5" s="543"/>
      <c r="F5" s="544"/>
      <c r="G5" s="545" t="s">
        <v>68</v>
      </c>
      <c r="H5" s="546" t="s">
        <v>11</v>
      </c>
      <c r="I5" s="547"/>
      <c r="J5" s="547"/>
      <c r="K5" s="545" t="s">
        <v>68</v>
      </c>
      <c r="L5" s="546" t="s">
        <v>11</v>
      </c>
      <c r="M5" s="547"/>
      <c r="N5" s="547"/>
      <c r="O5" s="545" t="s">
        <v>68</v>
      </c>
      <c r="P5" s="546" t="s">
        <v>11</v>
      </c>
      <c r="Q5" s="548"/>
      <c r="R5" s="549"/>
    </row>
    <row r="6" spans="1:18" ht="14.4" customHeight="1" x14ac:dyDescent="0.3">
      <c r="A6" s="478" t="s">
        <v>375</v>
      </c>
      <c r="B6" s="479" t="s">
        <v>376</v>
      </c>
      <c r="C6" s="479" t="s">
        <v>370</v>
      </c>
      <c r="D6" s="479" t="s">
        <v>377</v>
      </c>
      <c r="E6" s="479" t="s">
        <v>378</v>
      </c>
      <c r="F6" s="479" t="s">
        <v>379</v>
      </c>
      <c r="G6" s="113"/>
      <c r="H6" s="113"/>
      <c r="I6" s="479"/>
      <c r="J6" s="479"/>
      <c r="K6" s="113"/>
      <c r="L6" s="113"/>
      <c r="M6" s="479"/>
      <c r="N6" s="479"/>
      <c r="O6" s="113">
        <v>3</v>
      </c>
      <c r="P6" s="113">
        <v>1065</v>
      </c>
      <c r="Q6" s="484"/>
      <c r="R6" s="507">
        <v>355</v>
      </c>
    </row>
    <row r="7" spans="1:18" ht="14.4" customHeight="1" x14ac:dyDescent="0.3">
      <c r="A7" s="493" t="s">
        <v>375</v>
      </c>
      <c r="B7" s="494" t="s">
        <v>376</v>
      </c>
      <c r="C7" s="494" t="s">
        <v>370</v>
      </c>
      <c r="D7" s="494" t="s">
        <v>377</v>
      </c>
      <c r="E7" s="494" t="s">
        <v>378</v>
      </c>
      <c r="F7" s="494" t="s">
        <v>380</v>
      </c>
      <c r="G7" s="550"/>
      <c r="H7" s="550"/>
      <c r="I7" s="494"/>
      <c r="J7" s="494"/>
      <c r="K7" s="550"/>
      <c r="L7" s="550"/>
      <c r="M7" s="494"/>
      <c r="N7" s="494"/>
      <c r="O7" s="550">
        <v>1</v>
      </c>
      <c r="P7" s="550">
        <v>355</v>
      </c>
      <c r="Q7" s="499"/>
      <c r="R7" s="551">
        <v>355</v>
      </c>
    </row>
    <row r="8" spans="1:18" ht="14.4" customHeight="1" x14ac:dyDescent="0.3">
      <c r="A8" s="493" t="s">
        <v>375</v>
      </c>
      <c r="B8" s="494" t="s">
        <v>376</v>
      </c>
      <c r="C8" s="494" t="s">
        <v>370</v>
      </c>
      <c r="D8" s="494" t="s">
        <v>377</v>
      </c>
      <c r="E8" s="494" t="s">
        <v>381</v>
      </c>
      <c r="F8" s="494" t="s">
        <v>382</v>
      </c>
      <c r="G8" s="550"/>
      <c r="H8" s="550"/>
      <c r="I8" s="494"/>
      <c r="J8" s="494"/>
      <c r="K8" s="550"/>
      <c r="L8" s="550"/>
      <c r="M8" s="494"/>
      <c r="N8" s="494"/>
      <c r="O8" s="550">
        <v>1</v>
      </c>
      <c r="P8" s="550">
        <v>178</v>
      </c>
      <c r="Q8" s="499"/>
      <c r="R8" s="551">
        <v>178</v>
      </c>
    </row>
    <row r="9" spans="1:18" ht="14.4" customHeight="1" thickBot="1" x14ac:dyDescent="0.35">
      <c r="A9" s="485" t="s">
        <v>375</v>
      </c>
      <c r="B9" s="486" t="s">
        <v>376</v>
      </c>
      <c r="C9" s="486" t="s">
        <v>370</v>
      </c>
      <c r="D9" s="486" t="s">
        <v>377</v>
      </c>
      <c r="E9" s="486" t="s">
        <v>383</v>
      </c>
      <c r="F9" s="486" t="s">
        <v>384</v>
      </c>
      <c r="G9" s="508"/>
      <c r="H9" s="508"/>
      <c r="I9" s="486"/>
      <c r="J9" s="486"/>
      <c r="K9" s="508"/>
      <c r="L9" s="508"/>
      <c r="M9" s="486"/>
      <c r="N9" s="486"/>
      <c r="O9" s="508">
        <v>1</v>
      </c>
      <c r="P9" s="508">
        <v>347</v>
      </c>
      <c r="Q9" s="491"/>
      <c r="R9" s="509">
        <v>347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6" customWidth="1"/>
    <col min="2" max="2" width="8.6640625" style="126" bestFit="1" customWidth="1"/>
    <col min="3" max="3" width="6.109375" style="126" customWidth="1"/>
    <col min="4" max="4" width="27.77734375" style="126" customWidth="1"/>
    <col min="5" max="5" width="2.109375" style="126" bestFit="1" customWidth="1"/>
    <col min="6" max="6" width="8" style="126" customWidth="1"/>
    <col min="7" max="7" width="50.88671875" style="126" bestFit="1" customWidth="1" collapsed="1"/>
    <col min="8" max="9" width="11.109375" style="203" hidden="1" customWidth="1" outlineLevel="1"/>
    <col min="10" max="11" width="9.33203125" style="126" hidden="1" customWidth="1"/>
    <col min="12" max="13" width="11.109375" style="203" customWidth="1"/>
    <col min="14" max="15" width="9.33203125" style="126" hidden="1" customWidth="1"/>
    <col min="16" max="17" width="11.109375" style="203" customWidth="1"/>
    <col min="18" max="18" width="11.109375" style="206" customWidth="1"/>
    <col min="19" max="19" width="11.109375" style="203" customWidth="1"/>
    <col min="20" max="16384" width="8.88671875" style="126"/>
  </cols>
  <sheetData>
    <row r="1" spans="1:19" ht="18.600000000000001" customHeight="1" thickBot="1" x14ac:dyDescent="0.4">
      <c r="A1" s="300" t="s">
        <v>386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19" ht="14.4" customHeight="1" thickBot="1" x14ac:dyDescent="0.35">
      <c r="A2" s="225" t="s">
        <v>241</v>
      </c>
      <c r="B2" s="193"/>
      <c r="C2" s="193"/>
      <c r="D2" s="193"/>
      <c r="E2" s="108"/>
      <c r="F2" s="108"/>
      <c r="G2" s="108"/>
      <c r="H2" s="223"/>
      <c r="I2" s="223"/>
      <c r="J2" s="108"/>
      <c r="K2" s="108"/>
      <c r="L2" s="223"/>
      <c r="M2" s="223"/>
      <c r="N2" s="108"/>
      <c r="O2" s="108"/>
      <c r="P2" s="223"/>
      <c r="Q2" s="223"/>
      <c r="R2" s="220"/>
      <c r="S2" s="223"/>
    </row>
    <row r="3" spans="1:19" ht="14.4" customHeight="1" thickBot="1" x14ac:dyDescent="0.35">
      <c r="G3" s="86" t="s">
        <v>120</v>
      </c>
      <c r="H3" s="99">
        <f t="shared" ref="H3:Q3" si="0">SUBTOTAL(9,H6:H1048576)</f>
        <v>0</v>
      </c>
      <c r="I3" s="100">
        <f t="shared" si="0"/>
        <v>0</v>
      </c>
      <c r="J3" s="73"/>
      <c r="K3" s="73"/>
      <c r="L3" s="100">
        <f t="shared" si="0"/>
        <v>0</v>
      </c>
      <c r="M3" s="100">
        <f t="shared" si="0"/>
        <v>0</v>
      </c>
      <c r="N3" s="73"/>
      <c r="O3" s="73"/>
      <c r="P3" s="100">
        <f t="shared" si="0"/>
        <v>6</v>
      </c>
      <c r="Q3" s="100">
        <f t="shared" si="0"/>
        <v>1945</v>
      </c>
      <c r="R3" s="74">
        <f>IF(M3=0,0,Q3/M3)</f>
        <v>0</v>
      </c>
      <c r="S3" s="101">
        <f>IF(P3=0,0,Q3/P3)</f>
        <v>324.16666666666669</v>
      </c>
    </row>
    <row r="4" spans="1:19" ht="14.4" customHeight="1" x14ac:dyDescent="0.3">
      <c r="A4" s="402" t="s">
        <v>183</v>
      </c>
      <c r="B4" s="402" t="s">
        <v>91</v>
      </c>
      <c r="C4" s="410" t="s">
        <v>0</v>
      </c>
      <c r="D4" s="241" t="s">
        <v>127</v>
      </c>
      <c r="E4" s="404" t="s">
        <v>92</v>
      </c>
      <c r="F4" s="409" t="s">
        <v>67</v>
      </c>
      <c r="G4" s="405" t="s">
        <v>66</v>
      </c>
      <c r="H4" s="406">
        <v>2015</v>
      </c>
      <c r="I4" s="407"/>
      <c r="J4" s="98"/>
      <c r="K4" s="98"/>
      <c r="L4" s="406">
        <v>2017</v>
      </c>
      <c r="M4" s="407"/>
      <c r="N4" s="98"/>
      <c r="O4" s="98"/>
      <c r="P4" s="406">
        <v>2018</v>
      </c>
      <c r="Q4" s="407"/>
      <c r="R4" s="408" t="s">
        <v>2</v>
      </c>
      <c r="S4" s="403" t="s">
        <v>94</v>
      </c>
    </row>
    <row r="5" spans="1:19" ht="14.4" customHeight="1" thickBot="1" x14ac:dyDescent="0.35">
      <c r="A5" s="540"/>
      <c r="B5" s="540"/>
      <c r="C5" s="541"/>
      <c r="D5" s="552"/>
      <c r="E5" s="542"/>
      <c r="F5" s="543"/>
      <c r="G5" s="544"/>
      <c r="H5" s="545" t="s">
        <v>68</v>
      </c>
      <c r="I5" s="546" t="s">
        <v>11</v>
      </c>
      <c r="J5" s="547"/>
      <c r="K5" s="547"/>
      <c r="L5" s="545" t="s">
        <v>68</v>
      </c>
      <c r="M5" s="546" t="s">
        <v>11</v>
      </c>
      <c r="N5" s="547"/>
      <c r="O5" s="547"/>
      <c r="P5" s="545" t="s">
        <v>68</v>
      </c>
      <c r="Q5" s="546" t="s">
        <v>11</v>
      </c>
      <c r="R5" s="548"/>
      <c r="S5" s="549"/>
    </row>
    <row r="6" spans="1:19" ht="14.4" customHeight="1" x14ac:dyDescent="0.3">
      <c r="A6" s="478" t="s">
        <v>375</v>
      </c>
      <c r="B6" s="479" t="s">
        <v>376</v>
      </c>
      <c r="C6" s="479" t="s">
        <v>370</v>
      </c>
      <c r="D6" s="479" t="s">
        <v>321</v>
      </c>
      <c r="E6" s="479" t="s">
        <v>377</v>
      </c>
      <c r="F6" s="479" t="s">
        <v>378</v>
      </c>
      <c r="G6" s="479" t="s">
        <v>379</v>
      </c>
      <c r="H6" s="113"/>
      <c r="I6" s="113"/>
      <c r="J6" s="479"/>
      <c r="K6" s="479"/>
      <c r="L6" s="113"/>
      <c r="M6" s="113"/>
      <c r="N6" s="479"/>
      <c r="O6" s="479"/>
      <c r="P6" s="113">
        <v>3</v>
      </c>
      <c r="Q6" s="113">
        <v>1065</v>
      </c>
      <c r="R6" s="484"/>
      <c r="S6" s="507">
        <v>355</v>
      </c>
    </row>
    <row r="7" spans="1:19" ht="14.4" customHeight="1" x14ac:dyDescent="0.3">
      <c r="A7" s="493" t="s">
        <v>375</v>
      </c>
      <c r="B7" s="494" t="s">
        <v>376</v>
      </c>
      <c r="C7" s="494" t="s">
        <v>370</v>
      </c>
      <c r="D7" s="494" t="s">
        <v>321</v>
      </c>
      <c r="E7" s="494" t="s">
        <v>377</v>
      </c>
      <c r="F7" s="494" t="s">
        <v>378</v>
      </c>
      <c r="G7" s="494" t="s">
        <v>380</v>
      </c>
      <c r="H7" s="550"/>
      <c r="I7" s="550"/>
      <c r="J7" s="494"/>
      <c r="K7" s="494"/>
      <c r="L7" s="550"/>
      <c r="M7" s="550"/>
      <c r="N7" s="494"/>
      <c r="O7" s="494"/>
      <c r="P7" s="550">
        <v>1</v>
      </c>
      <c r="Q7" s="550">
        <v>355</v>
      </c>
      <c r="R7" s="499"/>
      <c r="S7" s="551">
        <v>355</v>
      </c>
    </row>
    <row r="8" spans="1:19" ht="14.4" customHeight="1" x14ac:dyDescent="0.3">
      <c r="A8" s="493" t="s">
        <v>375</v>
      </c>
      <c r="B8" s="494" t="s">
        <v>376</v>
      </c>
      <c r="C8" s="494" t="s">
        <v>370</v>
      </c>
      <c r="D8" s="494" t="s">
        <v>321</v>
      </c>
      <c r="E8" s="494" t="s">
        <v>377</v>
      </c>
      <c r="F8" s="494" t="s">
        <v>381</v>
      </c>
      <c r="G8" s="494" t="s">
        <v>382</v>
      </c>
      <c r="H8" s="550"/>
      <c r="I8" s="550"/>
      <c r="J8" s="494"/>
      <c r="K8" s="494"/>
      <c r="L8" s="550"/>
      <c r="M8" s="550"/>
      <c r="N8" s="494"/>
      <c r="O8" s="494"/>
      <c r="P8" s="550">
        <v>1</v>
      </c>
      <c r="Q8" s="550">
        <v>178</v>
      </c>
      <c r="R8" s="499"/>
      <c r="S8" s="551">
        <v>178</v>
      </c>
    </row>
    <row r="9" spans="1:19" ht="14.4" customHeight="1" thickBot="1" x14ac:dyDescent="0.35">
      <c r="A9" s="485" t="s">
        <v>375</v>
      </c>
      <c r="B9" s="486" t="s">
        <v>376</v>
      </c>
      <c r="C9" s="486" t="s">
        <v>370</v>
      </c>
      <c r="D9" s="486" t="s">
        <v>321</v>
      </c>
      <c r="E9" s="486" t="s">
        <v>377</v>
      </c>
      <c r="F9" s="486" t="s">
        <v>383</v>
      </c>
      <c r="G9" s="486" t="s">
        <v>384</v>
      </c>
      <c r="H9" s="508"/>
      <c r="I9" s="508"/>
      <c r="J9" s="486"/>
      <c r="K9" s="486"/>
      <c r="L9" s="508"/>
      <c r="M9" s="508"/>
      <c r="N9" s="486"/>
      <c r="O9" s="486"/>
      <c r="P9" s="508">
        <v>1</v>
      </c>
      <c r="Q9" s="508">
        <v>347</v>
      </c>
      <c r="R9" s="491"/>
      <c r="S9" s="509">
        <v>347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6" bestFit="1" customWidth="1" collapsed="1"/>
    <col min="2" max="2" width="7.77734375" style="103" hidden="1" customWidth="1" outlineLevel="1"/>
    <col min="3" max="3" width="0.109375" style="126" hidden="1" customWidth="1"/>
    <col min="4" max="4" width="7.77734375" style="103" customWidth="1"/>
    <col min="5" max="5" width="5.44140625" style="126" hidden="1" customWidth="1"/>
    <col min="6" max="6" width="7.77734375" style="103" customWidth="1"/>
    <col min="7" max="7" width="7.77734375" style="206" customWidth="1" collapsed="1"/>
    <col min="8" max="8" width="7.77734375" style="103" hidden="1" customWidth="1" outlineLevel="1"/>
    <col min="9" max="9" width="5.44140625" style="126" hidden="1" customWidth="1"/>
    <col min="10" max="10" width="7.77734375" style="103" customWidth="1"/>
    <col min="11" max="11" width="5.44140625" style="126" hidden="1" customWidth="1"/>
    <col min="12" max="12" width="7.77734375" style="103" customWidth="1"/>
    <col min="13" max="13" width="7.77734375" style="206" customWidth="1" collapsed="1"/>
    <col min="14" max="14" width="7.77734375" style="103" hidden="1" customWidth="1" outlineLevel="1"/>
    <col min="15" max="15" width="5" style="126" hidden="1" customWidth="1"/>
    <col min="16" max="16" width="7.77734375" style="103" customWidth="1"/>
    <col min="17" max="17" width="5" style="126" hidden="1" customWidth="1"/>
    <col min="18" max="18" width="7.77734375" style="103" customWidth="1"/>
    <col min="19" max="19" width="7.77734375" style="206" customWidth="1"/>
    <col min="20" max="16384" width="8.88671875" style="126"/>
  </cols>
  <sheetData>
    <row r="1" spans="1:19" ht="18.600000000000001" customHeight="1" thickBot="1" x14ac:dyDescent="0.4">
      <c r="A1" s="312" t="s">
        <v>119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</row>
    <row r="2" spans="1:19" ht="14.4" customHeight="1" thickBot="1" x14ac:dyDescent="0.35">
      <c r="A2" s="225" t="s">
        <v>241</v>
      </c>
      <c r="B2" s="219"/>
      <c r="C2" s="108"/>
      <c r="D2" s="219"/>
      <c r="E2" s="108"/>
      <c r="F2" s="219"/>
      <c r="G2" s="220"/>
      <c r="H2" s="219"/>
      <c r="I2" s="108"/>
      <c r="J2" s="219"/>
      <c r="K2" s="108"/>
      <c r="L2" s="219"/>
      <c r="M2" s="220"/>
      <c r="N2" s="219"/>
      <c r="O2" s="108"/>
      <c r="P2" s="219"/>
      <c r="Q2" s="108"/>
      <c r="R2" s="219"/>
      <c r="S2" s="220"/>
    </row>
    <row r="3" spans="1:19" ht="14.4" customHeight="1" thickBot="1" x14ac:dyDescent="0.35">
      <c r="A3" s="213" t="s">
        <v>120</v>
      </c>
      <c r="B3" s="214">
        <f>SUBTOTAL(9,B6:B1048576)</f>
        <v>26196</v>
      </c>
      <c r="C3" s="215">
        <f t="shared" ref="C3:R3" si="0">SUBTOTAL(9,C6:C1048576)</f>
        <v>5.7278951190363854</v>
      </c>
      <c r="D3" s="215">
        <f t="shared" si="0"/>
        <v>57296</v>
      </c>
      <c r="E3" s="215">
        <f t="shared" si="0"/>
        <v>15</v>
      </c>
      <c r="F3" s="215">
        <f t="shared" si="0"/>
        <v>82750</v>
      </c>
      <c r="G3" s="218">
        <f>IF(D3&lt;&gt;0,F3/D3,"")</f>
        <v>1.4442543982127898</v>
      </c>
      <c r="H3" s="214">
        <f t="shared" si="0"/>
        <v>0</v>
      </c>
      <c r="I3" s="215">
        <f t="shared" si="0"/>
        <v>0</v>
      </c>
      <c r="J3" s="215">
        <f t="shared" si="0"/>
        <v>0</v>
      </c>
      <c r="K3" s="215">
        <f t="shared" si="0"/>
        <v>0</v>
      </c>
      <c r="L3" s="215">
        <f t="shared" si="0"/>
        <v>0</v>
      </c>
      <c r="M3" s="216" t="str">
        <f>IF(J3&lt;&gt;0,L3/J3,"")</f>
        <v/>
      </c>
      <c r="N3" s="217">
        <f t="shared" si="0"/>
        <v>0</v>
      </c>
      <c r="O3" s="215">
        <f t="shared" si="0"/>
        <v>0</v>
      </c>
      <c r="P3" s="215">
        <f t="shared" si="0"/>
        <v>0</v>
      </c>
      <c r="Q3" s="215">
        <f t="shared" si="0"/>
        <v>0</v>
      </c>
      <c r="R3" s="215">
        <f t="shared" si="0"/>
        <v>0</v>
      </c>
      <c r="S3" s="216" t="str">
        <f>IF(P3&lt;&gt;0,R3/P3,"")</f>
        <v/>
      </c>
    </row>
    <row r="4" spans="1:19" ht="14.4" customHeight="1" x14ac:dyDescent="0.3">
      <c r="A4" s="395" t="s">
        <v>101</v>
      </c>
      <c r="B4" s="396" t="s">
        <v>95</v>
      </c>
      <c r="C4" s="397"/>
      <c r="D4" s="397"/>
      <c r="E4" s="397"/>
      <c r="F4" s="397"/>
      <c r="G4" s="399"/>
      <c r="H4" s="396" t="s">
        <v>96</v>
      </c>
      <c r="I4" s="397"/>
      <c r="J4" s="397"/>
      <c r="K4" s="397"/>
      <c r="L4" s="397"/>
      <c r="M4" s="399"/>
      <c r="N4" s="396" t="s">
        <v>97</v>
      </c>
      <c r="O4" s="397"/>
      <c r="P4" s="397"/>
      <c r="Q4" s="397"/>
      <c r="R4" s="397"/>
      <c r="S4" s="399"/>
    </row>
    <row r="5" spans="1:19" ht="14.4" customHeight="1" thickBot="1" x14ac:dyDescent="0.35">
      <c r="A5" s="523"/>
      <c r="B5" s="524">
        <v>2015</v>
      </c>
      <c r="C5" s="525"/>
      <c r="D5" s="525">
        <v>2017</v>
      </c>
      <c r="E5" s="525"/>
      <c r="F5" s="525">
        <v>2018</v>
      </c>
      <c r="G5" s="553" t="s">
        <v>2</v>
      </c>
      <c r="H5" s="524">
        <v>2015</v>
      </c>
      <c r="I5" s="525"/>
      <c r="J5" s="525">
        <v>2017</v>
      </c>
      <c r="K5" s="525"/>
      <c r="L5" s="525">
        <v>2018</v>
      </c>
      <c r="M5" s="553" t="s">
        <v>2</v>
      </c>
      <c r="N5" s="524">
        <v>2015</v>
      </c>
      <c r="O5" s="525"/>
      <c r="P5" s="525">
        <v>2017</v>
      </c>
      <c r="Q5" s="525"/>
      <c r="R5" s="525">
        <v>2018</v>
      </c>
      <c r="S5" s="553" t="s">
        <v>2</v>
      </c>
    </row>
    <row r="6" spans="1:19" ht="14.4" customHeight="1" x14ac:dyDescent="0.3">
      <c r="A6" s="557" t="s">
        <v>387</v>
      </c>
      <c r="B6" s="554">
        <v>3363</v>
      </c>
      <c r="C6" s="479">
        <v>0.99821905609973283</v>
      </c>
      <c r="D6" s="554">
        <v>3369</v>
      </c>
      <c r="E6" s="479">
        <v>1</v>
      </c>
      <c r="F6" s="554">
        <v>4794</v>
      </c>
      <c r="G6" s="484">
        <v>1.422974176313446</v>
      </c>
      <c r="H6" s="554"/>
      <c r="I6" s="479"/>
      <c r="J6" s="554"/>
      <c r="K6" s="479"/>
      <c r="L6" s="554"/>
      <c r="M6" s="484"/>
      <c r="N6" s="554"/>
      <c r="O6" s="479"/>
      <c r="P6" s="554"/>
      <c r="Q6" s="479"/>
      <c r="R6" s="554"/>
      <c r="S6" s="119"/>
    </row>
    <row r="7" spans="1:19" ht="14.4" customHeight="1" x14ac:dyDescent="0.3">
      <c r="A7" s="558" t="s">
        <v>388</v>
      </c>
      <c r="B7" s="555">
        <v>3717</v>
      </c>
      <c r="C7" s="494">
        <v>0.47605020491803279</v>
      </c>
      <c r="D7" s="555">
        <v>7808</v>
      </c>
      <c r="E7" s="494">
        <v>1</v>
      </c>
      <c r="F7" s="555">
        <v>14916</v>
      </c>
      <c r="G7" s="499">
        <v>1.9103483606557377</v>
      </c>
      <c r="H7" s="555"/>
      <c r="I7" s="494"/>
      <c r="J7" s="555"/>
      <c r="K7" s="494"/>
      <c r="L7" s="555"/>
      <c r="M7" s="499"/>
      <c r="N7" s="555"/>
      <c r="O7" s="494"/>
      <c r="P7" s="555"/>
      <c r="Q7" s="494"/>
      <c r="R7" s="555"/>
      <c r="S7" s="500"/>
    </row>
    <row r="8" spans="1:19" ht="14.4" customHeight="1" x14ac:dyDescent="0.3">
      <c r="A8" s="558" t="s">
        <v>389</v>
      </c>
      <c r="B8" s="555">
        <v>2478</v>
      </c>
      <c r="C8" s="494">
        <v>0.33257280901892361</v>
      </c>
      <c r="D8" s="555">
        <v>7451</v>
      </c>
      <c r="E8" s="494">
        <v>1</v>
      </c>
      <c r="F8" s="555">
        <v>8163</v>
      </c>
      <c r="G8" s="499">
        <v>1.0955576432693599</v>
      </c>
      <c r="H8" s="555"/>
      <c r="I8" s="494"/>
      <c r="J8" s="555"/>
      <c r="K8" s="494"/>
      <c r="L8" s="555"/>
      <c r="M8" s="499"/>
      <c r="N8" s="555"/>
      <c r="O8" s="494"/>
      <c r="P8" s="555"/>
      <c r="Q8" s="494"/>
      <c r="R8" s="555"/>
      <c r="S8" s="500"/>
    </row>
    <row r="9" spans="1:19" ht="14.4" customHeight="1" x14ac:dyDescent="0.3">
      <c r="A9" s="558" t="s">
        <v>390</v>
      </c>
      <c r="B9" s="555"/>
      <c r="C9" s="494"/>
      <c r="D9" s="555"/>
      <c r="E9" s="494"/>
      <c r="F9" s="555">
        <v>1057</v>
      </c>
      <c r="G9" s="499"/>
      <c r="H9" s="555"/>
      <c r="I9" s="494"/>
      <c r="J9" s="555"/>
      <c r="K9" s="494"/>
      <c r="L9" s="555"/>
      <c r="M9" s="499"/>
      <c r="N9" s="555"/>
      <c r="O9" s="494"/>
      <c r="P9" s="555"/>
      <c r="Q9" s="494"/>
      <c r="R9" s="555"/>
      <c r="S9" s="500"/>
    </row>
    <row r="10" spans="1:19" ht="14.4" customHeight="1" x14ac:dyDescent="0.3">
      <c r="A10" s="558" t="s">
        <v>391</v>
      </c>
      <c r="B10" s="555"/>
      <c r="C10" s="494"/>
      <c r="D10" s="555">
        <v>355</v>
      </c>
      <c r="E10" s="494">
        <v>1</v>
      </c>
      <c r="F10" s="555">
        <v>355</v>
      </c>
      <c r="G10" s="499">
        <v>1</v>
      </c>
      <c r="H10" s="555"/>
      <c r="I10" s="494"/>
      <c r="J10" s="555"/>
      <c r="K10" s="494"/>
      <c r="L10" s="555"/>
      <c r="M10" s="499"/>
      <c r="N10" s="555"/>
      <c r="O10" s="494"/>
      <c r="P10" s="555"/>
      <c r="Q10" s="494"/>
      <c r="R10" s="555"/>
      <c r="S10" s="500"/>
    </row>
    <row r="11" spans="1:19" ht="14.4" customHeight="1" x14ac:dyDescent="0.3">
      <c r="A11" s="558" t="s">
        <v>392</v>
      </c>
      <c r="B11" s="555"/>
      <c r="C11" s="494"/>
      <c r="D11" s="555"/>
      <c r="E11" s="494"/>
      <c r="F11" s="555">
        <v>355</v>
      </c>
      <c r="G11" s="499"/>
      <c r="H11" s="555"/>
      <c r="I11" s="494"/>
      <c r="J11" s="555"/>
      <c r="K11" s="494"/>
      <c r="L11" s="555"/>
      <c r="M11" s="499"/>
      <c r="N11" s="555"/>
      <c r="O11" s="494"/>
      <c r="P11" s="555"/>
      <c r="Q11" s="494"/>
      <c r="R11" s="555"/>
      <c r="S11" s="500"/>
    </row>
    <row r="12" spans="1:19" ht="14.4" customHeight="1" x14ac:dyDescent="0.3">
      <c r="A12" s="558" t="s">
        <v>393</v>
      </c>
      <c r="B12" s="555">
        <v>3540</v>
      </c>
      <c r="C12" s="494">
        <v>0.23207027664874788</v>
      </c>
      <c r="D12" s="555">
        <v>15254</v>
      </c>
      <c r="E12" s="494">
        <v>1</v>
      </c>
      <c r="F12" s="555">
        <v>29845</v>
      </c>
      <c r="G12" s="499">
        <v>1.9565359905598532</v>
      </c>
      <c r="H12" s="555"/>
      <c r="I12" s="494"/>
      <c r="J12" s="555"/>
      <c r="K12" s="494"/>
      <c r="L12" s="555"/>
      <c r="M12" s="499"/>
      <c r="N12" s="555"/>
      <c r="O12" s="494"/>
      <c r="P12" s="555"/>
      <c r="Q12" s="494"/>
      <c r="R12" s="555"/>
      <c r="S12" s="500"/>
    </row>
    <row r="13" spans="1:19" ht="14.4" customHeight="1" x14ac:dyDescent="0.3">
      <c r="A13" s="558" t="s">
        <v>394</v>
      </c>
      <c r="B13" s="555">
        <v>354</v>
      </c>
      <c r="C13" s="494">
        <v>0.28502415458937197</v>
      </c>
      <c r="D13" s="555">
        <v>1242</v>
      </c>
      <c r="E13" s="494">
        <v>1</v>
      </c>
      <c r="F13" s="555">
        <v>355</v>
      </c>
      <c r="G13" s="499">
        <v>0.285829307568438</v>
      </c>
      <c r="H13" s="555"/>
      <c r="I13" s="494"/>
      <c r="J13" s="555"/>
      <c r="K13" s="494"/>
      <c r="L13" s="555"/>
      <c r="M13" s="499"/>
      <c r="N13" s="555"/>
      <c r="O13" s="494"/>
      <c r="P13" s="555"/>
      <c r="Q13" s="494"/>
      <c r="R13" s="555"/>
      <c r="S13" s="500"/>
    </row>
    <row r="14" spans="1:19" ht="14.4" customHeight="1" x14ac:dyDescent="0.3">
      <c r="A14" s="558" t="s">
        <v>395</v>
      </c>
      <c r="B14" s="555">
        <v>4248</v>
      </c>
      <c r="C14" s="494">
        <v>0.82597705619288353</v>
      </c>
      <c r="D14" s="555">
        <v>5143</v>
      </c>
      <c r="E14" s="494">
        <v>1</v>
      </c>
      <c r="F14" s="555">
        <v>4972</v>
      </c>
      <c r="G14" s="499">
        <v>0.966750923585456</v>
      </c>
      <c r="H14" s="555"/>
      <c r="I14" s="494"/>
      <c r="J14" s="555"/>
      <c r="K14" s="494"/>
      <c r="L14" s="555"/>
      <c r="M14" s="499"/>
      <c r="N14" s="555"/>
      <c r="O14" s="494"/>
      <c r="P14" s="555"/>
      <c r="Q14" s="494"/>
      <c r="R14" s="555"/>
      <c r="S14" s="500"/>
    </row>
    <row r="15" spans="1:19" ht="14.4" customHeight="1" x14ac:dyDescent="0.3">
      <c r="A15" s="558" t="s">
        <v>396</v>
      </c>
      <c r="B15" s="555"/>
      <c r="C15" s="494"/>
      <c r="D15" s="555">
        <v>887</v>
      </c>
      <c r="E15" s="494">
        <v>1</v>
      </c>
      <c r="F15" s="555"/>
      <c r="G15" s="499"/>
      <c r="H15" s="555"/>
      <c r="I15" s="494"/>
      <c r="J15" s="555"/>
      <c r="K15" s="494"/>
      <c r="L15" s="555"/>
      <c r="M15" s="499"/>
      <c r="N15" s="555"/>
      <c r="O15" s="494"/>
      <c r="P15" s="555"/>
      <c r="Q15" s="494"/>
      <c r="R15" s="555"/>
      <c r="S15" s="500"/>
    </row>
    <row r="16" spans="1:19" ht="14.4" customHeight="1" x14ac:dyDescent="0.3">
      <c r="A16" s="558" t="s">
        <v>397</v>
      </c>
      <c r="B16" s="555">
        <v>1770</v>
      </c>
      <c r="C16" s="494"/>
      <c r="D16" s="555"/>
      <c r="E16" s="494"/>
      <c r="F16" s="555">
        <v>1065</v>
      </c>
      <c r="G16" s="499"/>
      <c r="H16" s="555"/>
      <c r="I16" s="494"/>
      <c r="J16" s="555"/>
      <c r="K16" s="494"/>
      <c r="L16" s="555"/>
      <c r="M16" s="499"/>
      <c r="N16" s="555"/>
      <c r="O16" s="494"/>
      <c r="P16" s="555"/>
      <c r="Q16" s="494"/>
      <c r="R16" s="555"/>
      <c r="S16" s="500"/>
    </row>
    <row r="17" spans="1:19" ht="14.4" customHeight="1" x14ac:dyDescent="0.3">
      <c r="A17" s="558" t="s">
        <v>398</v>
      </c>
      <c r="B17" s="555">
        <v>354</v>
      </c>
      <c r="C17" s="494">
        <v>9.0699461952344351E-2</v>
      </c>
      <c r="D17" s="555">
        <v>3903</v>
      </c>
      <c r="E17" s="494">
        <v>1</v>
      </c>
      <c r="F17" s="555">
        <v>3018</v>
      </c>
      <c r="G17" s="499">
        <v>0.77325134511913918</v>
      </c>
      <c r="H17" s="555"/>
      <c r="I17" s="494"/>
      <c r="J17" s="555"/>
      <c r="K17" s="494"/>
      <c r="L17" s="555"/>
      <c r="M17" s="499"/>
      <c r="N17" s="555"/>
      <c r="O17" s="494"/>
      <c r="P17" s="555"/>
      <c r="Q17" s="494"/>
      <c r="R17" s="555"/>
      <c r="S17" s="500"/>
    </row>
    <row r="18" spans="1:19" ht="14.4" customHeight="1" x14ac:dyDescent="0.3">
      <c r="A18" s="558" t="s">
        <v>399</v>
      </c>
      <c r="B18" s="555">
        <v>354</v>
      </c>
      <c r="C18" s="494">
        <v>0.49859154929577465</v>
      </c>
      <c r="D18" s="555">
        <v>710</v>
      </c>
      <c r="E18" s="494">
        <v>1</v>
      </c>
      <c r="F18" s="555">
        <v>1066</v>
      </c>
      <c r="G18" s="499">
        <v>1.5014084507042254</v>
      </c>
      <c r="H18" s="555"/>
      <c r="I18" s="494"/>
      <c r="J18" s="555"/>
      <c r="K18" s="494"/>
      <c r="L18" s="555"/>
      <c r="M18" s="499"/>
      <c r="N18" s="555"/>
      <c r="O18" s="494"/>
      <c r="P18" s="555"/>
      <c r="Q18" s="494"/>
      <c r="R18" s="555"/>
      <c r="S18" s="500"/>
    </row>
    <row r="19" spans="1:19" ht="14.4" customHeight="1" x14ac:dyDescent="0.3">
      <c r="A19" s="558" t="s">
        <v>400</v>
      </c>
      <c r="B19" s="555"/>
      <c r="C19" s="494"/>
      <c r="D19" s="555"/>
      <c r="E19" s="494"/>
      <c r="F19" s="555">
        <v>1776</v>
      </c>
      <c r="G19" s="499"/>
      <c r="H19" s="555"/>
      <c r="I19" s="494"/>
      <c r="J19" s="555"/>
      <c r="K19" s="494"/>
      <c r="L19" s="555"/>
      <c r="M19" s="499"/>
      <c r="N19" s="555"/>
      <c r="O19" s="494"/>
      <c r="P19" s="555"/>
      <c r="Q19" s="494"/>
      <c r="R19" s="555"/>
      <c r="S19" s="500"/>
    </row>
    <row r="20" spans="1:19" ht="14.4" customHeight="1" x14ac:dyDescent="0.3">
      <c r="A20" s="558" t="s">
        <v>401</v>
      </c>
      <c r="B20" s="555">
        <v>354</v>
      </c>
      <c r="C20" s="494">
        <v>0.19966159052453469</v>
      </c>
      <c r="D20" s="555">
        <v>1773</v>
      </c>
      <c r="E20" s="494">
        <v>1</v>
      </c>
      <c r="F20" s="555">
        <v>2486</v>
      </c>
      <c r="G20" s="499">
        <v>1.4021432600112804</v>
      </c>
      <c r="H20" s="555"/>
      <c r="I20" s="494"/>
      <c r="J20" s="555"/>
      <c r="K20" s="494"/>
      <c r="L20" s="555"/>
      <c r="M20" s="499"/>
      <c r="N20" s="555"/>
      <c r="O20" s="494"/>
      <c r="P20" s="555"/>
      <c r="Q20" s="494"/>
      <c r="R20" s="555"/>
      <c r="S20" s="500"/>
    </row>
    <row r="21" spans="1:19" ht="14.4" customHeight="1" x14ac:dyDescent="0.3">
      <c r="A21" s="558" t="s">
        <v>402</v>
      </c>
      <c r="B21" s="555">
        <v>3009</v>
      </c>
      <c r="C21" s="494">
        <v>0.4584095063985375</v>
      </c>
      <c r="D21" s="555">
        <v>6564</v>
      </c>
      <c r="E21" s="494">
        <v>1</v>
      </c>
      <c r="F21" s="555">
        <v>4974</v>
      </c>
      <c r="G21" s="499">
        <v>0.75776965265082263</v>
      </c>
      <c r="H21" s="555"/>
      <c r="I21" s="494"/>
      <c r="J21" s="555"/>
      <c r="K21" s="494"/>
      <c r="L21" s="555"/>
      <c r="M21" s="499"/>
      <c r="N21" s="555"/>
      <c r="O21" s="494"/>
      <c r="P21" s="555"/>
      <c r="Q21" s="494"/>
      <c r="R21" s="555"/>
      <c r="S21" s="500"/>
    </row>
    <row r="22" spans="1:19" ht="14.4" customHeight="1" x14ac:dyDescent="0.3">
      <c r="A22" s="558" t="s">
        <v>403</v>
      </c>
      <c r="B22" s="555"/>
      <c r="C22" s="494"/>
      <c r="D22" s="555">
        <v>177</v>
      </c>
      <c r="E22" s="494">
        <v>1</v>
      </c>
      <c r="F22" s="555">
        <v>355</v>
      </c>
      <c r="G22" s="499">
        <v>2.0056497175141241</v>
      </c>
      <c r="H22" s="555"/>
      <c r="I22" s="494"/>
      <c r="J22" s="555"/>
      <c r="K22" s="494"/>
      <c r="L22" s="555"/>
      <c r="M22" s="499"/>
      <c r="N22" s="555"/>
      <c r="O22" s="494"/>
      <c r="P22" s="555"/>
      <c r="Q22" s="494"/>
      <c r="R22" s="555"/>
      <c r="S22" s="500"/>
    </row>
    <row r="23" spans="1:19" ht="14.4" customHeight="1" x14ac:dyDescent="0.3">
      <c r="A23" s="558" t="s">
        <v>404</v>
      </c>
      <c r="B23" s="555">
        <v>708</v>
      </c>
      <c r="C23" s="494">
        <v>0.6647887323943662</v>
      </c>
      <c r="D23" s="555">
        <v>1065</v>
      </c>
      <c r="E23" s="494">
        <v>1</v>
      </c>
      <c r="F23" s="555">
        <v>710</v>
      </c>
      <c r="G23" s="499">
        <v>0.66666666666666663</v>
      </c>
      <c r="H23" s="555"/>
      <c r="I23" s="494"/>
      <c r="J23" s="555"/>
      <c r="K23" s="494"/>
      <c r="L23" s="555"/>
      <c r="M23" s="499"/>
      <c r="N23" s="555"/>
      <c r="O23" s="494"/>
      <c r="P23" s="555"/>
      <c r="Q23" s="494"/>
      <c r="R23" s="555"/>
      <c r="S23" s="500"/>
    </row>
    <row r="24" spans="1:19" ht="14.4" customHeight="1" x14ac:dyDescent="0.3">
      <c r="A24" s="558" t="s">
        <v>405</v>
      </c>
      <c r="B24" s="555">
        <v>1062</v>
      </c>
      <c r="C24" s="494">
        <v>0.66583072100313478</v>
      </c>
      <c r="D24" s="555">
        <v>1595</v>
      </c>
      <c r="E24" s="494">
        <v>1</v>
      </c>
      <c r="F24" s="555">
        <v>1955</v>
      </c>
      <c r="G24" s="499">
        <v>1.2257053291536051</v>
      </c>
      <c r="H24" s="555"/>
      <c r="I24" s="494"/>
      <c r="J24" s="555"/>
      <c r="K24" s="494"/>
      <c r="L24" s="555"/>
      <c r="M24" s="499"/>
      <c r="N24" s="555"/>
      <c r="O24" s="494"/>
      <c r="P24" s="555"/>
      <c r="Q24" s="494"/>
      <c r="R24" s="555"/>
      <c r="S24" s="500"/>
    </row>
    <row r="25" spans="1:19" ht="14.4" customHeight="1" thickBot="1" x14ac:dyDescent="0.35">
      <c r="A25" s="559" t="s">
        <v>406</v>
      </c>
      <c r="B25" s="556">
        <v>885</v>
      </c>
      <c r="C25" s="486"/>
      <c r="D25" s="556"/>
      <c r="E25" s="486"/>
      <c r="F25" s="556">
        <v>533</v>
      </c>
      <c r="G25" s="491"/>
      <c r="H25" s="556"/>
      <c r="I25" s="486"/>
      <c r="J25" s="556"/>
      <c r="K25" s="486"/>
      <c r="L25" s="556"/>
      <c r="M25" s="491"/>
      <c r="N25" s="556"/>
      <c r="O25" s="486"/>
      <c r="P25" s="556"/>
      <c r="Q25" s="486"/>
      <c r="R25" s="556"/>
      <c r="S25" s="49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6" bestFit="1" customWidth="1"/>
    <col min="2" max="2" width="8.6640625" style="126" bestFit="1" customWidth="1"/>
    <col min="3" max="3" width="2.109375" style="126" bestFit="1" customWidth="1"/>
    <col min="4" max="4" width="8" style="126" bestFit="1" customWidth="1"/>
    <col min="5" max="5" width="52.88671875" style="126" bestFit="1" customWidth="1" collapsed="1"/>
    <col min="6" max="7" width="11.109375" style="203" hidden="1" customWidth="1" outlineLevel="1"/>
    <col min="8" max="9" width="9.33203125" style="203" hidden="1" customWidth="1"/>
    <col min="10" max="11" width="11.109375" style="203" customWidth="1"/>
    <col min="12" max="13" width="9.33203125" style="203" hidden="1" customWidth="1"/>
    <col min="14" max="15" width="11.109375" style="203" customWidth="1"/>
    <col min="16" max="16" width="11.109375" style="206" customWidth="1"/>
    <col min="17" max="17" width="11.109375" style="203" customWidth="1"/>
    <col min="18" max="16384" width="8.88671875" style="126"/>
  </cols>
  <sheetData>
    <row r="1" spans="1:17" ht="18.600000000000001" customHeight="1" thickBot="1" x14ac:dyDescent="0.4">
      <c r="A1" s="300" t="s">
        <v>427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</row>
    <row r="2" spans="1:17" ht="14.4" customHeight="1" thickBot="1" x14ac:dyDescent="0.35">
      <c r="A2" s="225" t="s">
        <v>241</v>
      </c>
      <c r="B2" s="127"/>
      <c r="C2" s="127"/>
      <c r="D2" s="127"/>
      <c r="E2" s="127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2"/>
      <c r="Q2" s="221"/>
    </row>
    <row r="3" spans="1:17" ht="14.4" customHeight="1" thickBot="1" x14ac:dyDescent="0.35">
      <c r="E3" s="86" t="s">
        <v>120</v>
      </c>
      <c r="F3" s="99">
        <f t="shared" ref="F3:O3" si="0">SUBTOTAL(9,F6:F1048576)</f>
        <v>84</v>
      </c>
      <c r="G3" s="100">
        <f t="shared" si="0"/>
        <v>26196</v>
      </c>
      <c r="H3" s="100"/>
      <c r="I3" s="100"/>
      <c r="J3" s="100">
        <f t="shared" si="0"/>
        <v>198</v>
      </c>
      <c r="K3" s="100">
        <f t="shared" si="0"/>
        <v>57296</v>
      </c>
      <c r="L3" s="100"/>
      <c r="M3" s="100"/>
      <c r="N3" s="100">
        <f t="shared" si="0"/>
        <v>284</v>
      </c>
      <c r="O3" s="100">
        <f t="shared" si="0"/>
        <v>82750</v>
      </c>
      <c r="P3" s="74">
        <f>IF(K3=0,0,O3/K3)</f>
        <v>1.4442543982127898</v>
      </c>
      <c r="Q3" s="101">
        <f>IF(N3=0,0,O3/N3)</f>
        <v>291.37323943661971</v>
      </c>
    </row>
    <row r="4" spans="1:17" ht="14.4" customHeight="1" x14ac:dyDescent="0.3">
      <c r="A4" s="404" t="s">
        <v>65</v>
      </c>
      <c r="B4" s="402" t="s">
        <v>91</v>
      </c>
      <c r="C4" s="404" t="s">
        <v>92</v>
      </c>
      <c r="D4" s="413" t="s">
        <v>93</v>
      </c>
      <c r="E4" s="405" t="s">
        <v>66</v>
      </c>
      <c r="F4" s="411">
        <v>2015</v>
      </c>
      <c r="G4" s="412"/>
      <c r="H4" s="102"/>
      <c r="I4" s="102"/>
      <c r="J4" s="411">
        <v>2017</v>
      </c>
      <c r="K4" s="412"/>
      <c r="L4" s="102"/>
      <c r="M4" s="102"/>
      <c r="N4" s="411">
        <v>2018</v>
      </c>
      <c r="O4" s="412"/>
      <c r="P4" s="414" t="s">
        <v>2</v>
      </c>
      <c r="Q4" s="403" t="s">
        <v>94</v>
      </c>
    </row>
    <row r="5" spans="1:17" ht="14.4" customHeight="1" thickBot="1" x14ac:dyDescent="0.35">
      <c r="A5" s="542"/>
      <c r="B5" s="540"/>
      <c r="C5" s="542"/>
      <c r="D5" s="560"/>
      <c r="E5" s="544"/>
      <c r="F5" s="561" t="s">
        <v>68</v>
      </c>
      <c r="G5" s="562" t="s">
        <v>11</v>
      </c>
      <c r="H5" s="563"/>
      <c r="I5" s="563"/>
      <c r="J5" s="561" t="s">
        <v>68</v>
      </c>
      <c r="K5" s="562" t="s">
        <v>11</v>
      </c>
      <c r="L5" s="563"/>
      <c r="M5" s="563"/>
      <c r="N5" s="561" t="s">
        <v>68</v>
      </c>
      <c r="O5" s="562" t="s">
        <v>11</v>
      </c>
      <c r="P5" s="564"/>
      <c r="Q5" s="549"/>
    </row>
    <row r="6" spans="1:17" ht="14.4" customHeight="1" x14ac:dyDescent="0.3">
      <c r="A6" s="478" t="s">
        <v>407</v>
      </c>
      <c r="B6" s="479" t="s">
        <v>376</v>
      </c>
      <c r="C6" s="479" t="s">
        <v>377</v>
      </c>
      <c r="D6" s="479" t="s">
        <v>378</v>
      </c>
      <c r="E6" s="479" t="s">
        <v>379</v>
      </c>
      <c r="F6" s="113">
        <v>4</v>
      </c>
      <c r="G6" s="113">
        <v>1416</v>
      </c>
      <c r="H6" s="113">
        <v>0.79774647887323946</v>
      </c>
      <c r="I6" s="113">
        <v>354</v>
      </c>
      <c r="J6" s="113">
        <v>5</v>
      </c>
      <c r="K6" s="113">
        <v>1775</v>
      </c>
      <c r="L6" s="113">
        <v>1</v>
      </c>
      <c r="M6" s="113">
        <v>355</v>
      </c>
      <c r="N6" s="113">
        <v>7</v>
      </c>
      <c r="O6" s="113">
        <v>2485</v>
      </c>
      <c r="P6" s="484">
        <v>1.4</v>
      </c>
      <c r="Q6" s="507">
        <v>355</v>
      </c>
    </row>
    <row r="7" spans="1:17" ht="14.4" customHeight="1" x14ac:dyDescent="0.3">
      <c r="A7" s="493" t="s">
        <v>407</v>
      </c>
      <c r="B7" s="494" t="s">
        <v>376</v>
      </c>
      <c r="C7" s="494" t="s">
        <v>377</v>
      </c>
      <c r="D7" s="494" t="s">
        <v>378</v>
      </c>
      <c r="E7" s="494" t="s">
        <v>380</v>
      </c>
      <c r="F7" s="550">
        <v>4</v>
      </c>
      <c r="G7" s="550">
        <v>1416</v>
      </c>
      <c r="H7" s="550">
        <v>3.9887323943661972</v>
      </c>
      <c r="I7" s="550">
        <v>354</v>
      </c>
      <c r="J7" s="550">
        <v>1</v>
      </c>
      <c r="K7" s="550">
        <v>355</v>
      </c>
      <c r="L7" s="550">
        <v>1</v>
      </c>
      <c r="M7" s="550">
        <v>355</v>
      </c>
      <c r="N7" s="550">
        <v>5</v>
      </c>
      <c r="O7" s="550">
        <v>1775</v>
      </c>
      <c r="P7" s="499">
        <v>5</v>
      </c>
      <c r="Q7" s="551">
        <v>355</v>
      </c>
    </row>
    <row r="8" spans="1:17" ht="14.4" customHeight="1" x14ac:dyDescent="0.3">
      <c r="A8" s="493" t="s">
        <v>407</v>
      </c>
      <c r="B8" s="494" t="s">
        <v>376</v>
      </c>
      <c r="C8" s="494" t="s">
        <v>377</v>
      </c>
      <c r="D8" s="494" t="s">
        <v>381</v>
      </c>
      <c r="E8" s="494" t="s">
        <v>382</v>
      </c>
      <c r="F8" s="550">
        <v>3</v>
      </c>
      <c r="G8" s="550">
        <v>531</v>
      </c>
      <c r="H8" s="550">
        <v>1.5</v>
      </c>
      <c r="I8" s="550">
        <v>177</v>
      </c>
      <c r="J8" s="550">
        <v>2</v>
      </c>
      <c r="K8" s="550">
        <v>354</v>
      </c>
      <c r="L8" s="550">
        <v>1</v>
      </c>
      <c r="M8" s="550">
        <v>177</v>
      </c>
      <c r="N8" s="550">
        <v>2</v>
      </c>
      <c r="O8" s="550">
        <v>356</v>
      </c>
      <c r="P8" s="499">
        <v>1.0056497175141244</v>
      </c>
      <c r="Q8" s="551">
        <v>178</v>
      </c>
    </row>
    <row r="9" spans="1:17" ht="14.4" customHeight="1" x14ac:dyDescent="0.3">
      <c r="A9" s="493" t="s">
        <v>407</v>
      </c>
      <c r="B9" s="494" t="s">
        <v>376</v>
      </c>
      <c r="C9" s="494" t="s">
        <v>377</v>
      </c>
      <c r="D9" s="494" t="s">
        <v>381</v>
      </c>
      <c r="E9" s="494" t="s">
        <v>408</v>
      </c>
      <c r="F9" s="550"/>
      <c r="G9" s="550"/>
      <c r="H9" s="550"/>
      <c r="I9" s="550"/>
      <c r="J9" s="550">
        <v>5</v>
      </c>
      <c r="K9" s="550">
        <v>885</v>
      </c>
      <c r="L9" s="550">
        <v>1</v>
      </c>
      <c r="M9" s="550">
        <v>177</v>
      </c>
      <c r="N9" s="550">
        <v>1</v>
      </c>
      <c r="O9" s="550">
        <v>178</v>
      </c>
      <c r="P9" s="499">
        <v>0.20112994350282487</v>
      </c>
      <c r="Q9" s="551">
        <v>178</v>
      </c>
    </row>
    <row r="10" spans="1:17" ht="14.4" customHeight="1" x14ac:dyDescent="0.3">
      <c r="A10" s="493" t="s">
        <v>409</v>
      </c>
      <c r="B10" s="494" t="s">
        <v>376</v>
      </c>
      <c r="C10" s="494" t="s">
        <v>377</v>
      </c>
      <c r="D10" s="494" t="s">
        <v>378</v>
      </c>
      <c r="E10" s="494" t="s">
        <v>379</v>
      </c>
      <c r="F10" s="550">
        <v>7</v>
      </c>
      <c r="G10" s="550">
        <v>2478</v>
      </c>
      <c r="H10" s="550">
        <v>0.38779342723004695</v>
      </c>
      <c r="I10" s="550">
        <v>354</v>
      </c>
      <c r="J10" s="550">
        <v>18</v>
      </c>
      <c r="K10" s="550">
        <v>6390</v>
      </c>
      <c r="L10" s="550">
        <v>1</v>
      </c>
      <c r="M10" s="550">
        <v>355</v>
      </c>
      <c r="N10" s="550">
        <v>12</v>
      </c>
      <c r="O10" s="550">
        <v>4260</v>
      </c>
      <c r="P10" s="499">
        <v>0.66666666666666663</v>
      </c>
      <c r="Q10" s="551">
        <v>355</v>
      </c>
    </row>
    <row r="11" spans="1:17" ht="14.4" customHeight="1" x14ac:dyDescent="0.3">
      <c r="A11" s="493" t="s">
        <v>409</v>
      </c>
      <c r="B11" s="494" t="s">
        <v>376</v>
      </c>
      <c r="C11" s="494" t="s">
        <v>377</v>
      </c>
      <c r="D11" s="494" t="s">
        <v>378</v>
      </c>
      <c r="E11" s="494" t="s">
        <v>380</v>
      </c>
      <c r="F11" s="550">
        <v>1</v>
      </c>
      <c r="G11" s="550">
        <v>354</v>
      </c>
      <c r="H11" s="550">
        <v>0.49859154929577465</v>
      </c>
      <c r="I11" s="550">
        <v>354</v>
      </c>
      <c r="J11" s="550">
        <v>2</v>
      </c>
      <c r="K11" s="550">
        <v>710</v>
      </c>
      <c r="L11" s="550">
        <v>1</v>
      </c>
      <c r="M11" s="550">
        <v>355</v>
      </c>
      <c r="N11" s="550">
        <v>24</v>
      </c>
      <c r="O11" s="550">
        <v>8520</v>
      </c>
      <c r="P11" s="499">
        <v>12</v>
      </c>
      <c r="Q11" s="551">
        <v>355</v>
      </c>
    </row>
    <row r="12" spans="1:17" ht="14.4" customHeight="1" x14ac:dyDescent="0.3">
      <c r="A12" s="493" t="s">
        <v>409</v>
      </c>
      <c r="B12" s="494" t="s">
        <v>376</v>
      </c>
      <c r="C12" s="494" t="s">
        <v>377</v>
      </c>
      <c r="D12" s="494" t="s">
        <v>381</v>
      </c>
      <c r="E12" s="494" t="s">
        <v>382</v>
      </c>
      <c r="F12" s="550">
        <v>4</v>
      </c>
      <c r="G12" s="550">
        <v>708</v>
      </c>
      <c r="H12" s="550">
        <v>1.3333333333333333</v>
      </c>
      <c r="I12" s="550">
        <v>177</v>
      </c>
      <c r="J12" s="550">
        <v>3</v>
      </c>
      <c r="K12" s="550">
        <v>531</v>
      </c>
      <c r="L12" s="550">
        <v>1</v>
      </c>
      <c r="M12" s="550">
        <v>177</v>
      </c>
      <c r="N12" s="550">
        <v>6</v>
      </c>
      <c r="O12" s="550">
        <v>1068</v>
      </c>
      <c r="P12" s="499">
        <v>2.0112994350282487</v>
      </c>
      <c r="Q12" s="551">
        <v>178</v>
      </c>
    </row>
    <row r="13" spans="1:17" ht="14.4" customHeight="1" x14ac:dyDescent="0.3">
      <c r="A13" s="493" t="s">
        <v>409</v>
      </c>
      <c r="B13" s="494" t="s">
        <v>376</v>
      </c>
      <c r="C13" s="494" t="s">
        <v>377</v>
      </c>
      <c r="D13" s="494" t="s">
        <v>381</v>
      </c>
      <c r="E13" s="494" t="s">
        <v>408</v>
      </c>
      <c r="F13" s="550">
        <v>1</v>
      </c>
      <c r="G13" s="550">
        <v>177</v>
      </c>
      <c r="H13" s="550">
        <v>1</v>
      </c>
      <c r="I13" s="550">
        <v>177</v>
      </c>
      <c r="J13" s="550">
        <v>1</v>
      </c>
      <c r="K13" s="550">
        <v>177</v>
      </c>
      <c r="L13" s="550">
        <v>1</v>
      </c>
      <c r="M13" s="550">
        <v>177</v>
      </c>
      <c r="N13" s="550">
        <v>6</v>
      </c>
      <c r="O13" s="550">
        <v>1068</v>
      </c>
      <c r="P13" s="499">
        <v>6.0338983050847457</v>
      </c>
      <c r="Q13" s="551">
        <v>178</v>
      </c>
    </row>
    <row r="14" spans="1:17" ht="14.4" customHeight="1" x14ac:dyDescent="0.3">
      <c r="A14" s="493" t="s">
        <v>410</v>
      </c>
      <c r="B14" s="494" t="s">
        <v>376</v>
      </c>
      <c r="C14" s="494" t="s">
        <v>377</v>
      </c>
      <c r="D14" s="494" t="s">
        <v>378</v>
      </c>
      <c r="E14" s="494" t="s">
        <v>379</v>
      </c>
      <c r="F14" s="550">
        <v>2</v>
      </c>
      <c r="G14" s="550">
        <v>708</v>
      </c>
      <c r="H14" s="550">
        <v>0.24929577464788732</v>
      </c>
      <c r="I14" s="550">
        <v>354</v>
      </c>
      <c r="J14" s="550">
        <v>8</v>
      </c>
      <c r="K14" s="550">
        <v>2840</v>
      </c>
      <c r="L14" s="550">
        <v>1</v>
      </c>
      <c r="M14" s="550">
        <v>355</v>
      </c>
      <c r="N14" s="550">
        <v>2</v>
      </c>
      <c r="O14" s="550">
        <v>710</v>
      </c>
      <c r="P14" s="499">
        <v>0.25</v>
      </c>
      <c r="Q14" s="551">
        <v>355</v>
      </c>
    </row>
    <row r="15" spans="1:17" ht="14.4" customHeight="1" x14ac:dyDescent="0.3">
      <c r="A15" s="493" t="s">
        <v>410</v>
      </c>
      <c r="B15" s="494" t="s">
        <v>376</v>
      </c>
      <c r="C15" s="494" t="s">
        <v>377</v>
      </c>
      <c r="D15" s="494" t="s">
        <v>378</v>
      </c>
      <c r="E15" s="494" t="s">
        <v>380</v>
      </c>
      <c r="F15" s="550">
        <v>4</v>
      </c>
      <c r="G15" s="550">
        <v>1416</v>
      </c>
      <c r="H15" s="550">
        <v>0.4431924882629108</v>
      </c>
      <c r="I15" s="550">
        <v>354</v>
      </c>
      <c r="J15" s="550">
        <v>9</v>
      </c>
      <c r="K15" s="550">
        <v>3195</v>
      </c>
      <c r="L15" s="550">
        <v>1</v>
      </c>
      <c r="M15" s="550">
        <v>355</v>
      </c>
      <c r="N15" s="550">
        <v>14</v>
      </c>
      <c r="O15" s="550">
        <v>4970</v>
      </c>
      <c r="P15" s="499">
        <v>1.5555555555555556</v>
      </c>
      <c r="Q15" s="551">
        <v>355</v>
      </c>
    </row>
    <row r="16" spans="1:17" ht="14.4" customHeight="1" x14ac:dyDescent="0.3">
      <c r="A16" s="493" t="s">
        <v>410</v>
      </c>
      <c r="B16" s="494" t="s">
        <v>376</v>
      </c>
      <c r="C16" s="494" t="s">
        <v>377</v>
      </c>
      <c r="D16" s="494" t="s">
        <v>381</v>
      </c>
      <c r="E16" s="494" t="s">
        <v>382</v>
      </c>
      <c r="F16" s="550">
        <v>1</v>
      </c>
      <c r="G16" s="550">
        <v>177</v>
      </c>
      <c r="H16" s="550">
        <v>0.16666666666666666</v>
      </c>
      <c r="I16" s="550">
        <v>177</v>
      </c>
      <c r="J16" s="550">
        <v>6</v>
      </c>
      <c r="K16" s="550">
        <v>1062</v>
      </c>
      <c r="L16" s="550">
        <v>1</v>
      </c>
      <c r="M16" s="550">
        <v>177</v>
      </c>
      <c r="N16" s="550">
        <v>5</v>
      </c>
      <c r="O16" s="550">
        <v>890</v>
      </c>
      <c r="P16" s="499">
        <v>0.83804143126177022</v>
      </c>
      <c r="Q16" s="551">
        <v>178</v>
      </c>
    </row>
    <row r="17" spans="1:17" ht="14.4" customHeight="1" x14ac:dyDescent="0.3">
      <c r="A17" s="493" t="s">
        <v>410</v>
      </c>
      <c r="B17" s="494" t="s">
        <v>376</v>
      </c>
      <c r="C17" s="494" t="s">
        <v>377</v>
      </c>
      <c r="D17" s="494" t="s">
        <v>381</v>
      </c>
      <c r="E17" s="494" t="s">
        <v>408</v>
      </c>
      <c r="F17" s="550">
        <v>1</v>
      </c>
      <c r="G17" s="550">
        <v>177</v>
      </c>
      <c r="H17" s="550">
        <v>0.5</v>
      </c>
      <c r="I17" s="550">
        <v>177</v>
      </c>
      <c r="J17" s="550">
        <v>2</v>
      </c>
      <c r="K17" s="550">
        <v>354</v>
      </c>
      <c r="L17" s="550">
        <v>1</v>
      </c>
      <c r="M17" s="550">
        <v>177</v>
      </c>
      <c r="N17" s="550">
        <v>7</v>
      </c>
      <c r="O17" s="550">
        <v>1246</v>
      </c>
      <c r="P17" s="499">
        <v>3.5197740112994351</v>
      </c>
      <c r="Q17" s="551">
        <v>178</v>
      </c>
    </row>
    <row r="18" spans="1:17" ht="14.4" customHeight="1" x14ac:dyDescent="0.3">
      <c r="A18" s="493" t="s">
        <v>410</v>
      </c>
      <c r="B18" s="494" t="s">
        <v>376</v>
      </c>
      <c r="C18" s="494" t="s">
        <v>377</v>
      </c>
      <c r="D18" s="494" t="s">
        <v>383</v>
      </c>
      <c r="E18" s="494" t="s">
        <v>384</v>
      </c>
      <c r="F18" s="550"/>
      <c r="G18" s="550"/>
      <c r="H18" s="550"/>
      <c r="I18" s="550"/>
      <c r="J18" s="550"/>
      <c r="K18" s="550"/>
      <c r="L18" s="550"/>
      <c r="M18" s="550"/>
      <c r="N18" s="550">
        <v>1</v>
      </c>
      <c r="O18" s="550">
        <v>347</v>
      </c>
      <c r="P18" s="499"/>
      <c r="Q18" s="551">
        <v>347</v>
      </c>
    </row>
    <row r="19" spans="1:17" ht="14.4" customHeight="1" x14ac:dyDescent="0.3">
      <c r="A19" s="493" t="s">
        <v>411</v>
      </c>
      <c r="B19" s="494" t="s">
        <v>376</v>
      </c>
      <c r="C19" s="494" t="s">
        <v>377</v>
      </c>
      <c r="D19" s="494" t="s">
        <v>378</v>
      </c>
      <c r="E19" s="494" t="s">
        <v>379</v>
      </c>
      <c r="F19" s="550"/>
      <c r="G19" s="550"/>
      <c r="H19" s="550"/>
      <c r="I19" s="550"/>
      <c r="J19" s="550"/>
      <c r="K19" s="550"/>
      <c r="L19" s="550"/>
      <c r="M19" s="550"/>
      <c r="N19" s="550">
        <v>2</v>
      </c>
      <c r="O19" s="550">
        <v>710</v>
      </c>
      <c r="P19" s="499"/>
      <c r="Q19" s="551">
        <v>355</v>
      </c>
    </row>
    <row r="20" spans="1:17" ht="14.4" customHeight="1" x14ac:dyDescent="0.3">
      <c r="A20" s="493" t="s">
        <v>411</v>
      </c>
      <c r="B20" s="494" t="s">
        <v>376</v>
      </c>
      <c r="C20" s="494" t="s">
        <v>377</v>
      </c>
      <c r="D20" s="494" t="s">
        <v>383</v>
      </c>
      <c r="E20" s="494" t="s">
        <v>384</v>
      </c>
      <c r="F20" s="550"/>
      <c r="G20" s="550"/>
      <c r="H20" s="550"/>
      <c r="I20" s="550"/>
      <c r="J20" s="550"/>
      <c r="K20" s="550"/>
      <c r="L20" s="550"/>
      <c r="M20" s="550"/>
      <c r="N20" s="550">
        <v>1</v>
      </c>
      <c r="O20" s="550">
        <v>347</v>
      </c>
      <c r="P20" s="499"/>
      <c r="Q20" s="551">
        <v>347</v>
      </c>
    </row>
    <row r="21" spans="1:17" ht="14.4" customHeight="1" x14ac:dyDescent="0.3">
      <c r="A21" s="493" t="s">
        <v>412</v>
      </c>
      <c r="B21" s="494" t="s">
        <v>376</v>
      </c>
      <c r="C21" s="494" t="s">
        <v>377</v>
      </c>
      <c r="D21" s="494" t="s">
        <v>378</v>
      </c>
      <c r="E21" s="494" t="s">
        <v>379</v>
      </c>
      <c r="F21" s="550"/>
      <c r="G21" s="550"/>
      <c r="H21" s="550"/>
      <c r="I21" s="550"/>
      <c r="J21" s="550">
        <v>1</v>
      </c>
      <c r="K21" s="550">
        <v>355</v>
      </c>
      <c r="L21" s="550">
        <v>1</v>
      </c>
      <c r="M21" s="550">
        <v>355</v>
      </c>
      <c r="N21" s="550"/>
      <c r="O21" s="550"/>
      <c r="P21" s="499"/>
      <c r="Q21" s="551"/>
    </row>
    <row r="22" spans="1:17" ht="14.4" customHeight="1" x14ac:dyDescent="0.3">
      <c r="A22" s="493" t="s">
        <v>412</v>
      </c>
      <c r="B22" s="494" t="s">
        <v>376</v>
      </c>
      <c r="C22" s="494" t="s">
        <v>377</v>
      </c>
      <c r="D22" s="494" t="s">
        <v>378</v>
      </c>
      <c r="E22" s="494" t="s">
        <v>380</v>
      </c>
      <c r="F22" s="550"/>
      <c r="G22" s="550"/>
      <c r="H22" s="550"/>
      <c r="I22" s="550"/>
      <c r="J22" s="550"/>
      <c r="K22" s="550"/>
      <c r="L22" s="550"/>
      <c r="M22" s="550"/>
      <c r="N22" s="550">
        <v>1</v>
      </c>
      <c r="O22" s="550">
        <v>355</v>
      </c>
      <c r="P22" s="499"/>
      <c r="Q22" s="551">
        <v>355</v>
      </c>
    </row>
    <row r="23" spans="1:17" ht="14.4" customHeight="1" x14ac:dyDescent="0.3">
      <c r="A23" s="493" t="s">
        <v>375</v>
      </c>
      <c r="B23" s="494" t="s">
        <v>376</v>
      </c>
      <c r="C23" s="494" t="s">
        <v>377</v>
      </c>
      <c r="D23" s="494" t="s">
        <v>378</v>
      </c>
      <c r="E23" s="494" t="s">
        <v>379</v>
      </c>
      <c r="F23" s="550"/>
      <c r="G23" s="550"/>
      <c r="H23" s="550"/>
      <c r="I23" s="550"/>
      <c r="J23" s="550"/>
      <c r="K23" s="550"/>
      <c r="L23" s="550"/>
      <c r="M23" s="550"/>
      <c r="N23" s="550">
        <v>1</v>
      </c>
      <c r="O23" s="550">
        <v>355</v>
      </c>
      <c r="P23" s="499"/>
      <c r="Q23" s="551">
        <v>355</v>
      </c>
    </row>
    <row r="24" spans="1:17" ht="14.4" customHeight="1" x14ac:dyDescent="0.3">
      <c r="A24" s="493" t="s">
        <v>413</v>
      </c>
      <c r="B24" s="494" t="s">
        <v>376</v>
      </c>
      <c r="C24" s="494" t="s">
        <v>377</v>
      </c>
      <c r="D24" s="494" t="s">
        <v>378</v>
      </c>
      <c r="E24" s="494" t="s">
        <v>379</v>
      </c>
      <c r="F24" s="550">
        <v>5</v>
      </c>
      <c r="G24" s="550">
        <v>1770</v>
      </c>
      <c r="H24" s="550">
        <v>0.20774647887323944</v>
      </c>
      <c r="I24" s="550">
        <v>354</v>
      </c>
      <c r="J24" s="550">
        <v>24</v>
      </c>
      <c r="K24" s="550">
        <v>8520</v>
      </c>
      <c r="L24" s="550">
        <v>1</v>
      </c>
      <c r="M24" s="550">
        <v>355</v>
      </c>
      <c r="N24" s="550">
        <v>14</v>
      </c>
      <c r="O24" s="550">
        <v>4970</v>
      </c>
      <c r="P24" s="499">
        <v>0.58333333333333337</v>
      </c>
      <c r="Q24" s="551">
        <v>355</v>
      </c>
    </row>
    <row r="25" spans="1:17" ht="14.4" customHeight="1" x14ac:dyDescent="0.3">
      <c r="A25" s="493" t="s">
        <v>413</v>
      </c>
      <c r="B25" s="494" t="s">
        <v>376</v>
      </c>
      <c r="C25" s="494" t="s">
        <v>377</v>
      </c>
      <c r="D25" s="494" t="s">
        <v>378</v>
      </c>
      <c r="E25" s="494" t="s">
        <v>380</v>
      </c>
      <c r="F25" s="550">
        <v>4</v>
      </c>
      <c r="G25" s="550">
        <v>1416</v>
      </c>
      <c r="H25" s="550">
        <v>0.49859154929577465</v>
      </c>
      <c r="I25" s="550">
        <v>354</v>
      </c>
      <c r="J25" s="550">
        <v>8</v>
      </c>
      <c r="K25" s="550">
        <v>2840</v>
      </c>
      <c r="L25" s="550">
        <v>1</v>
      </c>
      <c r="M25" s="550">
        <v>355</v>
      </c>
      <c r="N25" s="550">
        <v>45</v>
      </c>
      <c r="O25" s="550">
        <v>15975</v>
      </c>
      <c r="P25" s="499">
        <v>5.625</v>
      </c>
      <c r="Q25" s="551">
        <v>355</v>
      </c>
    </row>
    <row r="26" spans="1:17" ht="14.4" customHeight="1" x14ac:dyDescent="0.3">
      <c r="A26" s="493" t="s">
        <v>413</v>
      </c>
      <c r="B26" s="494" t="s">
        <v>376</v>
      </c>
      <c r="C26" s="494" t="s">
        <v>377</v>
      </c>
      <c r="D26" s="494" t="s">
        <v>381</v>
      </c>
      <c r="E26" s="494" t="s">
        <v>382</v>
      </c>
      <c r="F26" s="550"/>
      <c r="G26" s="550"/>
      <c r="H26" s="550"/>
      <c r="I26" s="550"/>
      <c r="J26" s="550">
        <v>18</v>
      </c>
      <c r="K26" s="550">
        <v>3186</v>
      </c>
      <c r="L26" s="550">
        <v>1</v>
      </c>
      <c r="M26" s="550">
        <v>177</v>
      </c>
      <c r="N26" s="550">
        <v>16</v>
      </c>
      <c r="O26" s="550">
        <v>2848</v>
      </c>
      <c r="P26" s="499">
        <v>0.89391086001255493</v>
      </c>
      <c r="Q26" s="551">
        <v>178</v>
      </c>
    </row>
    <row r="27" spans="1:17" ht="14.4" customHeight="1" x14ac:dyDescent="0.3">
      <c r="A27" s="493" t="s">
        <v>413</v>
      </c>
      <c r="B27" s="494" t="s">
        <v>376</v>
      </c>
      <c r="C27" s="494" t="s">
        <v>377</v>
      </c>
      <c r="D27" s="494" t="s">
        <v>381</v>
      </c>
      <c r="E27" s="494" t="s">
        <v>408</v>
      </c>
      <c r="F27" s="550">
        <v>2</v>
      </c>
      <c r="G27" s="550">
        <v>354</v>
      </c>
      <c r="H27" s="550">
        <v>0.5</v>
      </c>
      <c r="I27" s="550">
        <v>177</v>
      </c>
      <c r="J27" s="550">
        <v>4</v>
      </c>
      <c r="K27" s="550">
        <v>708</v>
      </c>
      <c r="L27" s="550">
        <v>1</v>
      </c>
      <c r="M27" s="550">
        <v>177</v>
      </c>
      <c r="N27" s="550">
        <v>34</v>
      </c>
      <c r="O27" s="550">
        <v>6052</v>
      </c>
      <c r="P27" s="499">
        <v>8.5480225988700571</v>
      </c>
      <c r="Q27" s="551">
        <v>178</v>
      </c>
    </row>
    <row r="28" spans="1:17" ht="14.4" customHeight="1" x14ac:dyDescent="0.3">
      <c r="A28" s="493" t="s">
        <v>414</v>
      </c>
      <c r="B28" s="494" t="s">
        <v>376</v>
      </c>
      <c r="C28" s="494" t="s">
        <v>377</v>
      </c>
      <c r="D28" s="494" t="s">
        <v>378</v>
      </c>
      <c r="E28" s="494" t="s">
        <v>379</v>
      </c>
      <c r="F28" s="550"/>
      <c r="G28" s="550"/>
      <c r="H28" s="550"/>
      <c r="I28" s="550"/>
      <c r="J28" s="550">
        <v>3</v>
      </c>
      <c r="K28" s="550">
        <v>1065</v>
      </c>
      <c r="L28" s="550">
        <v>1</v>
      </c>
      <c r="M28" s="550">
        <v>355</v>
      </c>
      <c r="N28" s="550">
        <v>1</v>
      </c>
      <c r="O28" s="550">
        <v>355</v>
      </c>
      <c r="P28" s="499">
        <v>0.33333333333333331</v>
      </c>
      <c r="Q28" s="551">
        <v>355</v>
      </c>
    </row>
    <row r="29" spans="1:17" ht="14.4" customHeight="1" x14ac:dyDescent="0.3">
      <c r="A29" s="493" t="s">
        <v>414</v>
      </c>
      <c r="B29" s="494" t="s">
        <v>376</v>
      </c>
      <c r="C29" s="494" t="s">
        <v>377</v>
      </c>
      <c r="D29" s="494" t="s">
        <v>378</v>
      </c>
      <c r="E29" s="494" t="s">
        <v>380</v>
      </c>
      <c r="F29" s="550">
        <v>1</v>
      </c>
      <c r="G29" s="550">
        <v>354</v>
      </c>
      <c r="H29" s="550"/>
      <c r="I29" s="550">
        <v>354</v>
      </c>
      <c r="J29" s="550"/>
      <c r="K29" s="550"/>
      <c r="L29" s="550"/>
      <c r="M29" s="550"/>
      <c r="N29" s="550"/>
      <c r="O29" s="550"/>
      <c r="P29" s="499"/>
      <c r="Q29" s="551"/>
    </row>
    <row r="30" spans="1:17" ht="14.4" customHeight="1" x14ac:dyDescent="0.3">
      <c r="A30" s="493" t="s">
        <v>414</v>
      </c>
      <c r="B30" s="494" t="s">
        <v>376</v>
      </c>
      <c r="C30" s="494" t="s">
        <v>377</v>
      </c>
      <c r="D30" s="494" t="s">
        <v>381</v>
      </c>
      <c r="E30" s="494" t="s">
        <v>382</v>
      </c>
      <c r="F30" s="550"/>
      <c r="G30" s="550"/>
      <c r="H30" s="550"/>
      <c r="I30" s="550"/>
      <c r="J30" s="550">
        <v>1</v>
      </c>
      <c r="K30" s="550">
        <v>177</v>
      </c>
      <c r="L30" s="550">
        <v>1</v>
      </c>
      <c r="M30" s="550">
        <v>177</v>
      </c>
      <c r="N30" s="550"/>
      <c r="O30" s="550"/>
      <c r="P30" s="499"/>
      <c r="Q30" s="551"/>
    </row>
    <row r="31" spans="1:17" ht="14.4" customHeight="1" x14ac:dyDescent="0.3">
      <c r="A31" s="493" t="s">
        <v>415</v>
      </c>
      <c r="B31" s="494" t="s">
        <v>376</v>
      </c>
      <c r="C31" s="494" t="s">
        <v>377</v>
      </c>
      <c r="D31" s="494" t="s">
        <v>378</v>
      </c>
      <c r="E31" s="494" t="s">
        <v>379</v>
      </c>
      <c r="F31" s="550">
        <v>4</v>
      </c>
      <c r="G31" s="550">
        <v>1416</v>
      </c>
      <c r="H31" s="550">
        <v>0.9971830985915493</v>
      </c>
      <c r="I31" s="550">
        <v>354</v>
      </c>
      <c r="J31" s="550">
        <v>4</v>
      </c>
      <c r="K31" s="550">
        <v>1420</v>
      </c>
      <c r="L31" s="550">
        <v>1</v>
      </c>
      <c r="M31" s="550">
        <v>355</v>
      </c>
      <c r="N31" s="550">
        <v>8</v>
      </c>
      <c r="O31" s="550">
        <v>2840</v>
      </c>
      <c r="P31" s="499">
        <v>2</v>
      </c>
      <c r="Q31" s="551">
        <v>355</v>
      </c>
    </row>
    <row r="32" spans="1:17" ht="14.4" customHeight="1" x14ac:dyDescent="0.3">
      <c r="A32" s="493" t="s">
        <v>415</v>
      </c>
      <c r="B32" s="494" t="s">
        <v>376</v>
      </c>
      <c r="C32" s="494" t="s">
        <v>377</v>
      </c>
      <c r="D32" s="494" t="s">
        <v>378</v>
      </c>
      <c r="E32" s="494" t="s">
        <v>380</v>
      </c>
      <c r="F32" s="550">
        <v>6</v>
      </c>
      <c r="G32" s="550">
        <v>2124</v>
      </c>
      <c r="H32" s="550">
        <v>0.9971830985915493</v>
      </c>
      <c r="I32" s="550">
        <v>354</v>
      </c>
      <c r="J32" s="550">
        <v>6</v>
      </c>
      <c r="K32" s="550">
        <v>2130</v>
      </c>
      <c r="L32" s="550">
        <v>1</v>
      </c>
      <c r="M32" s="550">
        <v>355</v>
      </c>
      <c r="N32" s="550">
        <v>4</v>
      </c>
      <c r="O32" s="550">
        <v>1420</v>
      </c>
      <c r="P32" s="499">
        <v>0.66666666666666663</v>
      </c>
      <c r="Q32" s="551">
        <v>355</v>
      </c>
    </row>
    <row r="33" spans="1:17" ht="14.4" customHeight="1" x14ac:dyDescent="0.3">
      <c r="A33" s="493" t="s">
        <v>415</v>
      </c>
      <c r="B33" s="494" t="s">
        <v>376</v>
      </c>
      <c r="C33" s="494" t="s">
        <v>377</v>
      </c>
      <c r="D33" s="494" t="s">
        <v>381</v>
      </c>
      <c r="E33" s="494" t="s">
        <v>382</v>
      </c>
      <c r="F33" s="550"/>
      <c r="G33" s="550"/>
      <c r="H33" s="550"/>
      <c r="I33" s="550"/>
      <c r="J33" s="550">
        <v>4</v>
      </c>
      <c r="K33" s="550">
        <v>708</v>
      </c>
      <c r="L33" s="550">
        <v>1</v>
      </c>
      <c r="M33" s="550">
        <v>177</v>
      </c>
      <c r="N33" s="550">
        <v>3</v>
      </c>
      <c r="O33" s="550">
        <v>534</v>
      </c>
      <c r="P33" s="499">
        <v>0.75423728813559321</v>
      </c>
      <c r="Q33" s="551">
        <v>178</v>
      </c>
    </row>
    <row r="34" spans="1:17" ht="14.4" customHeight="1" x14ac:dyDescent="0.3">
      <c r="A34" s="493" t="s">
        <v>415</v>
      </c>
      <c r="B34" s="494" t="s">
        <v>376</v>
      </c>
      <c r="C34" s="494" t="s">
        <v>377</v>
      </c>
      <c r="D34" s="494" t="s">
        <v>381</v>
      </c>
      <c r="E34" s="494" t="s">
        <v>408</v>
      </c>
      <c r="F34" s="550">
        <v>4</v>
      </c>
      <c r="G34" s="550">
        <v>708</v>
      </c>
      <c r="H34" s="550">
        <v>0.8</v>
      </c>
      <c r="I34" s="550">
        <v>177</v>
      </c>
      <c r="J34" s="550">
        <v>5</v>
      </c>
      <c r="K34" s="550">
        <v>885</v>
      </c>
      <c r="L34" s="550">
        <v>1</v>
      </c>
      <c r="M34" s="550">
        <v>177</v>
      </c>
      <c r="N34" s="550">
        <v>1</v>
      </c>
      <c r="O34" s="550">
        <v>178</v>
      </c>
      <c r="P34" s="499">
        <v>0.20112994350282487</v>
      </c>
      <c r="Q34" s="551">
        <v>178</v>
      </c>
    </row>
    <row r="35" spans="1:17" ht="14.4" customHeight="1" x14ac:dyDescent="0.3">
      <c r="A35" s="493" t="s">
        <v>416</v>
      </c>
      <c r="B35" s="494" t="s">
        <v>376</v>
      </c>
      <c r="C35" s="494" t="s">
        <v>377</v>
      </c>
      <c r="D35" s="494" t="s">
        <v>378</v>
      </c>
      <c r="E35" s="494" t="s">
        <v>380</v>
      </c>
      <c r="F35" s="550"/>
      <c r="G35" s="550"/>
      <c r="H35" s="550"/>
      <c r="I35" s="550"/>
      <c r="J35" s="550">
        <v>2</v>
      </c>
      <c r="K35" s="550">
        <v>710</v>
      </c>
      <c r="L35" s="550">
        <v>1</v>
      </c>
      <c r="M35" s="550">
        <v>355</v>
      </c>
      <c r="N35" s="550"/>
      <c r="O35" s="550"/>
      <c r="P35" s="499"/>
      <c r="Q35" s="551"/>
    </row>
    <row r="36" spans="1:17" ht="14.4" customHeight="1" x14ac:dyDescent="0.3">
      <c r="A36" s="493" t="s">
        <v>416</v>
      </c>
      <c r="B36" s="494" t="s">
        <v>376</v>
      </c>
      <c r="C36" s="494" t="s">
        <v>377</v>
      </c>
      <c r="D36" s="494" t="s">
        <v>381</v>
      </c>
      <c r="E36" s="494" t="s">
        <v>408</v>
      </c>
      <c r="F36" s="550"/>
      <c r="G36" s="550"/>
      <c r="H36" s="550"/>
      <c r="I36" s="550"/>
      <c r="J36" s="550">
        <v>1</v>
      </c>
      <c r="K36" s="550">
        <v>177</v>
      </c>
      <c r="L36" s="550">
        <v>1</v>
      </c>
      <c r="M36" s="550">
        <v>177</v>
      </c>
      <c r="N36" s="550"/>
      <c r="O36" s="550"/>
      <c r="P36" s="499"/>
      <c r="Q36" s="551"/>
    </row>
    <row r="37" spans="1:17" ht="14.4" customHeight="1" x14ac:dyDescent="0.3">
      <c r="A37" s="493" t="s">
        <v>417</v>
      </c>
      <c r="B37" s="494" t="s">
        <v>376</v>
      </c>
      <c r="C37" s="494" t="s">
        <v>377</v>
      </c>
      <c r="D37" s="494" t="s">
        <v>378</v>
      </c>
      <c r="E37" s="494" t="s">
        <v>379</v>
      </c>
      <c r="F37" s="550">
        <v>2</v>
      </c>
      <c r="G37" s="550">
        <v>708</v>
      </c>
      <c r="H37" s="550"/>
      <c r="I37" s="550">
        <v>354</v>
      </c>
      <c r="J37" s="550"/>
      <c r="K37" s="550"/>
      <c r="L37" s="550"/>
      <c r="M37" s="550"/>
      <c r="N37" s="550">
        <v>2</v>
      </c>
      <c r="O37" s="550">
        <v>710</v>
      </c>
      <c r="P37" s="499"/>
      <c r="Q37" s="551">
        <v>355</v>
      </c>
    </row>
    <row r="38" spans="1:17" ht="14.4" customHeight="1" x14ac:dyDescent="0.3">
      <c r="A38" s="493" t="s">
        <v>417</v>
      </c>
      <c r="B38" s="494" t="s">
        <v>376</v>
      </c>
      <c r="C38" s="494" t="s">
        <v>377</v>
      </c>
      <c r="D38" s="494" t="s">
        <v>378</v>
      </c>
      <c r="E38" s="494" t="s">
        <v>380</v>
      </c>
      <c r="F38" s="550">
        <v>3</v>
      </c>
      <c r="G38" s="550">
        <v>1062</v>
      </c>
      <c r="H38" s="550"/>
      <c r="I38" s="550">
        <v>354</v>
      </c>
      <c r="J38" s="550"/>
      <c r="K38" s="550"/>
      <c r="L38" s="550"/>
      <c r="M38" s="550"/>
      <c r="N38" s="550">
        <v>1</v>
      </c>
      <c r="O38" s="550">
        <v>355</v>
      </c>
      <c r="P38" s="499"/>
      <c r="Q38" s="551">
        <v>355</v>
      </c>
    </row>
    <row r="39" spans="1:17" ht="14.4" customHeight="1" x14ac:dyDescent="0.3">
      <c r="A39" s="493" t="s">
        <v>418</v>
      </c>
      <c r="B39" s="494" t="s">
        <v>376</v>
      </c>
      <c r="C39" s="494" t="s">
        <v>377</v>
      </c>
      <c r="D39" s="494" t="s">
        <v>378</v>
      </c>
      <c r="E39" s="494" t="s">
        <v>379</v>
      </c>
      <c r="F39" s="550">
        <v>1</v>
      </c>
      <c r="G39" s="550">
        <v>354</v>
      </c>
      <c r="H39" s="550">
        <v>0.14245472837022133</v>
      </c>
      <c r="I39" s="550">
        <v>354</v>
      </c>
      <c r="J39" s="550">
        <v>7</v>
      </c>
      <c r="K39" s="550">
        <v>2485</v>
      </c>
      <c r="L39" s="550">
        <v>1</v>
      </c>
      <c r="M39" s="550">
        <v>355</v>
      </c>
      <c r="N39" s="550">
        <v>8</v>
      </c>
      <c r="O39" s="550">
        <v>2840</v>
      </c>
      <c r="P39" s="499">
        <v>1.1428571428571428</v>
      </c>
      <c r="Q39" s="551">
        <v>355</v>
      </c>
    </row>
    <row r="40" spans="1:17" ht="14.4" customHeight="1" x14ac:dyDescent="0.3">
      <c r="A40" s="493" t="s">
        <v>418</v>
      </c>
      <c r="B40" s="494" t="s">
        <v>376</v>
      </c>
      <c r="C40" s="494" t="s">
        <v>377</v>
      </c>
      <c r="D40" s="494" t="s">
        <v>378</v>
      </c>
      <c r="E40" s="494" t="s">
        <v>380</v>
      </c>
      <c r="F40" s="550"/>
      <c r="G40" s="550"/>
      <c r="H40" s="550"/>
      <c r="I40" s="550"/>
      <c r="J40" s="550">
        <v>2</v>
      </c>
      <c r="K40" s="550">
        <v>710</v>
      </c>
      <c r="L40" s="550">
        <v>1</v>
      </c>
      <c r="M40" s="550">
        <v>355</v>
      </c>
      <c r="N40" s="550"/>
      <c r="O40" s="550"/>
      <c r="P40" s="499"/>
      <c r="Q40" s="551"/>
    </row>
    <row r="41" spans="1:17" ht="14.4" customHeight="1" x14ac:dyDescent="0.3">
      <c r="A41" s="493" t="s">
        <v>418</v>
      </c>
      <c r="B41" s="494" t="s">
        <v>376</v>
      </c>
      <c r="C41" s="494" t="s">
        <v>377</v>
      </c>
      <c r="D41" s="494" t="s">
        <v>381</v>
      </c>
      <c r="E41" s="494" t="s">
        <v>382</v>
      </c>
      <c r="F41" s="550"/>
      <c r="G41" s="550"/>
      <c r="H41" s="550"/>
      <c r="I41" s="550"/>
      <c r="J41" s="550">
        <v>2</v>
      </c>
      <c r="K41" s="550">
        <v>354</v>
      </c>
      <c r="L41" s="550">
        <v>1</v>
      </c>
      <c r="M41" s="550">
        <v>177</v>
      </c>
      <c r="N41" s="550">
        <v>1</v>
      </c>
      <c r="O41" s="550">
        <v>178</v>
      </c>
      <c r="P41" s="499">
        <v>0.50282485875706218</v>
      </c>
      <c r="Q41" s="551">
        <v>178</v>
      </c>
    </row>
    <row r="42" spans="1:17" ht="14.4" customHeight="1" x14ac:dyDescent="0.3">
      <c r="A42" s="493" t="s">
        <v>418</v>
      </c>
      <c r="B42" s="494" t="s">
        <v>376</v>
      </c>
      <c r="C42" s="494" t="s">
        <v>377</v>
      </c>
      <c r="D42" s="494" t="s">
        <v>381</v>
      </c>
      <c r="E42" s="494" t="s">
        <v>408</v>
      </c>
      <c r="F42" s="550"/>
      <c r="G42" s="550"/>
      <c r="H42" s="550"/>
      <c r="I42" s="550"/>
      <c r="J42" s="550">
        <v>2</v>
      </c>
      <c r="K42" s="550">
        <v>354</v>
      </c>
      <c r="L42" s="550">
        <v>1</v>
      </c>
      <c r="M42" s="550">
        <v>177</v>
      </c>
      <c r="N42" s="550"/>
      <c r="O42" s="550"/>
      <c r="P42" s="499"/>
      <c r="Q42" s="551"/>
    </row>
    <row r="43" spans="1:17" ht="14.4" customHeight="1" x14ac:dyDescent="0.3">
      <c r="A43" s="493" t="s">
        <v>419</v>
      </c>
      <c r="B43" s="494" t="s">
        <v>376</v>
      </c>
      <c r="C43" s="494" t="s">
        <v>377</v>
      </c>
      <c r="D43" s="494" t="s">
        <v>378</v>
      </c>
      <c r="E43" s="494" t="s">
        <v>379</v>
      </c>
      <c r="F43" s="550"/>
      <c r="G43" s="550"/>
      <c r="H43" s="550"/>
      <c r="I43" s="550"/>
      <c r="J43" s="550"/>
      <c r="K43" s="550"/>
      <c r="L43" s="550"/>
      <c r="M43" s="550"/>
      <c r="N43" s="550">
        <v>1</v>
      </c>
      <c r="O43" s="550">
        <v>355</v>
      </c>
      <c r="P43" s="499"/>
      <c r="Q43" s="551">
        <v>355</v>
      </c>
    </row>
    <row r="44" spans="1:17" ht="14.4" customHeight="1" x14ac:dyDescent="0.3">
      <c r="A44" s="493" t="s">
        <v>419</v>
      </c>
      <c r="B44" s="494" t="s">
        <v>376</v>
      </c>
      <c r="C44" s="494" t="s">
        <v>377</v>
      </c>
      <c r="D44" s="494" t="s">
        <v>378</v>
      </c>
      <c r="E44" s="494" t="s">
        <v>380</v>
      </c>
      <c r="F44" s="550">
        <v>1</v>
      </c>
      <c r="G44" s="550">
        <v>354</v>
      </c>
      <c r="H44" s="550">
        <v>0.49859154929577465</v>
      </c>
      <c r="I44" s="550">
        <v>354</v>
      </c>
      <c r="J44" s="550">
        <v>2</v>
      </c>
      <c r="K44" s="550">
        <v>710</v>
      </c>
      <c r="L44" s="550">
        <v>1</v>
      </c>
      <c r="M44" s="550">
        <v>355</v>
      </c>
      <c r="N44" s="550">
        <v>1</v>
      </c>
      <c r="O44" s="550">
        <v>355</v>
      </c>
      <c r="P44" s="499">
        <v>0.5</v>
      </c>
      <c r="Q44" s="551">
        <v>355</v>
      </c>
    </row>
    <row r="45" spans="1:17" ht="14.4" customHeight="1" x14ac:dyDescent="0.3">
      <c r="A45" s="493" t="s">
        <v>419</v>
      </c>
      <c r="B45" s="494" t="s">
        <v>376</v>
      </c>
      <c r="C45" s="494" t="s">
        <v>377</v>
      </c>
      <c r="D45" s="494" t="s">
        <v>381</v>
      </c>
      <c r="E45" s="494" t="s">
        <v>408</v>
      </c>
      <c r="F45" s="550"/>
      <c r="G45" s="550"/>
      <c r="H45" s="550"/>
      <c r="I45" s="550"/>
      <c r="J45" s="550"/>
      <c r="K45" s="550"/>
      <c r="L45" s="550"/>
      <c r="M45" s="550"/>
      <c r="N45" s="550">
        <v>2</v>
      </c>
      <c r="O45" s="550">
        <v>356</v>
      </c>
      <c r="P45" s="499"/>
      <c r="Q45" s="551">
        <v>178</v>
      </c>
    </row>
    <row r="46" spans="1:17" ht="14.4" customHeight="1" x14ac:dyDescent="0.3">
      <c r="A46" s="493" t="s">
        <v>420</v>
      </c>
      <c r="B46" s="494" t="s">
        <v>376</v>
      </c>
      <c r="C46" s="494" t="s">
        <v>377</v>
      </c>
      <c r="D46" s="494" t="s">
        <v>378</v>
      </c>
      <c r="E46" s="494" t="s">
        <v>379</v>
      </c>
      <c r="F46" s="550"/>
      <c r="G46" s="550"/>
      <c r="H46" s="550"/>
      <c r="I46" s="550"/>
      <c r="J46" s="550"/>
      <c r="K46" s="550"/>
      <c r="L46" s="550"/>
      <c r="M46" s="550"/>
      <c r="N46" s="550">
        <v>2</v>
      </c>
      <c r="O46" s="550">
        <v>710</v>
      </c>
      <c r="P46" s="499"/>
      <c r="Q46" s="551">
        <v>355</v>
      </c>
    </row>
    <row r="47" spans="1:17" ht="14.4" customHeight="1" x14ac:dyDescent="0.3">
      <c r="A47" s="493" t="s">
        <v>420</v>
      </c>
      <c r="B47" s="494" t="s">
        <v>376</v>
      </c>
      <c r="C47" s="494" t="s">
        <v>377</v>
      </c>
      <c r="D47" s="494" t="s">
        <v>378</v>
      </c>
      <c r="E47" s="494" t="s">
        <v>380</v>
      </c>
      <c r="F47" s="550"/>
      <c r="G47" s="550"/>
      <c r="H47" s="550"/>
      <c r="I47" s="550"/>
      <c r="J47" s="550"/>
      <c r="K47" s="550"/>
      <c r="L47" s="550"/>
      <c r="M47" s="550"/>
      <c r="N47" s="550">
        <v>2</v>
      </c>
      <c r="O47" s="550">
        <v>710</v>
      </c>
      <c r="P47" s="499"/>
      <c r="Q47" s="551">
        <v>355</v>
      </c>
    </row>
    <row r="48" spans="1:17" ht="14.4" customHeight="1" x14ac:dyDescent="0.3">
      <c r="A48" s="493" t="s">
        <v>420</v>
      </c>
      <c r="B48" s="494" t="s">
        <v>376</v>
      </c>
      <c r="C48" s="494" t="s">
        <v>377</v>
      </c>
      <c r="D48" s="494" t="s">
        <v>381</v>
      </c>
      <c r="E48" s="494" t="s">
        <v>408</v>
      </c>
      <c r="F48" s="550"/>
      <c r="G48" s="550"/>
      <c r="H48" s="550"/>
      <c r="I48" s="550"/>
      <c r="J48" s="550"/>
      <c r="K48" s="550"/>
      <c r="L48" s="550"/>
      <c r="M48" s="550"/>
      <c r="N48" s="550">
        <v>2</v>
      </c>
      <c r="O48" s="550">
        <v>356</v>
      </c>
      <c r="P48" s="499"/>
      <c r="Q48" s="551">
        <v>178</v>
      </c>
    </row>
    <row r="49" spans="1:17" ht="14.4" customHeight="1" x14ac:dyDescent="0.3">
      <c r="A49" s="493" t="s">
        <v>421</v>
      </c>
      <c r="B49" s="494" t="s">
        <v>376</v>
      </c>
      <c r="C49" s="494" t="s">
        <v>377</v>
      </c>
      <c r="D49" s="494" t="s">
        <v>378</v>
      </c>
      <c r="E49" s="494" t="s">
        <v>379</v>
      </c>
      <c r="F49" s="550">
        <v>1</v>
      </c>
      <c r="G49" s="550">
        <v>354</v>
      </c>
      <c r="H49" s="550">
        <v>0.49859154929577465</v>
      </c>
      <c r="I49" s="550">
        <v>354</v>
      </c>
      <c r="J49" s="550">
        <v>2</v>
      </c>
      <c r="K49" s="550">
        <v>710</v>
      </c>
      <c r="L49" s="550">
        <v>1</v>
      </c>
      <c r="M49" s="550">
        <v>355</v>
      </c>
      <c r="N49" s="550">
        <v>1</v>
      </c>
      <c r="O49" s="550">
        <v>355</v>
      </c>
      <c r="P49" s="499">
        <v>0.5</v>
      </c>
      <c r="Q49" s="551">
        <v>355</v>
      </c>
    </row>
    <row r="50" spans="1:17" ht="14.4" customHeight="1" x14ac:dyDescent="0.3">
      <c r="A50" s="493" t="s">
        <v>421</v>
      </c>
      <c r="B50" s="494" t="s">
        <v>376</v>
      </c>
      <c r="C50" s="494" t="s">
        <v>377</v>
      </c>
      <c r="D50" s="494" t="s">
        <v>378</v>
      </c>
      <c r="E50" s="494" t="s">
        <v>380</v>
      </c>
      <c r="F50" s="550"/>
      <c r="G50" s="550"/>
      <c r="H50" s="550"/>
      <c r="I50" s="550"/>
      <c r="J50" s="550">
        <v>1</v>
      </c>
      <c r="K50" s="550">
        <v>355</v>
      </c>
      <c r="L50" s="550">
        <v>1</v>
      </c>
      <c r="M50" s="550">
        <v>355</v>
      </c>
      <c r="N50" s="550">
        <v>5</v>
      </c>
      <c r="O50" s="550">
        <v>1775</v>
      </c>
      <c r="P50" s="499">
        <v>5</v>
      </c>
      <c r="Q50" s="551">
        <v>355</v>
      </c>
    </row>
    <row r="51" spans="1:17" ht="14.4" customHeight="1" x14ac:dyDescent="0.3">
      <c r="A51" s="493" t="s">
        <v>421</v>
      </c>
      <c r="B51" s="494" t="s">
        <v>376</v>
      </c>
      <c r="C51" s="494" t="s">
        <v>377</v>
      </c>
      <c r="D51" s="494" t="s">
        <v>381</v>
      </c>
      <c r="E51" s="494" t="s">
        <v>382</v>
      </c>
      <c r="F51" s="550"/>
      <c r="G51" s="550"/>
      <c r="H51" s="550"/>
      <c r="I51" s="550"/>
      <c r="J51" s="550">
        <v>3</v>
      </c>
      <c r="K51" s="550">
        <v>531</v>
      </c>
      <c r="L51" s="550">
        <v>1</v>
      </c>
      <c r="M51" s="550">
        <v>177</v>
      </c>
      <c r="N51" s="550"/>
      <c r="O51" s="550"/>
      <c r="P51" s="499"/>
      <c r="Q51" s="551"/>
    </row>
    <row r="52" spans="1:17" ht="14.4" customHeight="1" x14ac:dyDescent="0.3">
      <c r="A52" s="493" t="s">
        <v>421</v>
      </c>
      <c r="B52" s="494" t="s">
        <v>376</v>
      </c>
      <c r="C52" s="494" t="s">
        <v>377</v>
      </c>
      <c r="D52" s="494" t="s">
        <v>381</v>
      </c>
      <c r="E52" s="494" t="s">
        <v>408</v>
      </c>
      <c r="F52" s="550"/>
      <c r="G52" s="550"/>
      <c r="H52" s="550"/>
      <c r="I52" s="550"/>
      <c r="J52" s="550">
        <v>1</v>
      </c>
      <c r="K52" s="550">
        <v>177</v>
      </c>
      <c r="L52" s="550">
        <v>1</v>
      </c>
      <c r="M52" s="550">
        <v>177</v>
      </c>
      <c r="N52" s="550">
        <v>2</v>
      </c>
      <c r="O52" s="550">
        <v>356</v>
      </c>
      <c r="P52" s="499">
        <v>2.0112994350282487</v>
      </c>
      <c r="Q52" s="551">
        <v>178</v>
      </c>
    </row>
    <row r="53" spans="1:17" ht="14.4" customHeight="1" x14ac:dyDescent="0.3">
      <c r="A53" s="493" t="s">
        <v>422</v>
      </c>
      <c r="B53" s="494" t="s">
        <v>376</v>
      </c>
      <c r="C53" s="494" t="s">
        <v>377</v>
      </c>
      <c r="D53" s="494" t="s">
        <v>378</v>
      </c>
      <c r="E53" s="494" t="s">
        <v>379</v>
      </c>
      <c r="F53" s="550">
        <v>8</v>
      </c>
      <c r="G53" s="550">
        <v>2832</v>
      </c>
      <c r="H53" s="550">
        <v>2.6591549295774648</v>
      </c>
      <c r="I53" s="550">
        <v>354</v>
      </c>
      <c r="J53" s="550">
        <v>3</v>
      </c>
      <c r="K53" s="550">
        <v>1065</v>
      </c>
      <c r="L53" s="550">
        <v>1</v>
      </c>
      <c r="M53" s="550">
        <v>355</v>
      </c>
      <c r="N53" s="550">
        <v>5</v>
      </c>
      <c r="O53" s="550">
        <v>1775</v>
      </c>
      <c r="P53" s="499">
        <v>1.6666666666666667</v>
      </c>
      <c r="Q53" s="551">
        <v>355</v>
      </c>
    </row>
    <row r="54" spans="1:17" ht="14.4" customHeight="1" x14ac:dyDescent="0.3">
      <c r="A54" s="493" t="s">
        <v>422</v>
      </c>
      <c r="B54" s="494" t="s">
        <v>376</v>
      </c>
      <c r="C54" s="494" t="s">
        <v>377</v>
      </c>
      <c r="D54" s="494" t="s">
        <v>378</v>
      </c>
      <c r="E54" s="494" t="s">
        <v>380</v>
      </c>
      <c r="F54" s="550"/>
      <c r="G54" s="550"/>
      <c r="H54" s="550"/>
      <c r="I54" s="550"/>
      <c r="J54" s="550">
        <v>12</v>
      </c>
      <c r="K54" s="550">
        <v>4260</v>
      </c>
      <c r="L54" s="550">
        <v>1</v>
      </c>
      <c r="M54" s="550">
        <v>355</v>
      </c>
      <c r="N54" s="550">
        <v>5</v>
      </c>
      <c r="O54" s="550">
        <v>1775</v>
      </c>
      <c r="P54" s="499">
        <v>0.41666666666666669</v>
      </c>
      <c r="Q54" s="551">
        <v>355</v>
      </c>
    </row>
    <row r="55" spans="1:17" ht="14.4" customHeight="1" x14ac:dyDescent="0.3">
      <c r="A55" s="493" t="s">
        <v>422</v>
      </c>
      <c r="B55" s="494" t="s">
        <v>376</v>
      </c>
      <c r="C55" s="494" t="s">
        <v>377</v>
      </c>
      <c r="D55" s="494" t="s">
        <v>381</v>
      </c>
      <c r="E55" s="494" t="s">
        <v>382</v>
      </c>
      <c r="F55" s="550">
        <v>1</v>
      </c>
      <c r="G55" s="550">
        <v>177</v>
      </c>
      <c r="H55" s="550">
        <v>0.33333333333333331</v>
      </c>
      <c r="I55" s="550">
        <v>177</v>
      </c>
      <c r="J55" s="550">
        <v>3</v>
      </c>
      <c r="K55" s="550">
        <v>531</v>
      </c>
      <c r="L55" s="550">
        <v>1</v>
      </c>
      <c r="M55" s="550">
        <v>177</v>
      </c>
      <c r="N55" s="550">
        <v>3</v>
      </c>
      <c r="O55" s="550">
        <v>534</v>
      </c>
      <c r="P55" s="499">
        <v>1.0056497175141244</v>
      </c>
      <c r="Q55" s="551">
        <v>178</v>
      </c>
    </row>
    <row r="56" spans="1:17" ht="14.4" customHeight="1" x14ac:dyDescent="0.3">
      <c r="A56" s="493" t="s">
        <v>422</v>
      </c>
      <c r="B56" s="494" t="s">
        <v>376</v>
      </c>
      <c r="C56" s="494" t="s">
        <v>377</v>
      </c>
      <c r="D56" s="494" t="s">
        <v>381</v>
      </c>
      <c r="E56" s="494" t="s">
        <v>408</v>
      </c>
      <c r="F56" s="550"/>
      <c r="G56" s="550"/>
      <c r="H56" s="550"/>
      <c r="I56" s="550"/>
      <c r="J56" s="550">
        <v>4</v>
      </c>
      <c r="K56" s="550">
        <v>708</v>
      </c>
      <c r="L56" s="550">
        <v>1</v>
      </c>
      <c r="M56" s="550">
        <v>177</v>
      </c>
      <c r="N56" s="550">
        <v>5</v>
      </c>
      <c r="O56" s="550">
        <v>890</v>
      </c>
      <c r="P56" s="499">
        <v>1.2570621468926553</v>
      </c>
      <c r="Q56" s="551">
        <v>178</v>
      </c>
    </row>
    <row r="57" spans="1:17" ht="14.4" customHeight="1" x14ac:dyDescent="0.3">
      <c r="A57" s="493" t="s">
        <v>423</v>
      </c>
      <c r="B57" s="494" t="s">
        <v>376</v>
      </c>
      <c r="C57" s="494" t="s">
        <v>377</v>
      </c>
      <c r="D57" s="494" t="s">
        <v>378</v>
      </c>
      <c r="E57" s="494" t="s">
        <v>380</v>
      </c>
      <c r="F57" s="550"/>
      <c r="G57" s="550"/>
      <c r="H57" s="550"/>
      <c r="I57" s="550"/>
      <c r="J57" s="550"/>
      <c r="K57" s="550"/>
      <c r="L57" s="550"/>
      <c r="M57" s="550"/>
      <c r="N57" s="550">
        <v>1</v>
      </c>
      <c r="O57" s="550">
        <v>355</v>
      </c>
      <c r="P57" s="499"/>
      <c r="Q57" s="551">
        <v>355</v>
      </c>
    </row>
    <row r="58" spans="1:17" ht="14.4" customHeight="1" x14ac:dyDescent="0.3">
      <c r="A58" s="493" t="s">
        <v>423</v>
      </c>
      <c r="B58" s="494" t="s">
        <v>376</v>
      </c>
      <c r="C58" s="494" t="s">
        <v>377</v>
      </c>
      <c r="D58" s="494" t="s">
        <v>381</v>
      </c>
      <c r="E58" s="494" t="s">
        <v>382</v>
      </c>
      <c r="F58" s="550"/>
      <c r="G58" s="550"/>
      <c r="H58" s="550"/>
      <c r="I58" s="550"/>
      <c r="J58" s="550">
        <v>1</v>
      </c>
      <c r="K58" s="550">
        <v>177</v>
      </c>
      <c r="L58" s="550">
        <v>1</v>
      </c>
      <c r="M58" s="550">
        <v>177</v>
      </c>
      <c r="N58" s="550"/>
      <c r="O58" s="550"/>
      <c r="P58" s="499"/>
      <c r="Q58" s="551"/>
    </row>
    <row r="59" spans="1:17" ht="14.4" customHeight="1" x14ac:dyDescent="0.3">
      <c r="A59" s="493" t="s">
        <v>424</v>
      </c>
      <c r="B59" s="494" t="s">
        <v>376</v>
      </c>
      <c r="C59" s="494" t="s">
        <v>377</v>
      </c>
      <c r="D59" s="494" t="s">
        <v>378</v>
      </c>
      <c r="E59" s="494" t="s">
        <v>379</v>
      </c>
      <c r="F59" s="550">
        <v>2</v>
      </c>
      <c r="G59" s="550">
        <v>708</v>
      </c>
      <c r="H59" s="550">
        <v>0.9971830985915493</v>
      </c>
      <c r="I59" s="550">
        <v>354</v>
      </c>
      <c r="J59" s="550">
        <v>2</v>
      </c>
      <c r="K59" s="550">
        <v>710</v>
      </c>
      <c r="L59" s="550">
        <v>1</v>
      </c>
      <c r="M59" s="550">
        <v>355</v>
      </c>
      <c r="N59" s="550">
        <v>2</v>
      </c>
      <c r="O59" s="550">
        <v>710</v>
      </c>
      <c r="P59" s="499">
        <v>1</v>
      </c>
      <c r="Q59" s="551">
        <v>355</v>
      </c>
    </row>
    <row r="60" spans="1:17" ht="14.4" customHeight="1" x14ac:dyDescent="0.3">
      <c r="A60" s="493" t="s">
        <v>424</v>
      </c>
      <c r="B60" s="494" t="s">
        <v>376</v>
      </c>
      <c r="C60" s="494" t="s">
        <v>377</v>
      </c>
      <c r="D60" s="494" t="s">
        <v>378</v>
      </c>
      <c r="E60" s="494" t="s">
        <v>380</v>
      </c>
      <c r="F60" s="550"/>
      <c r="G60" s="550"/>
      <c r="H60" s="550"/>
      <c r="I60" s="550"/>
      <c r="J60" s="550">
        <v>1</v>
      </c>
      <c r="K60" s="550">
        <v>355</v>
      </c>
      <c r="L60" s="550">
        <v>1</v>
      </c>
      <c r="M60" s="550">
        <v>355</v>
      </c>
      <c r="N60" s="550"/>
      <c r="O60" s="550"/>
      <c r="P60" s="499"/>
      <c r="Q60" s="551"/>
    </row>
    <row r="61" spans="1:17" ht="14.4" customHeight="1" x14ac:dyDescent="0.3">
      <c r="A61" s="493" t="s">
        <v>425</v>
      </c>
      <c r="B61" s="494" t="s">
        <v>376</v>
      </c>
      <c r="C61" s="494" t="s">
        <v>377</v>
      </c>
      <c r="D61" s="494" t="s">
        <v>378</v>
      </c>
      <c r="E61" s="494" t="s">
        <v>379</v>
      </c>
      <c r="F61" s="550">
        <v>1</v>
      </c>
      <c r="G61" s="550">
        <v>354</v>
      </c>
      <c r="H61" s="550">
        <v>0.49859154929577465</v>
      </c>
      <c r="I61" s="550">
        <v>354</v>
      </c>
      <c r="J61" s="550">
        <v>2</v>
      </c>
      <c r="K61" s="550">
        <v>710</v>
      </c>
      <c r="L61" s="550">
        <v>1</v>
      </c>
      <c r="M61" s="550">
        <v>355</v>
      </c>
      <c r="N61" s="550">
        <v>3</v>
      </c>
      <c r="O61" s="550">
        <v>1065</v>
      </c>
      <c r="P61" s="499">
        <v>1.5</v>
      </c>
      <c r="Q61" s="551">
        <v>355</v>
      </c>
    </row>
    <row r="62" spans="1:17" ht="14.4" customHeight="1" x14ac:dyDescent="0.3">
      <c r="A62" s="493" t="s">
        <v>425</v>
      </c>
      <c r="B62" s="494" t="s">
        <v>376</v>
      </c>
      <c r="C62" s="494" t="s">
        <v>377</v>
      </c>
      <c r="D62" s="494" t="s">
        <v>378</v>
      </c>
      <c r="E62" s="494" t="s">
        <v>380</v>
      </c>
      <c r="F62" s="550">
        <v>1</v>
      </c>
      <c r="G62" s="550">
        <v>354</v>
      </c>
      <c r="H62" s="550"/>
      <c r="I62" s="550">
        <v>354</v>
      </c>
      <c r="J62" s="550"/>
      <c r="K62" s="550"/>
      <c r="L62" s="550"/>
      <c r="M62" s="550"/>
      <c r="N62" s="550"/>
      <c r="O62" s="550"/>
      <c r="P62" s="499"/>
      <c r="Q62" s="551"/>
    </row>
    <row r="63" spans="1:17" ht="14.4" customHeight="1" x14ac:dyDescent="0.3">
      <c r="A63" s="493" t="s">
        <v>425</v>
      </c>
      <c r="B63" s="494" t="s">
        <v>376</v>
      </c>
      <c r="C63" s="494" t="s">
        <v>377</v>
      </c>
      <c r="D63" s="494" t="s">
        <v>381</v>
      </c>
      <c r="E63" s="494" t="s">
        <v>382</v>
      </c>
      <c r="F63" s="550">
        <v>1</v>
      </c>
      <c r="G63" s="550">
        <v>177</v>
      </c>
      <c r="H63" s="550">
        <v>1</v>
      </c>
      <c r="I63" s="550">
        <v>177</v>
      </c>
      <c r="J63" s="550">
        <v>1</v>
      </c>
      <c r="K63" s="550">
        <v>177</v>
      </c>
      <c r="L63" s="550">
        <v>1</v>
      </c>
      <c r="M63" s="550">
        <v>177</v>
      </c>
      <c r="N63" s="550">
        <v>5</v>
      </c>
      <c r="O63" s="550">
        <v>890</v>
      </c>
      <c r="P63" s="499">
        <v>5.0282485875706211</v>
      </c>
      <c r="Q63" s="551">
        <v>178</v>
      </c>
    </row>
    <row r="64" spans="1:17" ht="14.4" customHeight="1" x14ac:dyDescent="0.3">
      <c r="A64" s="493" t="s">
        <v>425</v>
      </c>
      <c r="B64" s="494" t="s">
        <v>376</v>
      </c>
      <c r="C64" s="494" t="s">
        <v>377</v>
      </c>
      <c r="D64" s="494" t="s">
        <v>381</v>
      </c>
      <c r="E64" s="494" t="s">
        <v>408</v>
      </c>
      <c r="F64" s="550">
        <v>1</v>
      </c>
      <c r="G64" s="550">
        <v>177</v>
      </c>
      <c r="H64" s="550">
        <v>0.25</v>
      </c>
      <c r="I64" s="550">
        <v>177</v>
      </c>
      <c r="J64" s="550">
        <v>4</v>
      </c>
      <c r="K64" s="550">
        <v>708</v>
      </c>
      <c r="L64" s="550">
        <v>1</v>
      </c>
      <c r="M64" s="550">
        <v>177</v>
      </c>
      <c r="N64" s="550"/>
      <c r="O64" s="550"/>
      <c r="P64" s="499"/>
      <c r="Q64" s="551"/>
    </row>
    <row r="65" spans="1:17" ht="14.4" customHeight="1" x14ac:dyDescent="0.3">
      <c r="A65" s="493" t="s">
        <v>426</v>
      </c>
      <c r="B65" s="494" t="s">
        <v>376</v>
      </c>
      <c r="C65" s="494" t="s">
        <v>377</v>
      </c>
      <c r="D65" s="494" t="s">
        <v>378</v>
      </c>
      <c r="E65" s="494" t="s">
        <v>379</v>
      </c>
      <c r="F65" s="550">
        <v>1</v>
      </c>
      <c r="G65" s="550">
        <v>354</v>
      </c>
      <c r="H65" s="550"/>
      <c r="I65" s="550">
        <v>354</v>
      </c>
      <c r="J65" s="550"/>
      <c r="K65" s="550"/>
      <c r="L65" s="550"/>
      <c r="M65" s="550"/>
      <c r="N65" s="550">
        <v>1</v>
      </c>
      <c r="O65" s="550">
        <v>355</v>
      </c>
      <c r="P65" s="499"/>
      <c r="Q65" s="551">
        <v>355</v>
      </c>
    </row>
    <row r="66" spans="1:17" ht="14.4" customHeight="1" x14ac:dyDescent="0.3">
      <c r="A66" s="493" t="s">
        <v>426</v>
      </c>
      <c r="B66" s="494" t="s">
        <v>376</v>
      </c>
      <c r="C66" s="494" t="s">
        <v>377</v>
      </c>
      <c r="D66" s="494" t="s">
        <v>378</v>
      </c>
      <c r="E66" s="494" t="s">
        <v>380</v>
      </c>
      <c r="F66" s="550">
        <v>1</v>
      </c>
      <c r="G66" s="550">
        <v>354</v>
      </c>
      <c r="H66" s="550"/>
      <c r="I66" s="550">
        <v>354</v>
      </c>
      <c r="J66" s="550"/>
      <c r="K66" s="550"/>
      <c r="L66" s="550"/>
      <c r="M66" s="550"/>
      <c r="N66" s="550"/>
      <c r="O66" s="550"/>
      <c r="P66" s="499"/>
      <c r="Q66" s="551"/>
    </row>
    <row r="67" spans="1:17" ht="14.4" customHeight="1" x14ac:dyDescent="0.3">
      <c r="A67" s="493" t="s">
        <v>426</v>
      </c>
      <c r="B67" s="494" t="s">
        <v>376</v>
      </c>
      <c r="C67" s="494" t="s">
        <v>377</v>
      </c>
      <c r="D67" s="494" t="s">
        <v>381</v>
      </c>
      <c r="E67" s="494" t="s">
        <v>382</v>
      </c>
      <c r="F67" s="550"/>
      <c r="G67" s="550"/>
      <c r="H67" s="550"/>
      <c r="I67" s="550"/>
      <c r="J67" s="550"/>
      <c r="K67" s="550"/>
      <c r="L67" s="550"/>
      <c r="M67" s="550"/>
      <c r="N67" s="550">
        <v>1</v>
      </c>
      <c r="O67" s="550">
        <v>178</v>
      </c>
      <c r="P67" s="499"/>
      <c r="Q67" s="551">
        <v>178</v>
      </c>
    </row>
    <row r="68" spans="1:17" ht="14.4" customHeight="1" thickBot="1" x14ac:dyDescent="0.35">
      <c r="A68" s="485" t="s">
        <v>426</v>
      </c>
      <c r="B68" s="486" t="s">
        <v>376</v>
      </c>
      <c r="C68" s="486" t="s">
        <v>377</v>
      </c>
      <c r="D68" s="486" t="s">
        <v>381</v>
      </c>
      <c r="E68" s="486" t="s">
        <v>408</v>
      </c>
      <c r="F68" s="508">
        <v>1</v>
      </c>
      <c r="G68" s="508">
        <v>177</v>
      </c>
      <c r="H68" s="508"/>
      <c r="I68" s="508">
        <v>177</v>
      </c>
      <c r="J68" s="508"/>
      <c r="K68" s="508"/>
      <c r="L68" s="508"/>
      <c r="M68" s="508"/>
      <c r="N68" s="508"/>
      <c r="O68" s="508"/>
      <c r="P68" s="491"/>
      <c r="Q68" s="50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46" bestFit="1" customWidth="1"/>
    <col min="2" max="2" width="11.6640625" style="146" hidden="1" customWidth="1"/>
    <col min="3" max="4" width="11" style="148" customWidth="1"/>
    <col min="5" max="5" width="11" style="149" customWidth="1"/>
    <col min="6" max="16384" width="8.88671875" style="146"/>
  </cols>
  <sheetData>
    <row r="1" spans="1:5" ht="18.600000000000001" thickBot="1" x14ac:dyDescent="0.4">
      <c r="A1" s="300" t="s">
        <v>113</v>
      </c>
      <c r="B1" s="300"/>
      <c r="C1" s="301"/>
      <c r="D1" s="301"/>
      <c r="E1" s="301"/>
    </row>
    <row r="2" spans="1:5" ht="14.4" customHeight="1" thickBot="1" x14ac:dyDescent="0.35">
      <c r="A2" s="225" t="s">
        <v>241</v>
      </c>
      <c r="B2" s="147"/>
    </row>
    <row r="3" spans="1:5" ht="14.4" customHeight="1" thickBot="1" x14ac:dyDescent="0.35">
      <c r="A3" s="150"/>
      <c r="C3" s="151" t="s">
        <v>103</v>
      </c>
      <c r="D3" s="152" t="s">
        <v>69</v>
      </c>
      <c r="E3" s="153" t="s">
        <v>71</v>
      </c>
    </row>
    <row r="4" spans="1:5" ht="14.4" customHeight="1" thickBot="1" x14ac:dyDescent="0.35">
      <c r="A4" s="154" t="str">
        <f>HYPERLINK("#HI!A1","NÁKLADY CELKEM (v tisících Kč)")</f>
        <v>NÁKLADY CELKEM (v tisících Kč)</v>
      </c>
      <c r="B4" s="155"/>
      <c r="C4" s="156">
        <f ca="1">IF(ISERROR(VLOOKUP("Náklady celkem",INDIRECT("HI!$A:$G"),6,0)),0,VLOOKUP("Náklady celkem",INDIRECT("HI!$A:$G"),6,0))</f>
        <v>1927.2493606071471</v>
      </c>
      <c r="D4" s="156">
        <f ca="1">IF(ISERROR(VLOOKUP("Náklady celkem",INDIRECT("HI!$A:$G"),5,0)),0,VLOOKUP("Náklady celkem",INDIRECT("HI!$A:$G"),5,0))</f>
        <v>1975.1649599999998</v>
      </c>
      <c r="E4" s="157">
        <f ca="1">IF(C4=0,0,D4/C4)</f>
        <v>1.0248621690437389</v>
      </c>
    </row>
    <row r="5" spans="1:5" ht="14.4" customHeight="1" x14ac:dyDescent="0.3">
      <c r="A5" s="158" t="s">
        <v>138</v>
      </c>
      <c r="B5" s="159"/>
      <c r="C5" s="160"/>
      <c r="D5" s="160"/>
      <c r="E5" s="161"/>
    </row>
    <row r="6" spans="1:5" ht="14.4" customHeight="1" x14ac:dyDescent="0.3">
      <c r="A6" s="162" t="s">
        <v>143</v>
      </c>
      <c r="B6" s="163"/>
      <c r="C6" s="164"/>
      <c r="D6" s="164"/>
      <c r="E6" s="161"/>
    </row>
    <row r="7" spans="1:5" ht="14.4" customHeight="1" x14ac:dyDescent="0.3">
      <c r="A7" s="2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3" t="s">
        <v>107</v>
      </c>
      <c r="C7" s="164">
        <f>IF(ISERROR(HI!F5),"",HI!F5)</f>
        <v>0</v>
      </c>
      <c r="D7" s="164">
        <f>IF(ISERROR(HI!E5),"",HI!E5)</f>
        <v>0</v>
      </c>
      <c r="E7" s="161">
        <f t="shared" ref="E7:E13" si="0">IF(C7=0,0,D7/C7)</f>
        <v>0</v>
      </c>
    </row>
    <row r="8" spans="1:5" ht="14.4" customHeight="1" x14ac:dyDescent="0.3">
      <c r="A8" s="166" t="s">
        <v>139</v>
      </c>
      <c r="B8" s="163"/>
      <c r="C8" s="164"/>
      <c r="D8" s="164"/>
      <c r="E8" s="161"/>
    </row>
    <row r="9" spans="1:5" ht="14.4" customHeight="1" x14ac:dyDescent="0.3">
      <c r="A9" s="233" t="str">
        <f>HYPERLINK("#'Léky Recepty'!A1","Záchyt v lékárně (Úhrada Kč, min. 60%)")</f>
        <v>Záchyt v lékárně (Úhrada Kč, min. 60%)</v>
      </c>
      <c r="B9" s="163" t="s">
        <v>110</v>
      </c>
      <c r="C9" s="165">
        <v>0.6</v>
      </c>
      <c r="D9" s="165">
        <f>IF(ISERROR(VLOOKUP("Celkem",'Léky Recepty'!B:H,5,0)),0,VLOOKUP("Celkem",'Léky Recepty'!B:H,5,0))</f>
        <v>0.20137949319806139</v>
      </c>
      <c r="E9" s="161">
        <f t="shared" si="0"/>
        <v>0.33563248866343565</v>
      </c>
    </row>
    <row r="10" spans="1:5" ht="14.4" customHeight="1" x14ac:dyDescent="0.3">
      <c r="A10" s="233" t="str">
        <f>HYPERLINK("#'LRp PL'!A1","Plnění pozitivního listu (min. 80%)")</f>
        <v>Plnění pozitivního listu (min. 80%)</v>
      </c>
      <c r="B10" s="163" t="s">
        <v>132</v>
      </c>
      <c r="C10" s="165">
        <v>0.8</v>
      </c>
      <c r="D10" s="165">
        <f>IF(ISERROR(VLOOKUP("Celkem",'LRp PL'!A:F,5,0)),0,VLOOKUP("Celkem",'LRp PL'!A:F,5,0))</f>
        <v>1</v>
      </c>
      <c r="E10" s="161">
        <f t="shared" si="0"/>
        <v>1.25</v>
      </c>
    </row>
    <row r="11" spans="1:5" ht="14.4" customHeight="1" x14ac:dyDescent="0.3">
      <c r="A11" s="166" t="s">
        <v>140</v>
      </c>
      <c r="B11" s="163"/>
      <c r="C11" s="164"/>
      <c r="D11" s="164"/>
      <c r="E11" s="161"/>
    </row>
    <row r="12" spans="1:5" ht="14.4" customHeight="1" x14ac:dyDescent="0.3">
      <c r="A12" s="167" t="s">
        <v>144</v>
      </c>
      <c r="B12" s="163"/>
      <c r="C12" s="160"/>
      <c r="D12" s="160"/>
      <c r="E12" s="161"/>
    </row>
    <row r="13" spans="1:5" ht="14.4" customHeight="1" x14ac:dyDescent="0.3">
      <c r="A13" s="16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3" t="s">
        <v>107</v>
      </c>
      <c r="C13" s="164">
        <f>IF(ISERROR(HI!F6),"",HI!F6)</f>
        <v>0</v>
      </c>
      <c r="D13" s="164">
        <f>IF(ISERROR(HI!E6),"",HI!E6)</f>
        <v>0</v>
      </c>
      <c r="E13" s="161">
        <f t="shared" si="0"/>
        <v>0</v>
      </c>
    </row>
    <row r="14" spans="1:5" ht="14.4" customHeight="1" thickBot="1" x14ac:dyDescent="0.35">
      <c r="A14" s="169" t="str">
        <f>HYPERLINK("#HI!A1","Osobní náklady")</f>
        <v>Osobní náklady</v>
      </c>
      <c r="B14" s="163"/>
      <c r="C14" s="160">
        <f ca="1">IF(ISERROR(VLOOKUP("Osobní náklady (Kč) *",INDIRECT("HI!$A:$G"),6,0)),0,VLOOKUP("Osobní náklady (Kč) *",INDIRECT("HI!$A:$G"),6,0))</f>
        <v>1915.511</v>
      </c>
      <c r="D14" s="160">
        <f ca="1">IF(ISERROR(VLOOKUP("Osobní náklady (Kč) *",INDIRECT("HI!$A:$G"),5,0)),0,VLOOKUP("Osobní náklady (Kč) *",INDIRECT("HI!$A:$G"),5,0))</f>
        <v>1965.73496</v>
      </c>
      <c r="E14" s="161">
        <f ca="1">IF(C14=0,0,D14/C14)</f>
        <v>1.0262196145049545</v>
      </c>
    </row>
    <row r="15" spans="1:5" ht="14.4" customHeight="1" thickBot="1" x14ac:dyDescent="0.35">
      <c r="A15" s="173"/>
      <c r="B15" s="174"/>
      <c r="C15" s="175"/>
      <c r="D15" s="175"/>
      <c r="E15" s="176"/>
    </row>
    <row r="16" spans="1:5" ht="14.4" customHeight="1" thickBot="1" x14ac:dyDescent="0.35">
      <c r="A16" s="177" t="str">
        <f>HYPERLINK("#HI!A1","VÝNOSY CELKEM (v tisících)")</f>
        <v>VÝNOSY CELKEM (v tisících)</v>
      </c>
      <c r="B16" s="178"/>
      <c r="C16" s="179">
        <f ca="1">IF(ISERROR(VLOOKUP("Výnosy celkem",INDIRECT("HI!$A:$G"),6,0)),0,VLOOKUP("Výnosy celkem",INDIRECT("HI!$A:$G"),6,0))</f>
        <v>0</v>
      </c>
      <c r="D16" s="179">
        <f ca="1">IF(ISERROR(VLOOKUP("Výnosy celkem",INDIRECT("HI!$A:$G"),5,0)),0,VLOOKUP("Výnosy celkem",INDIRECT("HI!$A:$G"),5,0))</f>
        <v>1.9450000000000001</v>
      </c>
      <c r="E16" s="180">
        <f t="shared" ref="E16:E21" ca="1" si="1">IF(C16=0,0,D16/C16)</f>
        <v>0</v>
      </c>
    </row>
    <row r="17" spans="1:5" ht="14.4" customHeight="1" x14ac:dyDescent="0.3">
      <c r="A17" s="181" t="str">
        <f>HYPERLINK("#HI!A1","Ambulance (body za výkony + Kč za ZUM a ZULP)")</f>
        <v>Ambulance (body za výkony + Kč za ZUM a ZULP)</v>
      </c>
      <c r="B17" s="159"/>
      <c r="C17" s="160">
        <f ca="1">IF(ISERROR(VLOOKUP("Ambulance *",INDIRECT("HI!$A:$G"),6,0)),0,VLOOKUP("Ambulance *",INDIRECT("HI!$A:$G"),6,0))</f>
        <v>0</v>
      </c>
      <c r="D17" s="160">
        <f ca="1">IF(ISERROR(VLOOKUP("Ambulance *",INDIRECT("HI!$A:$G"),5,0)),0,VLOOKUP("Ambulance *",INDIRECT("HI!$A:$G"),5,0))</f>
        <v>1.9450000000000001</v>
      </c>
      <c r="E17" s="161">
        <f t="shared" ca="1" si="1"/>
        <v>0</v>
      </c>
    </row>
    <row r="18" spans="1:5" ht="14.4" customHeight="1" x14ac:dyDescent="0.3">
      <c r="A18" s="239" t="str">
        <f>HYPERLINK("#'ZV Vykáz.-A'!A1","Zdravotní výkony vykázané u ambulantních pacientů (min. 100 % 2016)")</f>
        <v>Zdravotní výkony vykázané u ambulantních pacientů (min. 100 % 2016)</v>
      </c>
      <c r="B18" s="240" t="s">
        <v>115</v>
      </c>
      <c r="C18" s="165">
        <v>1</v>
      </c>
      <c r="D18" s="165" t="str">
        <f>IF(ISERROR(VLOOKUP("Celkem:",'ZV Vykáz.-A'!$A:$AB,10,0)),"",VLOOKUP("Celkem:",'ZV Vykáz.-A'!$A:$AB,10,0))</f>
        <v/>
      </c>
      <c r="E18" s="161" t="e">
        <f t="shared" si="1"/>
        <v>#VALUE!</v>
      </c>
    </row>
    <row r="19" spans="1:5" ht="14.4" customHeight="1" x14ac:dyDescent="0.3">
      <c r="A19" s="238" t="str">
        <f>HYPERLINK("#'ZV Vykáz.-A'!A1","Specializovaná ambulantní péče")</f>
        <v>Specializovaná ambulantní péče</v>
      </c>
      <c r="B19" s="240" t="s">
        <v>115</v>
      </c>
      <c r="C19" s="165">
        <v>1</v>
      </c>
      <c r="D19" s="232">
        <f>IF(ISERROR(VLOOKUP("Specializovaná ambulantní péče",'ZV Vykáz.-A'!$A:$AB,10,0)),"",VLOOKUP("Specializovaná ambulantní péče",'ZV Vykáz.-A'!$A:$AB,10,0))</f>
        <v>0</v>
      </c>
      <c r="E19" s="161">
        <f t="shared" si="1"/>
        <v>0</v>
      </c>
    </row>
    <row r="20" spans="1:5" ht="14.4" customHeight="1" x14ac:dyDescent="0.3">
      <c r="A20" s="238" t="str">
        <f>HYPERLINK("#'ZV Vykáz.-A'!A1","Ambulantní péče ve vyjmenovaných odbornostech (§9)")</f>
        <v>Ambulantní péče ve vyjmenovaných odbornostech (§9)</v>
      </c>
      <c r="B20" s="240" t="s">
        <v>115</v>
      </c>
      <c r="C20" s="165">
        <v>1</v>
      </c>
      <c r="D20" s="232" t="str">
        <f>IF(ISERROR(VLOOKUP("Ambulantní péče ve vyjmenovaných odbornostech (§9) *",'ZV Vykáz.-A'!$A:$AB,10,0)),"",VLOOKUP("Ambulantní péče ve vyjmenovaných odbornostech (§9) *",'ZV Vykáz.-A'!$A:$AB,10,0))</f>
        <v/>
      </c>
      <c r="E20" s="161">
        <f>IF(OR(C20=0,D20=""),0,IF(C20="","",D20/C20))</f>
        <v>0</v>
      </c>
    </row>
    <row r="21" spans="1:5" ht="14.4" customHeight="1" x14ac:dyDescent="0.3">
      <c r="A21" s="182" t="str">
        <f>HYPERLINK("#'ZV Vykáz.-H'!A1","Zdravotní výkony vykázané u hospitalizovaných pacientů (max. 85 %)")</f>
        <v>Zdravotní výkony vykázané u hospitalizovaných pacientů (max. 85 %)</v>
      </c>
      <c r="B21" s="240" t="s">
        <v>117</v>
      </c>
      <c r="C21" s="165">
        <v>0.85</v>
      </c>
      <c r="D21" s="165">
        <f>IF(ISERROR(VLOOKUP("Celkem:",'ZV Vykáz.-H'!$A:$S,7,0)),"",VLOOKUP("Celkem:",'ZV Vykáz.-H'!$A:$S,7,0))</f>
        <v>1.4442543982127898</v>
      </c>
      <c r="E21" s="161">
        <f t="shared" si="1"/>
        <v>1.6991228214268115</v>
      </c>
    </row>
    <row r="22" spans="1:5" ht="14.4" customHeight="1" x14ac:dyDescent="0.3">
      <c r="A22" s="183" t="str">
        <f>HYPERLINK("#HI!A1","Hospitalizace (casemix * 30000)")</f>
        <v>Hospitalizace (casemix * 30000)</v>
      </c>
      <c r="B22" s="163"/>
      <c r="C22" s="160">
        <f ca="1">IF(ISERROR(VLOOKUP("Hospitalizace *",INDIRECT("HI!$A:$G"),6,0)),0,VLOOKUP("Hospitalizace *",INDIRECT("HI!$A:$G"),6,0))</f>
        <v>0</v>
      </c>
      <c r="D22" s="160">
        <f ca="1">IF(ISERROR(VLOOKUP("Hospitalizace *",INDIRECT("HI!$A:$G"),5,0)),0,VLOOKUP("Hospitalizace *",INDIRECT("HI!$A:$G"),5,0))</f>
        <v>0</v>
      </c>
      <c r="E22" s="161">
        <f ca="1">IF(C22=0,0,D22/C22)</f>
        <v>0</v>
      </c>
    </row>
    <row r="23" spans="1:5" ht="14.4" customHeight="1" thickBot="1" x14ac:dyDescent="0.35">
      <c r="A23" s="184" t="s">
        <v>141</v>
      </c>
      <c r="B23" s="170"/>
      <c r="C23" s="171"/>
      <c r="D23" s="171"/>
      <c r="E23" s="172"/>
    </row>
    <row r="24" spans="1:5" ht="14.4" customHeight="1" thickBot="1" x14ac:dyDescent="0.35">
      <c r="A24" s="185"/>
      <c r="B24" s="186"/>
      <c r="C24" s="187"/>
      <c r="D24" s="187"/>
      <c r="E24" s="188"/>
    </row>
    <row r="25" spans="1:5" ht="14.4" customHeight="1" thickBot="1" x14ac:dyDescent="0.35">
      <c r="A25" s="189" t="s">
        <v>142</v>
      </c>
      <c r="B25" s="190"/>
      <c r="C25" s="191"/>
      <c r="D25" s="191"/>
      <c r="E25" s="192"/>
    </row>
  </sheetData>
  <mergeCells count="1">
    <mergeCell ref="A1:E1"/>
  </mergeCells>
  <conditionalFormatting sqref="E5">
    <cfRule type="cellIs" dxfId="3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3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2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 E9:E10 E18:E19">
    <cfRule type="cellIs" dxfId="2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2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6" bestFit="1" customWidth="1"/>
    <col min="2" max="2" width="9.5546875" style="126" hidden="1" customWidth="1" outlineLevel="1"/>
    <col min="3" max="3" width="9.5546875" style="126" customWidth="1" collapsed="1"/>
    <col min="4" max="4" width="2.21875" style="126" customWidth="1"/>
    <col min="5" max="8" width="9.5546875" style="126" customWidth="1"/>
    <col min="9" max="10" width="9.77734375" style="126" hidden="1" customWidth="1" outlineLevel="1"/>
    <col min="11" max="11" width="8.88671875" style="126" collapsed="1"/>
    <col min="12" max="16384" width="8.88671875" style="126"/>
  </cols>
  <sheetData>
    <row r="1" spans="1:10" ht="18.600000000000001" customHeight="1" thickBot="1" x14ac:dyDescent="0.4">
      <c r="A1" s="311" t="s">
        <v>128</v>
      </c>
      <c r="B1" s="311"/>
      <c r="C1" s="311"/>
      <c r="D1" s="311"/>
      <c r="E1" s="311"/>
      <c r="F1" s="311"/>
      <c r="G1" s="311"/>
      <c r="H1" s="311"/>
      <c r="I1" s="311"/>
      <c r="J1" s="311"/>
    </row>
    <row r="2" spans="1:10" ht="14.4" customHeight="1" thickBot="1" x14ac:dyDescent="0.35">
      <c r="A2" s="225" t="s">
        <v>241</v>
      </c>
      <c r="B2" s="108"/>
      <c r="C2" s="108"/>
      <c r="D2" s="108"/>
      <c r="E2" s="108"/>
      <c r="F2" s="108"/>
    </row>
    <row r="3" spans="1:10" ht="14.4" customHeight="1" x14ac:dyDescent="0.3">
      <c r="A3" s="302"/>
      <c r="B3" s="104">
        <v>2015</v>
      </c>
      <c r="C3" s="40">
        <v>2017</v>
      </c>
      <c r="D3" s="7"/>
      <c r="E3" s="306">
        <v>2018</v>
      </c>
      <c r="F3" s="307"/>
      <c r="G3" s="307"/>
      <c r="H3" s="308"/>
      <c r="I3" s="309">
        <v>2017</v>
      </c>
      <c r="J3" s="310"/>
    </row>
    <row r="4" spans="1:10" ht="14.4" customHeight="1" thickBot="1" x14ac:dyDescent="0.35">
      <c r="A4" s="303"/>
      <c r="B4" s="304" t="s">
        <v>69</v>
      </c>
      <c r="C4" s="305"/>
      <c r="D4" s="7"/>
      <c r="E4" s="125" t="s">
        <v>69</v>
      </c>
      <c r="F4" s="106" t="s">
        <v>70</v>
      </c>
      <c r="G4" s="106" t="s">
        <v>64</v>
      </c>
      <c r="H4" s="107" t="s">
        <v>71</v>
      </c>
      <c r="I4" s="243" t="s">
        <v>185</v>
      </c>
      <c r="J4" s="244" t="s">
        <v>186</v>
      </c>
    </row>
    <row r="5" spans="1:10" ht="14.4" customHeight="1" x14ac:dyDescent="0.3">
      <c r="A5" s="109" t="str">
        <f>HYPERLINK("#'Léky Žádanky'!A1","Léky (Kč)")</f>
        <v>Léky (Kč)</v>
      </c>
      <c r="B5" s="27">
        <v>0</v>
      </c>
      <c r="C5" s="29">
        <v>0</v>
      </c>
      <c r="D5" s="8"/>
      <c r="E5" s="114">
        <v>0</v>
      </c>
      <c r="F5" s="28">
        <v>0</v>
      </c>
      <c r="G5" s="113">
        <f>E5-F5</f>
        <v>0</v>
      </c>
      <c r="H5" s="119" t="str">
        <f>IF(F5&lt;0.00000001,"",E5/F5)</f>
        <v/>
      </c>
    </row>
    <row r="6" spans="1:10" ht="14.4" customHeight="1" x14ac:dyDescent="0.3">
      <c r="A6" s="109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115">
        <v>0</v>
      </c>
      <c r="F6" s="30">
        <v>0</v>
      </c>
      <c r="G6" s="116">
        <f>E6-F6</f>
        <v>0</v>
      </c>
      <c r="H6" s="120" t="str">
        <f>IF(F6&lt;0.00000001,"",E6/F6)</f>
        <v/>
      </c>
    </row>
    <row r="7" spans="1:10" ht="14.4" customHeight="1" x14ac:dyDescent="0.3">
      <c r="A7" s="109" t="str">
        <f>HYPERLINK("#'Osobní náklady'!A1","Osobní náklady (Kč) *")</f>
        <v>Osobní náklady (Kč) *</v>
      </c>
      <c r="B7" s="10">
        <v>1887.9484</v>
      </c>
      <c r="C7" s="31">
        <v>2028.2174600000001</v>
      </c>
      <c r="D7" s="8"/>
      <c r="E7" s="115">
        <v>1965.73496</v>
      </c>
      <c r="F7" s="30">
        <v>1915.511</v>
      </c>
      <c r="G7" s="116">
        <f>E7-F7</f>
        <v>50.223960000000034</v>
      </c>
      <c r="H7" s="120">
        <f>IF(F7&lt;0.00000001,"",E7/F7)</f>
        <v>1.0262196145049545</v>
      </c>
    </row>
    <row r="8" spans="1:10" ht="14.4" customHeight="1" thickBot="1" x14ac:dyDescent="0.35">
      <c r="A8" s="1" t="s">
        <v>72</v>
      </c>
      <c r="B8" s="11">
        <v>7.8850700000000415</v>
      </c>
      <c r="C8" s="33">
        <v>23.024479999999812</v>
      </c>
      <c r="D8" s="8"/>
      <c r="E8" s="117">
        <v>9.4299999999998363</v>
      </c>
      <c r="F8" s="32">
        <v>11.738360607147115</v>
      </c>
      <c r="G8" s="118">
        <f>E8-F8</f>
        <v>-2.3083606071472786</v>
      </c>
      <c r="H8" s="121">
        <f>IF(F8&lt;0.00000001,"",E8/F8)</f>
        <v>0.80334897824302731</v>
      </c>
    </row>
    <row r="9" spans="1:10" ht="14.4" customHeight="1" thickBot="1" x14ac:dyDescent="0.35">
      <c r="A9" s="2" t="s">
        <v>73</v>
      </c>
      <c r="B9" s="3">
        <v>1895.83347</v>
      </c>
      <c r="C9" s="35">
        <v>2051.2419399999999</v>
      </c>
      <c r="D9" s="8"/>
      <c r="E9" s="3">
        <v>1975.1649599999998</v>
      </c>
      <c r="F9" s="34">
        <v>1927.2493606071471</v>
      </c>
      <c r="G9" s="34">
        <f>E9-F9</f>
        <v>47.915599392852755</v>
      </c>
      <c r="H9" s="122">
        <f>IF(F9&lt;0.00000001,"",E9/F9)</f>
        <v>1.0248621690437389</v>
      </c>
    </row>
    <row r="10" spans="1:10" ht="14.4" customHeight="1" thickBot="1" x14ac:dyDescent="0.35">
      <c r="A10" s="12"/>
      <c r="B10" s="12"/>
      <c r="C10" s="105"/>
      <c r="D10" s="8"/>
      <c r="E10" s="12"/>
      <c r="F10" s="13"/>
    </row>
    <row r="11" spans="1:10" ht="14.4" customHeight="1" x14ac:dyDescent="0.3">
      <c r="A11" s="129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0</v>
      </c>
      <c r="D11" s="8"/>
      <c r="E11" s="114">
        <f>IF(ISERROR(VLOOKUP("Celkem:",'ZV Vykáz.-A'!A:H,8,0)),0,VLOOKUP("Celkem:",'ZV Vykáz.-A'!A:H,8,0)/1000)</f>
        <v>1.9450000000000001</v>
      </c>
      <c r="F11" s="28">
        <f>C11</f>
        <v>0</v>
      </c>
      <c r="G11" s="113">
        <f>E11-F11</f>
        <v>1.9450000000000001</v>
      </c>
      <c r="H11" s="119" t="str">
        <f>IF(F11&lt;0.00000001,"",E11/F11)</f>
        <v/>
      </c>
      <c r="I11" s="113">
        <f>E11-B11</f>
        <v>1.9450000000000001</v>
      </c>
      <c r="J11" s="119" t="str">
        <f>IF(B11&lt;0.00000001,"",E11/B11)</f>
        <v/>
      </c>
    </row>
    <row r="12" spans="1:10" ht="14.4" customHeight="1" thickBot="1" x14ac:dyDescent="0.35">
      <c r="A12" s="13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17">
        <f>IF(ISERROR(VLOOKUP("Celkem",#REF!,4,0)),0,VLOOKUP("Celkem",#REF!,4,0)*30)</f>
        <v>0</v>
      </c>
      <c r="F12" s="32">
        <f>C12</f>
        <v>0</v>
      </c>
      <c r="G12" s="118">
        <f>E12-F12</f>
        <v>0</v>
      </c>
      <c r="H12" s="121" t="str">
        <f>IF(F12&lt;0.00000001,"",E12/F12)</f>
        <v/>
      </c>
      <c r="I12" s="118">
        <f>E12-B12</f>
        <v>0</v>
      </c>
      <c r="J12" s="121" t="str">
        <f>IF(B12&lt;0.00000001,"",E12/B12)</f>
        <v/>
      </c>
    </row>
    <row r="13" spans="1:10" ht="14.4" customHeight="1" thickBot="1" x14ac:dyDescent="0.35">
      <c r="A13" s="4" t="s">
        <v>76</v>
      </c>
      <c r="B13" s="5">
        <f>SUM(B11:B12)</f>
        <v>0</v>
      </c>
      <c r="C13" s="37">
        <f>SUM(C11:C12)</f>
        <v>0</v>
      </c>
      <c r="D13" s="8"/>
      <c r="E13" s="5">
        <f>SUM(E11:E12)</f>
        <v>1.9450000000000001</v>
      </c>
      <c r="F13" s="36">
        <f>SUM(F11:F12)</f>
        <v>0</v>
      </c>
      <c r="G13" s="36">
        <f>E13-F13</f>
        <v>1.9450000000000001</v>
      </c>
      <c r="H13" s="123" t="str">
        <f>IF(F13&lt;0.00000001,"",E13/F13)</f>
        <v/>
      </c>
      <c r="I13" s="36">
        <f>SUM(I11:I12)</f>
        <v>1.9450000000000001</v>
      </c>
      <c r="J13" s="123" t="str">
        <f>IF(B13&lt;0.00000001,"",E13/B13)</f>
        <v/>
      </c>
    </row>
    <row r="14" spans="1:10" ht="14.4" customHeight="1" thickBot="1" x14ac:dyDescent="0.35">
      <c r="A14" s="12"/>
      <c r="B14" s="12"/>
      <c r="C14" s="105"/>
      <c r="D14" s="8"/>
      <c r="E14" s="12"/>
      <c r="F14" s="13"/>
    </row>
    <row r="15" spans="1:10" ht="14.4" customHeight="1" thickBot="1" x14ac:dyDescent="0.35">
      <c r="A15" s="13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9.8472787812112672E-4</v>
      </c>
      <c r="F15" s="38">
        <f>IF(F9=0,"",F13/F9)</f>
        <v>0</v>
      </c>
      <c r="G15" s="38">
        <f>IF(ISERROR(F15-E15),"",E15-F15)</f>
        <v>9.8472787812112672E-4</v>
      </c>
      <c r="H15" s="124" t="str">
        <f>IF(ISERROR(F15-E15),"",IF(F15&lt;0.00000001,"",E15/F15))</f>
        <v/>
      </c>
    </row>
    <row r="17" spans="1:8" ht="14.4" customHeight="1" x14ac:dyDescent="0.3">
      <c r="A17" s="110" t="s">
        <v>145</v>
      </c>
    </row>
    <row r="18" spans="1:8" ht="14.4" customHeight="1" x14ac:dyDescent="0.3">
      <c r="A18" s="228" t="s">
        <v>171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170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111" t="s">
        <v>178</v>
      </c>
    </row>
    <row r="21" spans="1:8" ht="14.4" customHeight="1" x14ac:dyDescent="0.3">
      <c r="A21" s="111" t="s">
        <v>146</v>
      </c>
    </row>
    <row r="22" spans="1:8" ht="14.4" customHeight="1" x14ac:dyDescent="0.3">
      <c r="A22" s="112" t="s">
        <v>219</v>
      </c>
    </row>
    <row r="23" spans="1:8" ht="14.4" customHeight="1" x14ac:dyDescent="0.3">
      <c r="A23" s="112" t="s">
        <v>147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5" priority="8" operator="greaterThan">
      <formula>0</formula>
    </cfRule>
  </conditionalFormatting>
  <conditionalFormatting sqref="G11:G13 G15">
    <cfRule type="cellIs" dxfId="24" priority="7" operator="lessThan">
      <formula>0</formula>
    </cfRule>
  </conditionalFormatting>
  <conditionalFormatting sqref="H5:H9">
    <cfRule type="cellIs" dxfId="23" priority="6" operator="greaterThan">
      <formula>1</formula>
    </cfRule>
  </conditionalFormatting>
  <conditionalFormatting sqref="H11:H13 H15">
    <cfRule type="cellIs" dxfId="22" priority="5" operator="lessThan">
      <formula>1</formula>
    </cfRule>
  </conditionalFormatting>
  <conditionalFormatting sqref="I11:I13">
    <cfRule type="cellIs" dxfId="21" priority="4" operator="lessThan">
      <formula>0</formula>
    </cfRule>
  </conditionalFormatting>
  <conditionalFormatting sqref="J11:J13">
    <cfRule type="cellIs" dxfId="2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6"/>
    <col min="2" max="13" width="8.88671875" style="126" customWidth="1"/>
    <col min="14" max="16384" width="8.88671875" style="126"/>
  </cols>
  <sheetData>
    <row r="1" spans="1:13" ht="18.600000000000001" customHeight="1" thickBot="1" x14ac:dyDescent="0.4">
      <c r="A1" s="300" t="s">
        <v>100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</row>
    <row r="2" spans="1:13" ht="14.4" customHeight="1" x14ac:dyDescent="0.3">
      <c r="A2" s="225" t="s">
        <v>241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4.4" customHeight="1" x14ac:dyDescent="0.3">
      <c r="A3" s="194"/>
      <c r="B3" s="195" t="s">
        <v>78</v>
      </c>
      <c r="C3" s="196" t="s">
        <v>79</v>
      </c>
      <c r="D3" s="196" t="s">
        <v>80</v>
      </c>
      <c r="E3" s="195" t="s">
        <v>81</v>
      </c>
      <c r="F3" s="196" t="s">
        <v>82</v>
      </c>
      <c r="G3" s="196" t="s">
        <v>83</v>
      </c>
      <c r="H3" s="196" t="s">
        <v>84</v>
      </c>
      <c r="I3" s="196" t="s">
        <v>85</v>
      </c>
      <c r="J3" s="196" t="s">
        <v>86</v>
      </c>
      <c r="K3" s="196" t="s">
        <v>87</v>
      </c>
      <c r="L3" s="196" t="s">
        <v>88</v>
      </c>
      <c r="M3" s="196" t="s">
        <v>89</v>
      </c>
    </row>
    <row r="4" spans="1:13" ht="14.4" customHeight="1" x14ac:dyDescent="0.3">
      <c r="A4" s="194" t="s">
        <v>77</v>
      </c>
      <c r="B4" s="197">
        <f>(B10+B8)/B6</f>
        <v>2.7538436870227947E-3</v>
      </c>
      <c r="C4" s="197">
        <f t="shared" ref="C4:M4" si="0">(C10+C8)/C6</f>
        <v>2.4401650060198181E-3</v>
      </c>
      <c r="D4" s="197">
        <f t="shared" si="0"/>
        <v>2.5167941657260984E-3</v>
      </c>
      <c r="E4" s="197">
        <f t="shared" si="0"/>
        <v>2.5289035587583351E-3</v>
      </c>
      <c r="F4" s="197">
        <f t="shared" si="0"/>
        <v>2.7852266480690811E-3</v>
      </c>
      <c r="G4" s="197">
        <f t="shared" si="0"/>
        <v>2.284866835905008E-3</v>
      </c>
      <c r="H4" s="197">
        <f t="shared" si="0"/>
        <v>1.734323503354162E-3</v>
      </c>
      <c r="I4" s="197">
        <f t="shared" si="0"/>
        <v>1.5390488908909436E-3</v>
      </c>
      <c r="J4" s="197">
        <f t="shared" si="0"/>
        <v>1.3840638982380992E-3</v>
      </c>
      <c r="K4" s="197">
        <f t="shared" si="0"/>
        <v>1.2574365655092657E-3</v>
      </c>
      <c r="L4" s="197">
        <f t="shared" si="0"/>
        <v>1.1316106468585491E-3</v>
      </c>
      <c r="M4" s="197">
        <f t="shared" si="0"/>
        <v>9.8472787812112499E-4</v>
      </c>
    </row>
    <row r="5" spans="1:13" ht="14.4" customHeight="1" x14ac:dyDescent="0.3">
      <c r="A5" s="198" t="s">
        <v>50</v>
      </c>
      <c r="B5" s="197">
        <f>IF(ISERROR(VLOOKUP($A5,'Man Tab'!$A:$Q,COLUMN()+2,0)),0,VLOOKUP($A5,'Man Tab'!$A:$Q,COLUMN()+2,0))</f>
        <v>128.91073</v>
      </c>
      <c r="C5" s="197">
        <f>IF(ISERROR(VLOOKUP($A5,'Man Tab'!$A:$Q,COLUMN()+2,0)),0,VLOOKUP($A5,'Man Tab'!$A:$Q,COLUMN()+2,0))</f>
        <v>162.0532</v>
      </c>
      <c r="D5" s="197">
        <f>IF(ISERROR(VLOOKUP($A5,'Man Tab'!$A:$Q,COLUMN()+2,0)),0,VLOOKUP($A5,'Man Tab'!$A:$Q,COLUMN()+2,0))</f>
        <v>132.19344000000001</v>
      </c>
      <c r="E5" s="197">
        <f>IF(ISERROR(VLOOKUP($A5,'Man Tab'!$A:$Q,COLUMN()+2,0)),0,VLOOKUP($A5,'Man Tab'!$A:$Q,COLUMN()+2,0))</f>
        <v>135.18737000000101</v>
      </c>
      <c r="F5" s="197">
        <f>IF(ISERROR(VLOOKUP($A5,'Man Tab'!$A:$Q,COLUMN()+2,0)),0,VLOOKUP($A5,'Man Tab'!$A:$Q,COLUMN()+2,0))</f>
        <v>139.98263</v>
      </c>
      <c r="G5" s="197">
        <f>IF(ISERROR(VLOOKUP($A5,'Man Tab'!$A:$Q,COLUMN()+2,0)),0,VLOOKUP($A5,'Man Tab'!$A:$Q,COLUMN()+2,0))</f>
        <v>152.92573999999999</v>
      </c>
      <c r="H5" s="197">
        <f>IF(ISERROR(VLOOKUP($A5,'Man Tab'!$A:$Q,COLUMN()+2,0)),0,VLOOKUP($A5,'Man Tab'!$A:$Q,COLUMN()+2,0))</f>
        <v>270.22163</v>
      </c>
      <c r="I5" s="197">
        <f>IF(ISERROR(VLOOKUP($A5,'Man Tab'!$A:$Q,COLUMN()+2,0)),0,VLOOKUP($A5,'Man Tab'!$A:$Q,COLUMN()+2,0))</f>
        <v>142.29277999999999</v>
      </c>
      <c r="J5" s="197">
        <f>IF(ISERROR(VLOOKUP($A5,'Man Tab'!$A:$Q,COLUMN()+2,0)),0,VLOOKUP($A5,'Man Tab'!$A:$Q,COLUMN()+2,0))</f>
        <v>141.51442</v>
      </c>
      <c r="K5" s="197">
        <f>IF(ISERROR(VLOOKUP($A5,'Man Tab'!$A:$Q,COLUMN()+2,0)),0,VLOOKUP($A5,'Man Tab'!$A:$Q,COLUMN()+2,0))</f>
        <v>141.515770000001</v>
      </c>
      <c r="L5" s="197">
        <f>IF(ISERROR(VLOOKUP($A5,'Man Tab'!$A:$Q,COLUMN()+2,0)),0,VLOOKUP($A5,'Man Tab'!$A:$Q,COLUMN()+2,0))</f>
        <v>171.99135000000001</v>
      </c>
      <c r="M5" s="197">
        <f>IF(ISERROR(VLOOKUP($A5,'Man Tab'!$A:$Q,COLUMN()+2,0)),0,VLOOKUP($A5,'Man Tab'!$A:$Q,COLUMN()+2,0))</f>
        <v>256.37590000000102</v>
      </c>
    </row>
    <row r="6" spans="1:13" ht="14.4" customHeight="1" x14ac:dyDescent="0.3">
      <c r="A6" s="198" t="s">
        <v>73</v>
      </c>
      <c r="B6" s="199">
        <f>B5</f>
        <v>128.91073</v>
      </c>
      <c r="C6" s="199">
        <f t="shared" ref="C6:M6" si="1">C5+B6</f>
        <v>290.96393</v>
      </c>
      <c r="D6" s="199">
        <f t="shared" si="1"/>
        <v>423.15737000000001</v>
      </c>
      <c r="E6" s="199">
        <f t="shared" si="1"/>
        <v>558.34474000000102</v>
      </c>
      <c r="F6" s="199">
        <f t="shared" si="1"/>
        <v>698.327370000001</v>
      </c>
      <c r="G6" s="199">
        <f t="shared" si="1"/>
        <v>851.25311000000102</v>
      </c>
      <c r="H6" s="199">
        <f t="shared" si="1"/>
        <v>1121.474740000001</v>
      </c>
      <c r="I6" s="199">
        <f t="shared" si="1"/>
        <v>1263.767520000001</v>
      </c>
      <c r="J6" s="199">
        <f t="shared" si="1"/>
        <v>1405.281940000001</v>
      </c>
      <c r="K6" s="199">
        <f t="shared" si="1"/>
        <v>1546.7977100000021</v>
      </c>
      <c r="L6" s="199">
        <f t="shared" si="1"/>
        <v>1718.7890600000021</v>
      </c>
      <c r="M6" s="199">
        <f t="shared" si="1"/>
        <v>1975.1649600000032</v>
      </c>
    </row>
    <row r="7" spans="1:13" ht="14.4" customHeight="1" x14ac:dyDescent="0.3">
      <c r="A7" s="198" t="s">
        <v>98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</row>
    <row r="8" spans="1:13" ht="14.4" customHeight="1" x14ac:dyDescent="0.3">
      <c r="A8" s="198" t="s">
        <v>74</v>
      </c>
      <c r="B8" s="199">
        <f>B7*30</f>
        <v>0</v>
      </c>
      <c r="C8" s="199">
        <f t="shared" ref="C8:M8" si="2">C7*30</f>
        <v>0</v>
      </c>
      <c r="D8" s="199">
        <f t="shared" si="2"/>
        <v>0</v>
      </c>
      <c r="E8" s="199">
        <f t="shared" si="2"/>
        <v>0</v>
      </c>
      <c r="F8" s="199">
        <f t="shared" si="2"/>
        <v>0</v>
      </c>
      <c r="G8" s="199">
        <f t="shared" si="2"/>
        <v>0</v>
      </c>
      <c r="H8" s="199">
        <f t="shared" si="2"/>
        <v>0</v>
      </c>
      <c r="I8" s="199">
        <f t="shared" si="2"/>
        <v>0</v>
      </c>
      <c r="J8" s="199">
        <f t="shared" si="2"/>
        <v>0</v>
      </c>
      <c r="K8" s="199">
        <f t="shared" si="2"/>
        <v>0</v>
      </c>
      <c r="L8" s="199">
        <f t="shared" si="2"/>
        <v>0</v>
      </c>
      <c r="M8" s="199">
        <f t="shared" si="2"/>
        <v>0</v>
      </c>
    </row>
    <row r="9" spans="1:13" ht="14.4" customHeight="1" x14ac:dyDescent="0.3">
      <c r="A9" s="198" t="s">
        <v>99</v>
      </c>
      <c r="B9" s="198">
        <v>355</v>
      </c>
      <c r="C9" s="198">
        <v>355</v>
      </c>
      <c r="D9" s="198">
        <v>355</v>
      </c>
      <c r="E9" s="198">
        <v>347</v>
      </c>
      <c r="F9" s="198">
        <v>533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</row>
    <row r="10" spans="1:13" ht="14.4" customHeight="1" x14ac:dyDescent="0.3">
      <c r="A10" s="198" t="s">
        <v>75</v>
      </c>
      <c r="B10" s="199">
        <f>B9/1000</f>
        <v>0.35499999999999998</v>
      </c>
      <c r="C10" s="199">
        <f t="shared" ref="C10:M10" si="3">C9/1000+B10</f>
        <v>0.71</v>
      </c>
      <c r="D10" s="199">
        <f t="shared" si="3"/>
        <v>1.0649999999999999</v>
      </c>
      <c r="E10" s="199">
        <f t="shared" si="3"/>
        <v>1.4119999999999999</v>
      </c>
      <c r="F10" s="199">
        <f t="shared" si="3"/>
        <v>1.9449999999999998</v>
      </c>
      <c r="G10" s="199">
        <f t="shared" si="3"/>
        <v>1.9449999999999998</v>
      </c>
      <c r="H10" s="199">
        <f t="shared" si="3"/>
        <v>1.9449999999999998</v>
      </c>
      <c r="I10" s="199">
        <f t="shared" si="3"/>
        <v>1.9449999999999998</v>
      </c>
      <c r="J10" s="199">
        <f t="shared" si="3"/>
        <v>1.9449999999999998</v>
      </c>
      <c r="K10" s="199">
        <f t="shared" si="3"/>
        <v>1.9449999999999998</v>
      </c>
      <c r="L10" s="199">
        <f t="shared" si="3"/>
        <v>1.9449999999999998</v>
      </c>
      <c r="M10" s="199">
        <f t="shared" si="3"/>
        <v>1.9449999999999998</v>
      </c>
    </row>
    <row r="11" spans="1:13" ht="14.4" customHeight="1" x14ac:dyDescent="0.3">
      <c r="A11" s="194"/>
      <c r="B11" s="194" t="s">
        <v>90</v>
      </c>
      <c r="C11" s="194">
        <f ca="1">IF(MONTH(TODAY())=1,12,MONTH(TODAY())-1)</f>
        <v>12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</row>
    <row r="12" spans="1:13" ht="14.4" customHeight="1" x14ac:dyDescent="0.3">
      <c r="A12" s="194">
        <v>0</v>
      </c>
      <c r="B12" s="197">
        <f>IF(ISERROR(HI!F15),#REF!,HI!F15)</f>
        <v>0</v>
      </c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</row>
    <row r="13" spans="1:13" ht="14.4" customHeight="1" x14ac:dyDescent="0.3">
      <c r="A13" s="194">
        <v>1</v>
      </c>
      <c r="B13" s="197">
        <f>IF(ISERROR(HI!F15),#REF!,HI!F15)</f>
        <v>0</v>
      </c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6" bestFit="1" customWidth="1"/>
    <col min="2" max="2" width="12.77734375" style="126" bestFit="1" customWidth="1"/>
    <col min="3" max="3" width="13.6640625" style="126" bestFit="1" customWidth="1"/>
    <col min="4" max="15" width="7.77734375" style="126" bestFit="1" customWidth="1"/>
    <col min="16" max="16" width="8.88671875" style="126" customWidth="1"/>
    <col min="17" max="17" width="6.6640625" style="126" bestFit="1" customWidth="1"/>
    <col min="18" max="16384" width="8.88671875" style="126"/>
  </cols>
  <sheetData>
    <row r="1" spans="1:17" s="200" customFormat="1" ht="18.600000000000001" customHeight="1" thickBot="1" x14ac:dyDescent="0.4">
      <c r="A1" s="312" t="s">
        <v>243</v>
      </c>
      <c r="B1" s="312"/>
      <c r="C1" s="312"/>
      <c r="D1" s="312"/>
      <c r="E1" s="312"/>
      <c r="F1" s="312"/>
      <c r="G1" s="312"/>
      <c r="H1" s="300"/>
      <c r="I1" s="300"/>
      <c r="J1" s="300"/>
      <c r="K1" s="300"/>
      <c r="L1" s="300"/>
      <c r="M1" s="300"/>
      <c r="N1" s="300"/>
      <c r="O1" s="300"/>
      <c r="P1" s="300"/>
      <c r="Q1" s="300"/>
    </row>
    <row r="2" spans="1:17" s="200" customFormat="1" ht="14.4" customHeight="1" thickBot="1" x14ac:dyDescent="0.3">
      <c r="A2" s="225" t="s">
        <v>241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</row>
    <row r="3" spans="1:17" ht="14.4" customHeight="1" x14ac:dyDescent="0.3">
      <c r="A3" s="75"/>
      <c r="B3" s="313" t="s">
        <v>26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134"/>
      <c r="Q3" s="136"/>
    </row>
    <row r="4" spans="1:17" ht="14.4" customHeight="1" x14ac:dyDescent="0.3">
      <c r="A4" s="76"/>
      <c r="B4" s="20">
        <v>2018</v>
      </c>
      <c r="C4" s="135" t="s">
        <v>27</v>
      </c>
      <c r="D4" s="237" t="s">
        <v>220</v>
      </c>
      <c r="E4" s="237" t="s">
        <v>221</v>
      </c>
      <c r="F4" s="237" t="s">
        <v>222</v>
      </c>
      <c r="G4" s="237" t="s">
        <v>223</v>
      </c>
      <c r="H4" s="237" t="s">
        <v>224</v>
      </c>
      <c r="I4" s="237" t="s">
        <v>225</v>
      </c>
      <c r="J4" s="237" t="s">
        <v>226</v>
      </c>
      <c r="K4" s="237" t="s">
        <v>227</v>
      </c>
      <c r="L4" s="237" t="s">
        <v>228</v>
      </c>
      <c r="M4" s="237" t="s">
        <v>229</v>
      </c>
      <c r="N4" s="237" t="s">
        <v>230</v>
      </c>
      <c r="O4" s="237" t="s">
        <v>231</v>
      </c>
      <c r="P4" s="315" t="s">
        <v>3</v>
      </c>
      <c r="Q4" s="316"/>
    </row>
    <row r="5" spans="1:17" ht="14.4" customHeight="1" thickBot="1" x14ac:dyDescent="0.35">
      <c r="A5" s="77"/>
      <c r="B5" s="21" t="s">
        <v>28</v>
      </c>
      <c r="C5" s="22" t="s">
        <v>28</v>
      </c>
      <c r="D5" s="22" t="s">
        <v>29</v>
      </c>
      <c r="E5" s="22" t="s">
        <v>29</v>
      </c>
      <c r="F5" s="22" t="s">
        <v>29</v>
      </c>
      <c r="G5" s="22" t="s">
        <v>29</v>
      </c>
      <c r="H5" s="22" t="s">
        <v>29</v>
      </c>
      <c r="I5" s="22" t="s">
        <v>29</v>
      </c>
      <c r="J5" s="22" t="s">
        <v>29</v>
      </c>
      <c r="K5" s="22" t="s">
        <v>29</v>
      </c>
      <c r="L5" s="22" t="s">
        <v>29</v>
      </c>
      <c r="M5" s="22" t="s">
        <v>29</v>
      </c>
      <c r="N5" s="22" t="s">
        <v>29</v>
      </c>
      <c r="O5" s="22" t="s">
        <v>29</v>
      </c>
      <c r="P5" s="22" t="s">
        <v>29</v>
      </c>
      <c r="Q5" s="23" t="s">
        <v>30</v>
      </c>
    </row>
    <row r="6" spans="1:17" ht="14.4" customHeight="1" x14ac:dyDescent="0.3">
      <c r="A6" s="14" t="s">
        <v>31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3" t="s">
        <v>242</v>
      </c>
    </row>
    <row r="7" spans="1:17" ht="14.4" customHeight="1" x14ac:dyDescent="0.3">
      <c r="A7" s="15" t="s">
        <v>32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4" t="s">
        <v>242</v>
      </c>
    </row>
    <row r="8" spans="1:17" ht="14.4" customHeight="1" x14ac:dyDescent="0.3">
      <c r="A8" s="15" t="s">
        <v>33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4" t="s">
        <v>242</v>
      </c>
    </row>
    <row r="9" spans="1:17" ht="14.4" customHeight="1" x14ac:dyDescent="0.3">
      <c r="A9" s="15" t="s">
        <v>34</v>
      </c>
      <c r="B9" s="51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0</v>
      </c>
      <c r="Q9" s="94" t="s">
        <v>242</v>
      </c>
    </row>
    <row r="10" spans="1:17" ht="14.4" customHeight="1" x14ac:dyDescent="0.3">
      <c r="A10" s="15" t="s">
        <v>35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4" t="s">
        <v>242</v>
      </c>
    </row>
    <row r="11" spans="1:17" ht="14.4" customHeight="1" x14ac:dyDescent="0.3">
      <c r="A11" s="15" t="s">
        <v>36</v>
      </c>
      <c r="B11" s="51">
        <v>2.2017867764860002</v>
      </c>
      <c r="C11" s="52">
        <v>0.18348223137299999</v>
      </c>
      <c r="D11" s="52">
        <v>0.38719999999999999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0.54279999999999995</v>
      </c>
      <c r="P11" s="53">
        <v>0.93</v>
      </c>
      <c r="Q11" s="94">
        <v>0.42238422445399998</v>
      </c>
    </row>
    <row r="12" spans="1:17" ht="14.4" customHeight="1" x14ac:dyDescent="0.3">
      <c r="A12" s="15" t="s">
        <v>37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4" t="s">
        <v>242</v>
      </c>
    </row>
    <row r="13" spans="1:17" ht="14.4" customHeight="1" x14ac:dyDescent="0.3">
      <c r="A13" s="15" t="s">
        <v>38</v>
      </c>
      <c r="B13" s="51">
        <v>1.7701851670440001</v>
      </c>
      <c r="C13" s="52">
        <v>0.14751543058700001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0</v>
      </c>
      <c r="Q13" s="94">
        <v>0</v>
      </c>
    </row>
    <row r="14" spans="1:17" ht="14.4" customHeight="1" x14ac:dyDescent="0.3">
      <c r="A14" s="15" t="s">
        <v>39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4" t="s">
        <v>242</v>
      </c>
    </row>
    <row r="15" spans="1:17" ht="14.4" customHeight="1" x14ac:dyDescent="0.3">
      <c r="A15" s="15" t="s">
        <v>40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4" t="s">
        <v>242</v>
      </c>
    </row>
    <row r="16" spans="1:17" ht="14.4" customHeight="1" x14ac:dyDescent="0.3">
      <c r="A16" s="15" t="s">
        <v>41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4" t="s">
        <v>242</v>
      </c>
    </row>
    <row r="17" spans="1:17" ht="14.4" customHeight="1" x14ac:dyDescent="0.3">
      <c r="A17" s="15" t="s">
        <v>42</v>
      </c>
      <c r="B17" s="51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0</v>
      </c>
      <c r="Q17" s="94" t="s">
        <v>242</v>
      </c>
    </row>
    <row r="18" spans="1:17" ht="14.4" customHeight="1" x14ac:dyDescent="0.3">
      <c r="A18" s="15" t="s">
        <v>43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4" t="s">
        <v>242</v>
      </c>
    </row>
    <row r="19" spans="1:17" ht="14.4" customHeight="1" x14ac:dyDescent="0.3">
      <c r="A19" s="15" t="s">
        <v>44</v>
      </c>
      <c r="B19" s="51">
        <v>3.0975689951000002E-2</v>
      </c>
      <c r="C19" s="52">
        <v>2.5813074949999999E-3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0</v>
      </c>
      <c r="Q19" s="94">
        <v>0</v>
      </c>
    </row>
    <row r="20" spans="1:17" ht="14.4" customHeight="1" x14ac:dyDescent="0.3">
      <c r="A20" s="15" t="s">
        <v>45</v>
      </c>
      <c r="B20" s="51">
        <v>1915.511</v>
      </c>
      <c r="C20" s="52">
        <v>159.625916666666</v>
      </c>
      <c r="D20" s="52">
        <v>128.52352999999999</v>
      </c>
      <c r="E20" s="52">
        <v>162.0532</v>
      </c>
      <c r="F20" s="52">
        <v>132.19344000000001</v>
      </c>
      <c r="G20" s="52">
        <v>127.187370000001</v>
      </c>
      <c r="H20" s="52">
        <v>139.98263</v>
      </c>
      <c r="I20" s="52">
        <v>152.42573999999999</v>
      </c>
      <c r="J20" s="52">
        <v>270.22163</v>
      </c>
      <c r="K20" s="52">
        <v>142.29277999999999</v>
      </c>
      <c r="L20" s="52">
        <v>141.51442</v>
      </c>
      <c r="M20" s="52">
        <v>141.515770000001</v>
      </c>
      <c r="N20" s="52">
        <v>171.99135000000001</v>
      </c>
      <c r="O20" s="52">
        <v>255.833100000001</v>
      </c>
      <c r="P20" s="53">
        <v>1965.73496</v>
      </c>
      <c r="Q20" s="94">
        <v>1.0262196145039999</v>
      </c>
    </row>
    <row r="21" spans="1:17" ht="14.4" customHeight="1" x14ac:dyDescent="0.3">
      <c r="A21" s="16" t="s">
        <v>46</v>
      </c>
      <c r="B21" s="51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0</v>
      </c>
      <c r="Q21" s="94" t="s">
        <v>242</v>
      </c>
    </row>
    <row r="22" spans="1:17" ht="14.4" customHeight="1" x14ac:dyDescent="0.3">
      <c r="A22" s="15" t="s">
        <v>47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4" t="s">
        <v>242</v>
      </c>
    </row>
    <row r="23" spans="1:17" ht="14.4" customHeight="1" x14ac:dyDescent="0.3">
      <c r="A23" s="16" t="s">
        <v>48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4" t="s">
        <v>242</v>
      </c>
    </row>
    <row r="24" spans="1:17" ht="14.4" customHeight="1" x14ac:dyDescent="0.3">
      <c r="A24" s="16" t="s">
        <v>49</v>
      </c>
      <c r="B24" s="51">
        <v>7.7354132207830002</v>
      </c>
      <c r="C24" s="52">
        <v>0.644617768398</v>
      </c>
      <c r="D24" s="52">
        <v>0</v>
      </c>
      <c r="E24" s="52">
        <v>0</v>
      </c>
      <c r="F24" s="52">
        <v>0</v>
      </c>
      <c r="G24" s="52">
        <v>8</v>
      </c>
      <c r="H24" s="52">
        <v>0</v>
      </c>
      <c r="I24" s="52">
        <v>0.5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8.5</v>
      </c>
      <c r="Q24" s="94"/>
    </row>
    <row r="25" spans="1:17" ht="14.4" customHeight="1" x14ac:dyDescent="0.3">
      <c r="A25" s="17" t="s">
        <v>50</v>
      </c>
      <c r="B25" s="54">
        <v>1927.24936085426</v>
      </c>
      <c r="C25" s="55">
        <v>160.604113404522</v>
      </c>
      <c r="D25" s="55">
        <v>128.91073</v>
      </c>
      <c r="E25" s="55">
        <v>162.0532</v>
      </c>
      <c r="F25" s="55">
        <v>132.19344000000001</v>
      </c>
      <c r="G25" s="55">
        <v>135.18737000000101</v>
      </c>
      <c r="H25" s="55">
        <v>139.98263</v>
      </c>
      <c r="I25" s="55">
        <v>152.92573999999999</v>
      </c>
      <c r="J25" s="55">
        <v>270.22163</v>
      </c>
      <c r="K25" s="55">
        <v>142.29277999999999</v>
      </c>
      <c r="L25" s="55">
        <v>141.51442</v>
      </c>
      <c r="M25" s="55">
        <v>141.515770000001</v>
      </c>
      <c r="N25" s="55">
        <v>171.99135000000001</v>
      </c>
      <c r="O25" s="55">
        <v>256.37590000000102</v>
      </c>
      <c r="P25" s="56">
        <v>1975.1649600000001</v>
      </c>
      <c r="Q25" s="95">
        <v>1.0248621689120001</v>
      </c>
    </row>
    <row r="26" spans="1:17" ht="14.4" customHeight="1" x14ac:dyDescent="0.3">
      <c r="A26" s="15" t="s">
        <v>51</v>
      </c>
      <c r="B26" s="51">
        <v>305.65539494870097</v>
      </c>
      <c r="C26" s="52">
        <v>25.471282912391001</v>
      </c>
      <c r="D26" s="52">
        <v>21.92408</v>
      </c>
      <c r="E26" s="52">
        <v>25.991900000000001</v>
      </c>
      <c r="F26" s="52">
        <v>21.982130000000002</v>
      </c>
      <c r="G26" s="52">
        <v>21.680569999999999</v>
      </c>
      <c r="H26" s="52">
        <v>21.742069999999998</v>
      </c>
      <c r="I26" s="52">
        <v>35.240200000000002</v>
      </c>
      <c r="J26" s="52">
        <v>36.212730000000001</v>
      </c>
      <c r="K26" s="52">
        <v>21.40971</v>
      </c>
      <c r="L26" s="52">
        <v>22.707660000000001</v>
      </c>
      <c r="M26" s="52">
        <v>26.052060000000001</v>
      </c>
      <c r="N26" s="52">
        <v>24.234359999999999</v>
      </c>
      <c r="O26" s="52">
        <v>36.907670000000003</v>
      </c>
      <c r="P26" s="53">
        <v>316.08514000000002</v>
      </c>
      <c r="Q26" s="94">
        <v>1.0341225616280001</v>
      </c>
    </row>
    <row r="27" spans="1:17" ht="14.4" customHeight="1" x14ac:dyDescent="0.3">
      <c r="A27" s="18" t="s">
        <v>52</v>
      </c>
      <c r="B27" s="54">
        <v>2232.9047558029602</v>
      </c>
      <c r="C27" s="55">
        <v>186.07539631691401</v>
      </c>
      <c r="D27" s="55">
        <v>150.83481</v>
      </c>
      <c r="E27" s="55">
        <v>188.04509999999999</v>
      </c>
      <c r="F27" s="55">
        <v>154.17556999999999</v>
      </c>
      <c r="G27" s="55">
        <v>156.867940000001</v>
      </c>
      <c r="H27" s="55">
        <v>161.72470000000001</v>
      </c>
      <c r="I27" s="55">
        <v>188.16594000000001</v>
      </c>
      <c r="J27" s="55">
        <v>306.43436000000003</v>
      </c>
      <c r="K27" s="55">
        <v>163.70249000000001</v>
      </c>
      <c r="L27" s="55">
        <v>164.22208000000001</v>
      </c>
      <c r="M27" s="55">
        <v>167.56783000000101</v>
      </c>
      <c r="N27" s="55">
        <v>196.22570999999999</v>
      </c>
      <c r="O27" s="55">
        <v>293.28357000000102</v>
      </c>
      <c r="P27" s="56">
        <v>2291.2501000000002</v>
      </c>
      <c r="Q27" s="95">
        <v>1.026129795301</v>
      </c>
    </row>
    <row r="28" spans="1:17" ht="14.4" customHeight="1" x14ac:dyDescent="0.3">
      <c r="A28" s="16" t="s">
        <v>53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4">
        <v>0</v>
      </c>
    </row>
    <row r="29" spans="1:17" ht="14.4" customHeight="1" x14ac:dyDescent="0.3">
      <c r="A29" s="16" t="s">
        <v>54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4" t="s">
        <v>242</v>
      </c>
    </row>
    <row r="30" spans="1:17" ht="14.4" customHeight="1" x14ac:dyDescent="0.3">
      <c r="A30" s="16" t="s">
        <v>55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4">
        <v>0</v>
      </c>
    </row>
    <row r="31" spans="1:17" ht="14.4" customHeight="1" thickBot="1" x14ac:dyDescent="0.35">
      <c r="A31" s="19" t="s">
        <v>56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6" t="s">
        <v>242</v>
      </c>
    </row>
    <row r="32" spans="1:17" ht="14.4" customHeight="1" x14ac:dyDescent="0.3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</row>
    <row r="33" spans="1:17" ht="14.4" customHeight="1" x14ac:dyDescent="0.3">
      <c r="A33" s="110" t="s">
        <v>145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1:17" ht="14.4" customHeight="1" x14ac:dyDescent="0.3">
      <c r="A34" s="132" t="s">
        <v>240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1:17" ht="14.4" customHeight="1" x14ac:dyDescent="0.3">
      <c r="A35" s="133" t="s">
        <v>57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7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6" customWidth="1"/>
    <col min="2" max="11" width="10" style="126" customWidth="1"/>
    <col min="12" max="16384" width="8.88671875" style="126"/>
  </cols>
  <sheetData>
    <row r="1" spans="1:11" s="60" customFormat="1" ht="18.600000000000001" customHeight="1" thickBot="1" x14ac:dyDescent="0.4">
      <c r="A1" s="312" t="s">
        <v>58</v>
      </c>
      <c r="B1" s="312"/>
      <c r="C1" s="312"/>
      <c r="D1" s="312"/>
      <c r="E1" s="312"/>
      <c r="F1" s="312"/>
      <c r="G1" s="312"/>
      <c r="H1" s="317"/>
      <c r="I1" s="317"/>
      <c r="J1" s="317"/>
      <c r="K1" s="317"/>
    </row>
    <row r="2" spans="1:11" s="60" customFormat="1" ht="14.4" customHeight="1" thickBot="1" x14ac:dyDescent="0.35">
      <c r="A2" s="225" t="s">
        <v>241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5"/>
      <c r="B3" s="313" t="s">
        <v>59</v>
      </c>
      <c r="C3" s="314"/>
      <c r="D3" s="314"/>
      <c r="E3" s="314"/>
      <c r="F3" s="320" t="s">
        <v>60</v>
      </c>
      <c r="G3" s="314"/>
      <c r="H3" s="314"/>
      <c r="I3" s="314"/>
      <c r="J3" s="314"/>
      <c r="K3" s="321"/>
    </row>
    <row r="4" spans="1:11" ht="14.4" customHeight="1" x14ac:dyDescent="0.3">
      <c r="A4" s="76"/>
      <c r="B4" s="318"/>
      <c r="C4" s="319"/>
      <c r="D4" s="319"/>
      <c r="E4" s="319"/>
      <c r="F4" s="322" t="s">
        <v>236</v>
      </c>
      <c r="G4" s="324" t="s">
        <v>61</v>
      </c>
      <c r="H4" s="137" t="s">
        <v>131</v>
      </c>
      <c r="I4" s="322" t="s">
        <v>62</v>
      </c>
      <c r="J4" s="324" t="s">
        <v>238</v>
      </c>
      <c r="K4" s="325" t="s">
        <v>239</v>
      </c>
    </row>
    <row r="5" spans="1:11" ht="42" thickBot="1" x14ac:dyDescent="0.35">
      <c r="A5" s="77"/>
      <c r="B5" s="24" t="s">
        <v>232</v>
      </c>
      <c r="C5" s="25" t="s">
        <v>233</v>
      </c>
      <c r="D5" s="26" t="s">
        <v>234</v>
      </c>
      <c r="E5" s="26" t="s">
        <v>235</v>
      </c>
      <c r="F5" s="323"/>
      <c r="G5" s="323"/>
      <c r="H5" s="25" t="s">
        <v>237</v>
      </c>
      <c r="I5" s="323"/>
      <c r="J5" s="323"/>
      <c r="K5" s="326"/>
    </row>
    <row r="6" spans="1:11" ht="14.4" customHeight="1" thickBot="1" x14ac:dyDescent="0.35">
      <c r="A6" s="433" t="s">
        <v>244</v>
      </c>
      <c r="B6" s="415">
        <v>1784.5230375256899</v>
      </c>
      <c r="C6" s="415">
        <v>2051.2419399999999</v>
      </c>
      <c r="D6" s="416">
        <v>266.71890247431099</v>
      </c>
      <c r="E6" s="417">
        <v>1.1494622915279999</v>
      </c>
      <c r="F6" s="415">
        <v>1927.24936085426</v>
      </c>
      <c r="G6" s="416">
        <v>1927.24936085426</v>
      </c>
      <c r="H6" s="418">
        <v>256.37590000000102</v>
      </c>
      <c r="I6" s="415">
        <v>1975.1649600000001</v>
      </c>
      <c r="J6" s="416">
        <v>47.915599145740998</v>
      </c>
      <c r="K6" s="419">
        <v>1.0248621689120001</v>
      </c>
    </row>
    <row r="7" spans="1:11" ht="14.4" customHeight="1" thickBot="1" x14ac:dyDescent="0.35">
      <c r="A7" s="434" t="s">
        <v>245</v>
      </c>
      <c r="B7" s="415">
        <v>2.5258086728019999</v>
      </c>
      <c r="C7" s="415">
        <v>2.0223599999999999</v>
      </c>
      <c r="D7" s="416">
        <v>-0.50344867280200001</v>
      </c>
      <c r="E7" s="417">
        <v>0.80067822308699999</v>
      </c>
      <c r="F7" s="415">
        <v>3.9719719435299998</v>
      </c>
      <c r="G7" s="416">
        <v>3.9719719435299998</v>
      </c>
      <c r="H7" s="418">
        <v>0.54279999999999995</v>
      </c>
      <c r="I7" s="415">
        <v>0.93</v>
      </c>
      <c r="J7" s="416">
        <v>-3.0419719435300001</v>
      </c>
      <c r="K7" s="419">
        <v>0.234140626676</v>
      </c>
    </row>
    <row r="8" spans="1:11" ht="14.4" customHeight="1" thickBot="1" x14ac:dyDescent="0.35">
      <c r="A8" s="435" t="s">
        <v>246</v>
      </c>
      <c r="B8" s="415">
        <v>2.5258086728019999</v>
      </c>
      <c r="C8" s="415">
        <v>2.0223599999999999</v>
      </c>
      <c r="D8" s="416">
        <v>-0.50344867280200001</v>
      </c>
      <c r="E8" s="417">
        <v>0.80067822308699999</v>
      </c>
      <c r="F8" s="415">
        <v>3.9719719435299998</v>
      </c>
      <c r="G8" s="416">
        <v>3.9719719435299998</v>
      </c>
      <c r="H8" s="418">
        <v>0.54279999999999995</v>
      </c>
      <c r="I8" s="415">
        <v>0.93</v>
      </c>
      <c r="J8" s="416">
        <v>-3.0419719435300001</v>
      </c>
      <c r="K8" s="419">
        <v>0.234140626676</v>
      </c>
    </row>
    <row r="9" spans="1:11" ht="14.4" customHeight="1" thickBot="1" x14ac:dyDescent="0.35">
      <c r="A9" s="436" t="s">
        <v>247</v>
      </c>
      <c r="B9" s="420">
        <v>2.5258086728019999</v>
      </c>
      <c r="C9" s="420">
        <v>0.43975999999999998</v>
      </c>
      <c r="D9" s="421">
        <v>-2.0860486728019998</v>
      </c>
      <c r="E9" s="422">
        <v>0.17410661572800001</v>
      </c>
      <c r="F9" s="420">
        <v>2.2017867764860002</v>
      </c>
      <c r="G9" s="421">
        <v>2.2017867764860002</v>
      </c>
      <c r="H9" s="423">
        <v>0.54279999999999995</v>
      </c>
      <c r="I9" s="420">
        <v>0.93</v>
      </c>
      <c r="J9" s="421">
        <v>-1.271786776486</v>
      </c>
      <c r="K9" s="424">
        <v>0.42238422445399998</v>
      </c>
    </row>
    <row r="10" spans="1:11" ht="14.4" customHeight="1" thickBot="1" x14ac:dyDescent="0.35">
      <c r="A10" s="437" t="s">
        <v>248</v>
      </c>
      <c r="B10" s="415">
        <v>2</v>
      </c>
      <c r="C10" s="415">
        <v>0.24056</v>
      </c>
      <c r="D10" s="416">
        <v>-1.7594399999999999</v>
      </c>
      <c r="E10" s="417">
        <v>0.12028</v>
      </c>
      <c r="F10" s="415">
        <v>2</v>
      </c>
      <c r="G10" s="416">
        <v>2</v>
      </c>
      <c r="H10" s="418">
        <v>0.54279999999999995</v>
      </c>
      <c r="I10" s="415">
        <v>0.54279999999999995</v>
      </c>
      <c r="J10" s="416">
        <v>-1.4572000000000001</v>
      </c>
      <c r="K10" s="419">
        <v>0.27139999999999997</v>
      </c>
    </row>
    <row r="11" spans="1:11" ht="14.4" customHeight="1" thickBot="1" x14ac:dyDescent="0.35">
      <c r="A11" s="437" t="s">
        <v>249</v>
      </c>
      <c r="B11" s="415">
        <v>0.52580867280200005</v>
      </c>
      <c r="C11" s="415">
        <v>0.19919999999999999</v>
      </c>
      <c r="D11" s="416">
        <v>-0.32660867280200001</v>
      </c>
      <c r="E11" s="417">
        <v>0.37884502539300002</v>
      </c>
      <c r="F11" s="415">
        <v>0.20178677648599999</v>
      </c>
      <c r="G11" s="416">
        <v>0.20178677648599999</v>
      </c>
      <c r="H11" s="418">
        <v>0</v>
      </c>
      <c r="I11" s="415">
        <v>0.38719999999999999</v>
      </c>
      <c r="J11" s="416">
        <v>0.18541322351299999</v>
      </c>
      <c r="K11" s="419">
        <v>1.918857155765</v>
      </c>
    </row>
    <row r="12" spans="1:11" ht="14.4" customHeight="1" thickBot="1" x14ac:dyDescent="0.35">
      <c r="A12" s="436" t="s">
        <v>250</v>
      </c>
      <c r="B12" s="420">
        <v>0</v>
      </c>
      <c r="C12" s="420">
        <v>1.5826</v>
      </c>
      <c r="D12" s="421">
        <v>1.5826</v>
      </c>
      <c r="E12" s="425" t="s">
        <v>251</v>
      </c>
      <c r="F12" s="420">
        <v>1.7701851670440001</v>
      </c>
      <c r="G12" s="421">
        <v>1.7701851670440001</v>
      </c>
      <c r="H12" s="423">
        <v>0</v>
      </c>
      <c r="I12" s="420">
        <v>0</v>
      </c>
      <c r="J12" s="421">
        <v>-1.7701851670440001</v>
      </c>
      <c r="K12" s="424">
        <v>0</v>
      </c>
    </row>
    <row r="13" spans="1:11" ht="14.4" customHeight="1" thickBot="1" x14ac:dyDescent="0.35">
      <c r="A13" s="437" t="s">
        <v>252</v>
      </c>
      <c r="B13" s="415">
        <v>0</v>
      </c>
      <c r="C13" s="415">
        <v>1.5826</v>
      </c>
      <c r="D13" s="416">
        <v>1.5826</v>
      </c>
      <c r="E13" s="426" t="s">
        <v>251</v>
      </c>
      <c r="F13" s="415">
        <v>1.7701851670440001</v>
      </c>
      <c r="G13" s="416">
        <v>1.7701851670440001</v>
      </c>
      <c r="H13" s="418">
        <v>0</v>
      </c>
      <c r="I13" s="415">
        <v>0</v>
      </c>
      <c r="J13" s="416">
        <v>-1.7701851670440001</v>
      </c>
      <c r="K13" s="419">
        <v>0</v>
      </c>
    </row>
    <row r="14" spans="1:11" ht="14.4" customHeight="1" thickBot="1" x14ac:dyDescent="0.35">
      <c r="A14" s="438" t="s">
        <v>253</v>
      </c>
      <c r="B14" s="420">
        <v>0.99722885288399998</v>
      </c>
      <c r="C14" s="420">
        <v>6.2521199999999997</v>
      </c>
      <c r="D14" s="421">
        <v>5.2548911471149999</v>
      </c>
      <c r="E14" s="422">
        <v>6.269493689351</v>
      </c>
      <c r="F14" s="420">
        <v>3.0975689951000002E-2</v>
      </c>
      <c r="G14" s="421">
        <v>3.0975689951000002E-2</v>
      </c>
      <c r="H14" s="423">
        <v>0</v>
      </c>
      <c r="I14" s="420">
        <v>0</v>
      </c>
      <c r="J14" s="421">
        <v>-3.0975689951000002E-2</v>
      </c>
      <c r="K14" s="424">
        <v>0</v>
      </c>
    </row>
    <row r="15" spans="1:11" ht="14.4" customHeight="1" thickBot="1" x14ac:dyDescent="0.35">
      <c r="A15" s="435" t="s">
        <v>42</v>
      </c>
      <c r="B15" s="415">
        <v>0.99999999999900002</v>
      </c>
      <c r="C15" s="415">
        <v>0</v>
      </c>
      <c r="D15" s="416">
        <v>-0.99999999999900002</v>
      </c>
      <c r="E15" s="417">
        <v>0</v>
      </c>
      <c r="F15" s="415">
        <v>0</v>
      </c>
      <c r="G15" s="416">
        <v>0</v>
      </c>
      <c r="H15" s="418">
        <v>0</v>
      </c>
      <c r="I15" s="415">
        <v>0</v>
      </c>
      <c r="J15" s="416">
        <v>0</v>
      </c>
      <c r="K15" s="419">
        <v>12</v>
      </c>
    </row>
    <row r="16" spans="1:11" ht="14.4" customHeight="1" thickBot="1" x14ac:dyDescent="0.35">
      <c r="A16" s="439" t="s">
        <v>254</v>
      </c>
      <c r="B16" s="415">
        <v>0.99999999999900002</v>
      </c>
      <c r="C16" s="415">
        <v>0</v>
      </c>
      <c r="D16" s="416">
        <v>-0.99999999999900002</v>
      </c>
      <c r="E16" s="417">
        <v>0</v>
      </c>
      <c r="F16" s="415">
        <v>0</v>
      </c>
      <c r="G16" s="416">
        <v>0</v>
      </c>
      <c r="H16" s="418">
        <v>0</v>
      </c>
      <c r="I16" s="415">
        <v>0</v>
      </c>
      <c r="J16" s="416">
        <v>0</v>
      </c>
      <c r="K16" s="419">
        <v>12</v>
      </c>
    </row>
    <row r="17" spans="1:11" ht="14.4" customHeight="1" thickBot="1" x14ac:dyDescent="0.35">
      <c r="A17" s="437" t="s">
        <v>255</v>
      </c>
      <c r="B17" s="415">
        <v>0.99999999999900002</v>
      </c>
      <c r="C17" s="415">
        <v>0</v>
      </c>
      <c r="D17" s="416">
        <v>-0.99999999999900002</v>
      </c>
      <c r="E17" s="417">
        <v>0</v>
      </c>
      <c r="F17" s="415">
        <v>0</v>
      </c>
      <c r="G17" s="416">
        <v>0</v>
      </c>
      <c r="H17" s="418">
        <v>0</v>
      </c>
      <c r="I17" s="415">
        <v>0</v>
      </c>
      <c r="J17" s="416">
        <v>0</v>
      </c>
      <c r="K17" s="419">
        <v>12</v>
      </c>
    </row>
    <row r="18" spans="1:11" ht="14.4" customHeight="1" thickBot="1" x14ac:dyDescent="0.35">
      <c r="A18" s="440" t="s">
        <v>43</v>
      </c>
      <c r="B18" s="420">
        <v>0</v>
      </c>
      <c r="C18" s="420">
        <v>6.2220000000000004</v>
      </c>
      <c r="D18" s="421">
        <v>6.2220000000000004</v>
      </c>
      <c r="E18" s="425" t="s">
        <v>251</v>
      </c>
      <c r="F18" s="420">
        <v>0</v>
      </c>
      <c r="G18" s="421">
        <v>0</v>
      </c>
      <c r="H18" s="423">
        <v>0</v>
      </c>
      <c r="I18" s="420">
        <v>0</v>
      </c>
      <c r="J18" s="421">
        <v>0</v>
      </c>
      <c r="K18" s="427" t="s">
        <v>242</v>
      </c>
    </row>
    <row r="19" spans="1:11" ht="14.4" customHeight="1" thickBot="1" x14ac:dyDescent="0.35">
      <c r="A19" s="436" t="s">
        <v>256</v>
      </c>
      <c r="B19" s="420">
        <v>0</v>
      </c>
      <c r="C19" s="420">
        <v>6.2220000000000004</v>
      </c>
      <c r="D19" s="421">
        <v>6.2220000000000004</v>
      </c>
      <c r="E19" s="425" t="s">
        <v>251</v>
      </c>
      <c r="F19" s="420">
        <v>0</v>
      </c>
      <c r="G19" s="421">
        <v>0</v>
      </c>
      <c r="H19" s="423">
        <v>0</v>
      </c>
      <c r="I19" s="420">
        <v>0</v>
      </c>
      <c r="J19" s="421">
        <v>0</v>
      </c>
      <c r="K19" s="427" t="s">
        <v>242</v>
      </c>
    </row>
    <row r="20" spans="1:11" ht="14.4" customHeight="1" thickBot="1" x14ac:dyDescent="0.35">
      <c r="A20" s="437" t="s">
        <v>257</v>
      </c>
      <c r="B20" s="415">
        <v>0</v>
      </c>
      <c r="C20" s="415">
        <v>6.2220000000000004</v>
      </c>
      <c r="D20" s="416">
        <v>6.2220000000000004</v>
      </c>
      <c r="E20" s="426" t="s">
        <v>251</v>
      </c>
      <c r="F20" s="415">
        <v>0</v>
      </c>
      <c r="G20" s="416">
        <v>0</v>
      </c>
      <c r="H20" s="418">
        <v>0</v>
      </c>
      <c r="I20" s="415">
        <v>0</v>
      </c>
      <c r="J20" s="416">
        <v>0</v>
      </c>
      <c r="K20" s="428" t="s">
        <v>242</v>
      </c>
    </row>
    <row r="21" spans="1:11" ht="14.4" customHeight="1" thickBot="1" x14ac:dyDescent="0.35">
      <c r="A21" s="435" t="s">
        <v>44</v>
      </c>
      <c r="B21" s="415">
        <v>-2.7711471149999998E-3</v>
      </c>
      <c r="C21" s="415">
        <v>3.0120000000000001E-2</v>
      </c>
      <c r="D21" s="416">
        <v>3.2891147114999998E-2</v>
      </c>
      <c r="E21" s="417">
        <v>-10.869145067764</v>
      </c>
      <c r="F21" s="415">
        <v>3.0975689951000002E-2</v>
      </c>
      <c r="G21" s="416">
        <v>3.0975689951000002E-2</v>
      </c>
      <c r="H21" s="418">
        <v>0</v>
      </c>
      <c r="I21" s="415">
        <v>0</v>
      </c>
      <c r="J21" s="416">
        <v>-3.0975689951000002E-2</v>
      </c>
      <c r="K21" s="419">
        <v>0</v>
      </c>
    </row>
    <row r="22" spans="1:11" ht="14.4" customHeight="1" thickBot="1" x14ac:dyDescent="0.35">
      <c r="A22" s="436" t="s">
        <v>258</v>
      </c>
      <c r="B22" s="420">
        <v>-2.7711471149999998E-3</v>
      </c>
      <c r="C22" s="420">
        <v>3.0120000000000001E-2</v>
      </c>
      <c r="D22" s="421">
        <v>3.2891147114999998E-2</v>
      </c>
      <c r="E22" s="422">
        <v>-10.869145067764</v>
      </c>
      <c r="F22" s="420">
        <v>3.0975689951000002E-2</v>
      </c>
      <c r="G22" s="421">
        <v>3.0975689951000002E-2</v>
      </c>
      <c r="H22" s="423">
        <v>0</v>
      </c>
      <c r="I22" s="420">
        <v>0</v>
      </c>
      <c r="J22" s="421">
        <v>-3.0975689951000002E-2</v>
      </c>
      <c r="K22" s="424">
        <v>0</v>
      </c>
    </row>
    <row r="23" spans="1:11" ht="14.4" customHeight="1" thickBot="1" x14ac:dyDescent="0.35">
      <c r="A23" s="437" t="s">
        <v>259</v>
      </c>
      <c r="B23" s="415">
        <v>-2.7711471149999998E-3</v>
      </c>
      <c r="C23" s="415">
        <v>3.0120000000000001E-2</v>
      </c>
      <c r="D23" s="416">
        <v>3.2891147114999998E-2</v>
      </c>
      <c r="E23" s="417">
        <v>-10.869145067764</v>
      </c>
      <c r="F23" s="415">
        <v>3.0975689951000002E-2</v>
      </c>
      <c r="G23" s="416">
        <v>3.0975689951000002E-2</v>
      </c>
      <c r="H23" s="418">
        <v>0</v>
      </c>
      <c r="I23" s="415">
        <v>0</v>
      </c>
      <c r="J23" s="416">
        <v>-3.0975689951000002E-2</v>
      </c>
      <c r="K23" s="419">
        <v>0</v>
      </c>
    </row>
    <row r="24" spans="1:11" ht="14.4" customHeight="1" thickBot="1" x14ac:dyDescent="0.35">
      <c r="A24" s="434" t="s">
        <v>45</v>
      </c>
      <c r="B24" s="415">
        <v>1781</v>
      </c>
      <c r="C24" s="415">
        <v>2028.2174600000001</v>
      </c>
      <c r="D24" s="416">
        <v>247.21745999999899</v>
      </c>
      <c r="E24" s="417">
        <v>1.1388082313300001</v>
      </c>
      <c r="F24" s="415">
        <v>1915.511</v>
      </c>
      <c r="G24" s="416">
        <v>1915.511</v>
      </c>
      <c r="H24" s="418">
        <v>255.833100000001</v>
      </c>
      <c r="I24" s="415">
        <v>1965.73496</v>
      </c>
      <c r="J24" s="416">
        <v>50.223960000006997</v>
      </c>
      <c r="K24" s="419">
        <v>1.0262196145039999</v>
      </c>
    </row>
    <row r="25" spans="1:11" ht="14.4" customHeight="1" thickBot="1" x14ac:dyDescent="0.35">
      <c r="A25" s="440" t="s">
        <v>260</v>
      </c>
      <c r="B25" s="420">
        <v>1310</v>
      </c>
      <c r="C25" s="420">
        <v>1499.8340000000001</v>
      </c>
      <c r="D25" s="421">
        <v>189.83399999999901</v>
      </c>
      <c r="E25" s="422">
        <v>1.1449114503810001</v>
      </c>
      <c r="F25" s="420">
        <v>1409.3510000000001</v>
      </c>
      <c r="G25" s="421">
        <v>1409.3510000000001</v>
      </c>
      <c r="H25" s="423">
        <v>188.114000000001</v>
      </c>
      <c r="I25" s="420">
        <v>1446.1659999999999</v>
      </c>
      <c r="J25" s="421">
        <v>36.815000000006002</v>
      </c>
      <c r="K25" s="424">
        <v>1.0261219525859999</v>
      </c>
    </row>
    <row r="26" spans="1:11" ht="14.4" customHeight="1" thickBot="1" x14ac:dyDescent="0.35">
      <c r="A26" s="436" t="s">
        <v>261</v>
      </c>
      <c r="B26" s="420">
        <v>1306</v>
      </c>
      <c r="C26" s="420">
        <v>1498.3340000000001</v>
      </c>
      <c r="D26" s="421">
        <v>192.33399999999901</v>
      </c>
      <c r="E26" s="422">
        <v>1.147269525267</v>
      </c>
      <c r="F26" s="420">
        <v>1406</v>
      </c>
      <c r="G26" s="421">
        <v>1406</v>
      </c>
      <c r="H26" s="423">
        <v>188.114000000001</v>
      </c>
      <c r="I26" s="420">
        <v>1421.1659999999999</v>
      </c>
      <c r="J26" s="421">
        <v>15.166000000005999</v>
      </c>
      <c r="K26" s="424">
        <v>1.0107866287339999</v>
      </c>
    </row>
    <row r="27" spans="1:11" ht="14.4" customHeight="1" thickBot="1" x14ac:dyDescent="0.35">
      <c r="A27" s="437" t="s">
        <v>262</v>
      </c>
      <c r="B27" s="415">
        <v>1306</v>
      </c>
      <c r="C27" s="415">
        <v>1498.3340000000001</v>
      </c>
      <c r="D27" s="416">
        <v>192.33399999999901</v>
      </c>
      <c r="E27" s="417">
        <v>1.147269525267</v>
      </c>
      <c r="F27" s="415">
        <v>1406</v>
      </c>
      <c r="G27" s="416">
        <v>1406</v>
      </c>
      <c r="H27" s="418">
        <v>188.114000000001</v>
      </c>
      <c r="I27" s="415">
        <v>1421.1659999999999</v>
      </c>
      <c r="J27" s="416">
        <v>15.166000000005999</v>
      </c>
      <c r="K27" s="419">
        <v>1.0107866287339999</v>
      </c>
    </row>
    <row r="28" spans="1:11" ht="14.4" customHeight="1" thickBot="1" x14ac:dyDescent="0.35">
      <c r="A28" s="436" t="s">
        <v>263</v>
      </c>
      <c r="B28" s="420">
        <v>4</v>
      </c>
      <c r="C28" s="420">
        <v>0</v>
      </c>
      <c r="D28" s="421">
        <v>-4</v>
      </c>
      <c r="E28" s="422">
        <v>0</v>
      </c>
      <c r="F28" s="420">
        <v>3.351</v>
      </c>
      <c r="G28" s="421">
        <v>3.351</v>
      </c>
      <c r="H28" s="423">
        <v>0</v>
      </c>
      <c r="I28" s="420">
        <v>0</v>
      </c>
      <c r="J28" s="421">
        <v>-3.351</v>
      </c>
      <c r="K28" s="424">
        <v>0</v>
      </c>
    </row>
    <row r="29" spans="1:11" ht="14.4" customHeight="1" thickBot="1" x14ac:dyDescent="0.35">
      <c r="A29" s="437" t="s">
        <v>264</v>
      </c>
      <c r="B29" s="415">
        <v>4</v>
      </c>
      <c r="C29" s="415">
        <v>0</v>
      </c>
      <c r="D29" s="416">
        <v>-4</v>
      </c>
      <c r="E29" s="417">
        <v>0</v>
      </c>
      <c r="F29" s="415">
        <v>3.351</v>
      </c>
      <c r="G29" s="416">
        <v>3.351</v>
      </c>
      <c r="H29" s="418">
        <v>0</v>
      </c>
      <c r="I29" s="415">
        <v>0</v>
      </c>
      <c r="J29" s="416">
        <v>-3.351</v>
      </c>
      <c r="K29" s="419">
        <v>0</v>
      </c>
    </row>
    <row r="30" spans="1:11" ht="14.4" customHeight="1" thickBot="1" x14ac:dyDescent="0.35">
      <c r="A30" s="439" t="s">
        <v>265</v>
      </c>
      <c r="B30" s="415">
        <v>0</v>
      </c>
      <c r="C30" s="415">
        <v>1.5</v>
      </c>
      <c r="D30" s="416">
        <v>1.5</v>
      </c>
      <c r="E30" s="426" t="s">
        <v>251</v>
      </c>
      <c r="F30" s="415">
        <v>0</v>
      </c>
      <c r="G30" s="416">
        <v>0</v>
      </c>
      <c r="H30" s="418">
        <v>0</v>
      </c>
      <c r="I30" s="415">
        <v>25</v>
      </c>
      <c r="J30" s="416">
        <v>25</v>
      </c>
      <c r="K30" s="428" t="s">
        <v>242</v>
      </c>
    </row>
    <row r="31" spans="1:11" ht="14.4" customHeight="1" thickBot="1" x14ac:dyDescent="0.35">
      <c r="A31" s="437" t="s">
        <v>266</v>
      </c>
      <c r="B31" s="415">
        <v>0</v>
      </c>
      <c r="C31" s="415">
        <v>1.5</v>
      </c>
      <c r="D31" s="416">
        <v>1.5</v>
      </c>
      <c r="E31" s="426" t="s">
        <v>251</v>
      </c>
      <c r="F31" s="415">
        <v>0</v>
      </c>
      <c r="G31" s="416">
        <v>0</v>
      </c>
      <c r="H31" s="418">
        <v>0</v>
      </c>
      <c r="I31" s="415">
        <v>25</v>
      </c>
      <c r="J31" s="416">
        <v>25</v>
      </c>
      <c r="K31" s="428" t="s">
        <v>242</v>
      </c>
    </row>
    <row r="32" spans="1:11" ht="14.4" customHeight="1" thickBot="1" x14ac:dyDescent="0.35">
      <c r="A32" s="435" t="s">
        <v>267</v>
      </c>
      <c r="B32" s="415">
        <v>444.99999999999898</v>
      </c>
      <c r="C32" s="415">
        <v>498.41825999999998</v>
      </c>
      <c r="D32" s="416">
        <v>53.418259999999997</v>
      </c>
      <c r="E32" s="417">
        <v>1.1200410337069999</v>
      </c>
      <c r="F32" s="415">
        <v>478.04</v>
      </c>
      <c r="G32" s="416">
        <v>478.04</v>
      </c>
      <c r="H32" s="418">
        <v>63.957500000000003</v>
      </c>
      <c r="I32" s="415">
        <v>491.15025000000099</v>
      </c>
      <c r="J32" s="416">
        <v>13.110250000000001</v>
      </c>
      <c r="K32" s="419">
        <v>1.0274250062750001</v>
      </c>
    </row>
    <row r="33" spans="1:11" ht="14.4" customHeight="1" thickBot="1" x14ac:dyDescent="0.35">
      <c r="A33" s="436" t="s">
        <v>268</v>
      </c>
      <c r="B33" s="420">
        <v>118</v>
      </c>
      <c r="C33" s="420">
        <v>134.98201</v>
      </c>
      <c r="D33" s="421">
        <v>16.982009999999999</v>
      </c>
      <c r="E33" s="422">
        <v>1.1439153389829999</v>
      </c>
      <c r="F33" s="420">
        <v>126.54</v>
      </c>
      <c r="G33" s="421">
        <v>126.54</v>
      </c>
      <c r="H33" s="423">
        <v>16.928999999999998</v>
      </c>
      <c r="I33" s="420">
        <v>130.1455</v>
      </c>
      <c r="J33" s="421">
        <v>3.6054999999990001</v>
      </c>
      <c r="K33" s="424">
        <v>1.02849296665</v>
      </c>
    </row>
    <row r="34" spans="1:11" ht="14.4" customHeight="1" thickBot="1" x14ac:dyDescent="0.35">
      <c r="A34" s="437" t="s">
        <v>269</v>
      </c>
      <c r="B34" s="415">
        <v>118</v>
      </c>
      <c r="C34" s="415">
        <v>134.98201</v>
      </c>
      <c r="D34" s="416">
        <v>16.982009999999999</v>
      </c>
      <c r="E34" s="417">
        <v>1.1439153389829999</v>
      </c>
      <c r="F34" s="415">
        <v>126.54</v>
      </c>
      <c r="G34" s="416">
        <v>126.54</v>
      </c>
      <c r="H34" s="418">
        <v>16.928999999999998</v>
      </c>
      <c r="I34" s="415">
        <v>130.1455</v>
      </c>
      <c r="J34" s="416">
        <v>3.6054999999990001</v>
      </c>
      <c r="K34" s="419">
        <v>1.02849296665</v>
      </c>
    </row>
    <row r="35" spans="1:11" ht="14.4" customHeight="1" thickBot="1" x14ac:dyDescent="0.35">
      <c r="A35" s="436" t="s">
        <v>270</v>
      </c>
      <c r="B35" s="420">
        <v>327</v>
      </c>
      <c r="C35" s="420">
        <v>363.43624999999997</v>
      </c>
      <c r="D35" s="421">
        <v>36.436250000000001</v>
      </c>
      <c r="E35" s="422">
        <v>1.111425840978</v>
      </c>
      <c r="F35" s="420">
        <v>351.5</v>
      </c>
      <c r="G35" s="421">
        <v>351.5</v>
      </c>
      <c r="H35" s="423">
        <v>47.028500000000001</v>
      </c>
      <c r="I35" s="420">
        <v>361.00475000000102</v>
      </c>
      <c r="J35" s="421">
        <v>9.5047500000009997</v>
      </c>
      <c r="K35" s="424">
        <v>1.02704054054</v>
      </c>
    </row>
    <row r="36" spans="1:11" ht="14.4" customHeight="1" thickBot="1" x14ac:dyDescent="0.35">
      <c r="A36" s="437" t="s">
        <v>271</v>
      </c>
      <c r="B36" s="415">
        <v>327</v>
      </c>
      <c r="C36" s="415">
        <v>363.43624999999997</v>
      </c>
      <c r="D36" s="416">
        <v>36.436250000000001</v>
      </c>
      <c r="E36" s="417">
        <v>1.111425840978</v>
      </c>
      <c r="F36" s="415">
        <v>351.5</v>
      </c>
      <c r="G36" s="416">
        <v>351.5</v>
      </c>
      <c r="H36" s="418">
        <v>47.028500000000001</v>
      </c>
      <c r="I36" s="415">
        <v>361.00475000000102</v>
      </c>
      <c r="J36" s="416">
        <v>9.5047500000009997</v>
      </c>
      <c r="K36" s="419">
        <v>1.02704054054</v>
      </c>
    </row>
    <row r="37" spans="1:11" ht="14.4" customHeight="1" thickBot="1" x14ac:dyDescent="0.35">
      <c r="A37" s="435" t="s">
        <v>272</v>
      </c>
      <c r="B37" s="415">
        <v>26</v>
      </c>
      <c r="C37" s="415">
        <v>29.965199999999999</v>
      </c>
      <c r="D37" s="416">
        <v>3.9651999999990002</v>
      </c>
      <c r="E37" s="417">
        <v>1.1525076923069999</v>
      </c>
      <c r="F37" s="415">
        <v>28.12</v>
      </c>
      <c r="G37" s="416">
        <v>28.12</v>
      </c>
      <c r="H37" s="418">
        <v>3.7616000000000001</v>
      </c>
      <c r="I37" s="415">
        <v>28.418710000000001</v>
      </c>
      <c r="J37" s="416">
        <v>0.298709999999</v>
      </c>
      <c r="K37" s="419">
        <v>1.010622688477</v>
      </c>
    </row>
    <row r="38" spans="1:11" ht="14.4" customHeight="1" thickBot="1" x14ac:dyDescent="0.35">
      <c r="A38" s="436" t="s">
        <v>273</v>
      </c>
      <c r="B38" s="420">
        <v>26</v>
      </c>
      <c r="C38" s="420">
        <v>29.965199999999999</v>
      </c>
      <c r="D38" s="421">
        <v>3.9651999999990002</v>
      </c>
      <c r="E38" s="422">
        <v>1.1525076923069999</v>
      </c>
      <c r="F38" s="420">
        <v>28.12</v>
      </c>
      <c r="G38" s="421">
        <v>28.12</v>
      </c>
      <c r="H38" s="423">
        <v>3.7616000000000001</v>
      </c>
      <c r="I38" s="420">
        <v>28.418710000000001</v>
      </c>
      <c r="J38" s="421">
        <v>0.298709999999</v>
      </c>
      <c r="K38" s="424">
        <v>1.010622688477</v>
      </c>
    </row>
    <row r="39" spans="1:11" ht="14.4" customHeight="1" thickBot="1" x14ac:dyDescent="0.35">
      <c r="A39" s="437" t="s">
        <v>274</v>
      </c>
      <c r="B39" s="415">
        <v>26</v>
      </c>
      <c r="C39" s="415">
        <v>29.965199999999999</v>
      </c>
      <c r="D39" s="416">
        <v>3.9651999999990002</v>
      </c>
      <c r="E39" s="417">
        <v>1.1525076923069999</v>
      </c>
      <c r="F39" s="415">
        <v>28.12</v>
      </c>
      <c r="G39" s="416">
        <v>28.12</v>
      </c>
      <c r="H39" s="418">
        <v>3.7616000000000001</v>
      </c>
      <c r="I39" s="415">
        <v>28.418710000000001</v>
      </c>
      <c r="J39" s="416">
        <v>0.298709999999</v>
      </c>
      <c r="K39" s="419">
        <v>1.010622688477</v>
      </c>
    </row>
    <row r="40" spans="1:11" ht="14.4" customHeight="1" thickBot="1" x14ac:dyDescent="0.35">
      <c r="A40" s="434" t="s">
        <v>275</v>
      </c>
      <c r="B40" s="415">
        <v>0</v>
      </c>
      <c r="C40" s="415">
        <v>14.75</v>
      </c>
      <c r="D40" s="416">
        <v>14.75</v>
      </c>
      <c r="E40" s="426" t="s">
        <v>242</v>
      </c>
      <c r="F40" s="415">
        <v>7.7354132207830002</v>
      </c>
      <c r="G40" s="416">
        <v>7.7354132207830002</v>
      </c>
      <c r="H40" s="418">
        <v>0</v>
      </c>
      <c r="I40" s="415">
        <v>8.5</v>
      </c>
      <c r="J40" s="416">
        <v>0.76458677921600005</v>
      </c>
      <c r="K40" s="419">
        <v>1.0988423963130001</v>
      </c>
    </row>
    <row r="41" spans="1:11" ht="14.4" customHeight="1" thickBot="1" x14ac:dyDescent="0.35">
      <c r="A41" s="435" t="s">
        <v>276</v>
      </c>
      <c r="B41" s="415">
        <v>0</v>
      </c>
      <c r="C41" s="415">
        <v>14.75</v>
      </c>
      <c r="D41" s="416">
        <v>14.75</v>
      </c>
      <c r="E41" s="426" t="s">
        <v>242</v>
      </c>
      <c r="F41" s="415">
        <v>7.7354132207830002</v>
      </c>
      <c r="G41" s="416">
        <v>7.7354132207830002</v>
      </c>
      <c r="H41" s="418">
        <v>0</v>
      </c>
      <c r="I41" s="415">
        <v>8.5</v>
      </c>
      <c r="J41" s="416">
        <v>0.76458677921600005</v>
      </c>
      <c r="K41" s="419">
        <v>1.0988423963130001</v>
      </c>
    </row>
    <row r="42" spans="1:11" ht="14.4" customHeight="1" thickBot="1" x14ac:dyDescent="0.35">
      <c r="A42" s="436" t="s">
        <v>277</v>
      </c>
      <c r="B42" s="420">
        <v>0</v>
      </c>
      <c r="C42" s="420">
        <v>4.9499999999990001</v>
      </c>
      <c r="D42" s="421">
        <v>4.9499999999990001</v>
      </c>
      <c r="E42" s="425" t="s">
        <v>242</v>
      </c>
      <c r="F42" s="420">
        <v>0</v>
      </c>
      <c r="G42" s="421">
        <v>0</v>
      </c>
      <c r="H42" s="423">
        <v>0</v>
      </c>
      <c r="I42" s="420">
        <v>8.5</v>
      </c>
      <c r="J42" s="421">
        <v>8.5</v>
      </c>
      <c r="K42" s="427" t="s">
        <v>251</v>
      </c>
    </row>
    <row r="43" spans="1:11" ht="14.4" customHeight="1" thickBot="1" x14ac:dyDescent="0.35">
      <c r="A43" s="437" t="s">
        <v>278</v>
      </c>
      <c r="B43" s="415">
        <v>0</v>
      </c>
      <c r="C43" s="415">
        <v>4.9499999999990001</v>
      </c>
      <c r="D43" s="416">
        <v>4.9499999999990001</v>
      </c>
      <c r="E43" s="426" t="s">
        <v>242</v>
      </c>
      <c r="F43" s="415">
        <v>0</v>
      </c>
      <c r="G43" s="416">
        <v>0</v>
      </c>
      <c r="H43" s="418">
        <v>0</v>
      </c>
      <c r="I43" s="415">
        <v>8.5</v>
      </c>
      <c r="J43" s="416">
        <v>8.5</v>
      </c>
      <c r="K43" s="428" t="s">
        <v>251</v>
      </c>
    </row>
    <row r="44" spans="1:11" ht="14.4" customHeight="1" thickBot="1" x14ac:dyDescent="0.35">
      <c r="A44" s="439" t="s">
        <v>279</v>
      </c>
      <c r="B44" s="415">
        <v>0</v>
      </c>
      <c r="C44" s="415">
        <v>9.8000000000000007</v>
      </c>
      <c r="D44" s="416">
        <v>9.8000000000000007</v>
      </c>
      <c r="E44" s="426" t="s">
        <v>251</v>
      </c>
      <c r="F44" s="415">
        <v>7.7354132207830002</v>
      </c>
      <c r="G44" s="416">
        <v>7.7354132207830002</v>
      </c>
      <c r="H44" s="418">
        <v>0</v>
      </c>
      <c r="I44" s="415">
        <v>0</v>
      </c>
      <c r="J44" s="416">
        <v>-7.7354132207830002</v>
      </c>
      <c r="K44" s="419">
        <v>0</v>
      </c>
    </row>
    <row r="45" spans="1:11" ht="14.4" customHeight="1" thickBot="1" x14ac:dyDescent="0.35">
      <c r="A45" s="437" t="s">
        <v>280</v>
      </c>
      <c r="B45" s="415">
        <v>0</v>
      </c>
      <c r="C45" s="415">
        <v>9.8000000000000007</v>
      </c>
      <c r="D45" s="416">
        <v>9.8000000000000007</v>
      </c>
      <c r="E45" s="426" t="s">
        <v>251</v>
      </c>
      <c r="F45" s="415">
        <v>7.7354132207830002</v>
      </c>
      <c r="G45" s="416">
        <v>7.7354132207830002</v>
      </c>
      <c r="H45" s="418">
        <v>0</v>
      </c>
      <c r="I45" s="415">
        <v>0</v>
      </c>
      <c r="J45" s="416">
        <v>-7.7354132207830002</v>
      </c>
      <c r="K45" s="419">
        <v>0</v>
      </c>
    </row>
    <row r="46" spans="1:11" ht="14.4" customHeight="1" thickBot="1" x14ac:dyDescent="0.35">
      <c r="A46" s="433" t="s">
        <v>281</v>
      </c>
      <c r="B46" s="415">
        <v>48</v>
      </c>
      <c r="C46" s="415">
        <v>60.269359999999999</v>
      </c>
      <c r="D46" s="416">
        <v>12.269360000000001</v>
      </c>
      <c r="E46" s="417">
        <v>1.255611666666</v>
      </c>
      <c r="F46" s="415">
        <v>60.976339613748998</v>
      </c>
      <c r="G46" s="416">
        <v>60.976339613748998</v>
      </c>
      <c r="H46" s="418">
        <v>4.6341200000000002</v>
      </c>
      <c r="I46" s="415">
        <v>128.91973999999999</v>
      </c>
      <c r="J46" s="416">
        <v>67.943400386251</v>
      </c>
      <c r="K46" s="419">
        <v>2.1142584290330002</v>
      </c>
    </row>
    <row r="47" spans="1:11" ht="14.4" customHeight="1" thickBot="1" x14ac:dyDescent="0.35">
      <c r="A47" s="434" t="s">
        <v>282</v>
      </c>
      <c r="B47" s="415">
        <v>48</v>
      </c>
      <c r="C47" s="415">
        <v>58.769359999999999</v>
      </c>
      <c r="D47" s="416">
        <v>10.769360000000001</v>
      </c>
      <c r="E47" s="417">
        <v>1.224361666666</v>
      </c>
      <c r="F47" s="415">
        <v>60.976339613748998</v>
      </c>
      <c r="G47" s="416">
        <v>60.976339613748998</v>
      </c>
      <c r="H47" s="418">
        <v>4.6341200000000002</v>
      </c>
      <c r="I47" s="415">
        <v>101.02719</v>
      </c>
      <c r="J47" s="416">
        <v>40.050850386249998</v>
      </c>
      <c r="K47" s="419">
        <v>1.6568260843460001</v>
      </c>
    </row>
    <row r="48" spans="1:11" ht="14.4" customHeight="1" thickBot="1" x14ac:dyDescent="0.35">
      <c r="A48" s="435" t="s">
        <v>283</v>
      </c>
      <c r="B48" s="415">
        <v>48</v>
      </c>
      <c r="C48" s="415">
        <v>58.769359999999999</v>
      </c>
      <c r="D48" s="416">
        <v>10.769360000000001</v>
      </c>
      <c r="E48" s="417">
        <v>1.224361666666</v>
      </c>
      <c r="F48" s="415">
        <v>60.976339613748998</v>
      </c>
      <c r="G48" s="416">
        <v>60.976339613748998</v>
      </c>
      <c r="H48" s="418">
        <v>4.6341200000000002</v>
      </c>
      <c r="I48" s="415">
        <v>101.02719</v>
      </c>
      <c r="J48" s="416">
        <v>40.050850386249998</v>
      </c>
      <c r="K48" s="419">
        <v>1.6568260843460001</v>
      </c>
    </row>
    <row r="49" spans="1:11" ht="14.4" customHeight="1" thickBot="1" x14ac:dyDescent="0.35">
      <c r="A49" s="436" t="s">
        <v>284</v>
      </c>
      <c r="B49" s="420">
        <v>0</v>
      </c>
      <c r="C49" s="420">
        <v>0.59584000000000004</v>
      </c>
      <c r="D49" s="421">
        <v>0.59584000000000004</v>
      </c>
      <c r="E49" s="425" t="s">
        <v>251</v>
      </c>
      <c r="F49" s="420">
        <v>1.274917889605</v>
      </c>
      <c r="G49" s="421">
        <v>1.274917889605</v>
      </c>
      <c r="H49" s="423">
        <v>9.7129999999999994E-2</v>
      </c>
      <c r="I49" s="420">
        <v>1.7194799999999999</v>
      </c>
      <c r="J49" s="421">
        <v>0.44456211039400001</v>
      </c>
      <c r="K49" s="424">
        <v>1.348698621314</v>
      </c>
    </row>
    <row r="50" spans="1:11" ht="14.4" customHeight="1" thickBot="1" x14ac:dyDescent="0.35">
      <c r="A50" s="437" t="s">
        <v>285</v>
      </c>
      <c r="B50" s="415">
        <v>0</v>
      </c>
      <c r="C50" s="415">
        <v>0.59584000000000004</v>
      </c>
      <c r="D50" s="416">
        <v>0.59584000000000004</v>
      </c>
      <c r="E50" s="426" t="s">
        <v>251</v>
      </c>
      <c r="F50" s="415">
        <v>1.274917889605</v>
      </c>
      <c r="G50" s="416">
        <v>1.274917889605</v>
      </c>
      <c r="H50" s="418">
        <v>9.7129999999999994E-2</v>
      </c>
      <c r="I50" s="415">
        <v>1.7194799999999999</v>
      </c>
      <c r="J50" s="416">
        <v>0.44456211039400001</v>
      </c>
      <c r="K50" s="419">
        <v>1.348698621314</v>
      </c>
    </row>
    <row r="51" spans="1:11" ht="14.4" customHeight="1" thickBot="1" x14ac:dyDescent="0.35">
      <c r="A51" s="439" t="s">
        <v>286</v>
      </c>
      <c r="B51" s="415">
        <v>0</v>
      </c>
      <c r="C51" s="415">
        <v>0.39760000000000001</v>
      </c>
      <c r="D51" s="416">
        <v>0.39760000000000001</v>
      </c>
      <c r="E51" s="426" t="s">
        <v>251</v>
      </c>
      <c r="F51" s="415">
        <v>0.39765726080000002</v>
      </c>
      <c r="G51" s="416">
        <v>0.39765726080000002</v>
      </c>
      <c r="H51" s="418">
        <v>0</v>
      </c>
      <c r="I51" s="415">
        <v>1.4679199999999999</v>
      </c>
      <c r="J51" s="416">
        <v>1.0702627391990001</v>
      </c>
      <c r="K51" s="419">
        <v>3.6914200863470001</v>
      </c>
    </row>
    <row r="52" spans="1:11" ht="14.4" customHeight="1" thickBot="1" x14ac:dyDescent="0.35">
      <c r="A52" s="437" t="s">
        <v>287</v>
      </c>
      <c r="B52" s="415">
        <v>0</v>
      </c>
      <c r="C52" s="415">
        <v>0.39760000000000001</v>
      </c>
      <c r="D52" s="416">
        <v>0.39760000000000001</v>
      </c>
      <c r="E52" s="426" t="s">
        <v>251</v>
      </c>
      <c r="F52" s="415">
        <v>0.39765726080000002</v>
      </c>
      <c r="G52" s="416">
        <v>0.39765726080000002</v>
      </c>
      <c r="H52" s="418">
        <v>0</v>
      </c>
      <c r="I52" s="415">
        <v>1.4679199999999999</v>
      </c>
      <c r="J52" s="416">
        <v>1.0702627391990001</v>
      </c>
      <c r="K52" s="419">
        <v>3.6914200863470001</v>
      </c>
    </row>
    <row r="53" spans="1:11" ht="14.4" customHeight="1" thickBot="1" x14ac:dyDescent="0.35">
      <c r="A53" s="436" t="s">
        <v>288</v>
      </c>
      <c r="B53" s="420">
        <v>48</v>
      </c>
      <c r="C53" s="420">
        <v>56.968600000000002</v>
      </c>
      <c r="D53" s="421">
        <v>8.9686000000000003</v>
      </c>
      <c r="E53" s="422">
        <v>1.1868458333330001</v>
      </c>
      <c r="F53" s="420">
        <v>59.303764463341999</v>
      </c>
      <c r="G53" s="421">
        <v>59.303764463341999</v>
      </c>
      <c r="H53" s="423">
        <v>4.54047</v>
      </c>
      <c r="I53" s="420">
        <v>95.451859999999996</v>
      </c>
      <c r="J53" s="421">
        <v>36.148095536657003</v>
      </c>
      <c r="K53" s="424">
        <v>1.609541331208</v>
      </c>
    </row>
    <row r="54" spans="1:11" ht="14.4" customHeight="1" thickBot="1" x14ac:dyDescent="0.35">
      <c r="A54" s="437" t="s">
        <v>289</v>
      </c>
      <c r="B54" s="415">
        <v>23</v>
      </c>
      <c r="C54" s="415">
        <v>23.046009999999999</v>
      </c>
      <c r="D54" s="416">
        <v>4.6009999998999997E-2</v>
      </c>
      <c r="E54" s="417">
        <v>1.002000434782</v>
      </c>
      <c r="F54" s="415">
        <v>24.835623740237999</v>
      </c>
      <c r="G54" s="416">
        <v>24.835623740237999</v>
      </c>
      <c r="H54" s="418">
        <v>1.15316</v>
      </c>
      <c r="I54" s="415">
        <v>39.414760000000001</v>
      </c>
      <c r="J54" s="416">
        <v>14.579136259761</v>
      </c>
      <c r="K54" s="419">
        <v>1.5870251704659999</v>
      </c>
    </row>
    <row r="55" spans="1:11" ht="14.4" customHeight="1" thickBot="1" x14ac:dyDescent="0.35">
      <c r="A55" s="437" t="s">
        <v>290</v>
      </c>
      <c r="B55" s="415">
        <v>25</v>
      </c>
      <c r="C55" s="415">
        <v>33.92259</v>
      </c>
      <c r="D55" s="416">
        <v>8.9225899999999996</v>
      </c>
      <c r="E55" s="417">
        <v>1.3569036000000001</v>
      </c>
      <c r="F55" s="415">
        <v>34.468140723104</v>
      </c>
      <c r="G55" s="416">
        <v>34.468140723104</v>
      </c>
      <c r="H55" s="418">
        <v>3.3873099999999998</v>
      </c>
      <c r="I55" s="415">
        <v>56.037100000000002</v>
      </c>
      <c r="J55" s="416">
        <v>21.568959276895001</v>
      </c>
      <c r="K55" s="419">
        <v>1.6257650927609999</v>
      </c>
    </row>
    <row r="56" spans="1:11" ht="14.4" customHeight="1" thickBot="1" x14ac:dyDescent="0.35">
      <c r="A56" s="436" t="s">
        <v>291</v>
      </c>
      <c r="B56" s="420">
        <v>0</v>
      </c>
      <c r="C56" s="420">
        <v>0.80732000000000004</v>
      </c>
      <c r="D56" s="421">
        <v>0.80732000000000004</v>
      </c>
      <c r="E56" s="425" t="s">
        <v>242</v>
      </c>
      <c r="F56" s="420">
        <v>0</v>
      </c>
      <c r="G56" s="421">
        <v>0</v>
      </c>
      <c r="H56" s="423">
        <v>-3.48E-3</v>
      </c>
      <c r="I56" s="420">
        <v>2.3879299999999999</v>
      </c>
      <c r="J56" s="421">
        <v>2.3879299999999999</v>
      </c>
      <c r="K56" s="427" t="s">
        <v>242</v>
      </c>
    </row>
    <row r="57" spans="1:11" ht="14.4" customHeight="1" thickBot="1" x14ac:dyDescent="0.35">
      <c r="A57" s="437" t="s">
        <v>292</v>
      </c>
      <c r="B57" s="415">
        <v>0</v>
      </c>
      <c r="C57" s="415">
        <v>0.60794999999999999</v>
      </c>
      <c r="D57" s="416">
        <v>0.60794999999999999</v>
      </c>
      <c r="E57" s="426" t="s">
        <v>242</v>
      </c>
      <c r="F57" s="415">
        <v>0</v>
      </c>
      <c r="G57" s="416">
        <v>0</v>
      </c>
      <c r="H57" s="418">
        <v>0</v>
      </c>
      <c r="I57" s="415">
        <v>1.03813</v>
      </c>
      <c r="J57" s="416">
        <v>1.03813</v>
      </c>
      <c r="K57" s="428" t="s">
        <v>242</v>
      </c>
    </row>
    <row r="58" spans="1:11" ht="14.4" customHeight="1" thickBot="1" x14ac:dyDescent="0.35">
      <c r="A58" s="437" t="s">
        <v>293</v>
      </c>
      <c r="B58" s="415">
        <v>0</v>
      </c>
      <c r="C58" s="415">
        <v>0.19936999999999999</v>
      </c>
      <c r="D58" s="416">
        <v>0.19936999999999999</v>
      </c>
      <c r="E58" s="426" t="s">
        <v>242</v>
      </c>
      <c r="F58" s="415">
        <v>0</v>
      </c>
      <c r="G58" s="416">
        <v>0</v>
      </c>
      <c r="H58" s="418">
        <v>-3.48E-3</v>
      </c>
      <c r="I58" s="415">
        <v>1.3498000000000001</v>
      </c>
      <c r="J58" s="416">
        <v>1.3498000000000001</v>
      </c>
      <c r="K58" s="428" t="s">
        <v>242</v>
      </c>
    </row>
    <row r="59" spans="1:11" ht="14.4" customHeight="1" thickBot="1" x14ac:dyDescent="0.35">
      <c r="A59" s="434" t="s">
        <v>294</v>
      </c>
      <c r="B59" s="415">
        <v>0</v>
      </c>
      <c r="C59" s="415">
        <v>1.5</v>
      </c>
      <c r="D59" s="416">
        <v>1.5</v>
      </c>
      <c r="E59" s="426" t="s">
        <v>242</v>
      </c>
      <c r="F59" s="415">
        <v>0</v>
      </c>
      <c r="G59" s="416">
        <v>0</v>
      </c>
      <c r="H59" s="418">
        <v>0</v>
      </c>
      <c r="I59" s="415">
        <v>27.89255</v>
      </c>
      <c r="J59" s="416">
        <v>27.89255</v>
      </c>
      <c r="K59" s="428" t="s">
        <v>242</v>
      </c>
    </row>
    <row r="60" spans="1:11" ht="14.4" customHeight="1" thickBot="1" x14ac:dyDescent="0.35">
      <c r="A60" s="435" t="s">
        <v>295</v>
      </c>
      <c r="B60" s="415">
        <v>0</v>
      </c>
      <c r="C60" s="415">
        <v>1.5</v>
      </c>
      <c r="D60" s="416">
        <v>1.5</v>
      </c>
      <c r="E60" s="426" t="s">
        <v>251</v>
      </c>
      <c r="F60" s="415">
        <v>0</v>
      </c>
      <c r="G60" s="416">
        <v>0</v>
      </c>
      <c r="H60" s="418">
        <v>0</v>
      </c>
      <c r="I60" s="415">
        <v>25</v>
      </c>
      <c r="J60" s="416">
        <v>25</v>
      </c>
      <c r="K60" s="428" t="s">
        <v>242</v>
      </c>
    </row>
    <row r="61" spans="1:11" ht="14.4" customHeight="1" thickBot="1" x14ac:dyDescent="0.35">
      <c r="A61" s="436" t="s">
        <v>296</v>
      </c>
      <c r="B61" s="420">
        <v>0</v>
      </c>
      <c r="C61" s="420">
        <v>1.5</v>
      </c>
      <c r="D61" s="421">
        <v>1.5</v>
      </c>
      <c r="E61" s="425" t="s">
        <v>251</v>
      </c>
      <c r="F61" s="420">
        <v>0</v>
      </c>
      <c r="G61" s="421">
        <v>0</v>
      </c>
      <c r="H61" s="423">
        <v>0</v>
      </c>
      <c r="I61" s="420">
        <v>25</v>
      </c>
      <c r="J61" s="421">
        <v>25</v>
      </c>
      <c r="K61" s="427" t="s">
        <v>242</v>
      </c>
    </row>
    <row r="62" spans="1:11" ht="14.4" customHeight="1" thickBot="1" x14ac:dyDescent="0.35">
      <c r="A62" s="437" t="s">
        <v>297</v>
      </c>
      <c r="B62" s="415">
        <v>0</v>
      </c>
      <c r="C62" s="415">
        <v>1.5</v>
      </c>
      <c r="D62" s="416">
        <v>1.5</v>
      </c>
      <c r="E62" s="426" t="s">
        <v>251</v>
      </c>
      <c r="F62" s="415">
        <v>0</v>
      </c>
      <c r="G62" s="416">
        <v>0</v>
      </c>
      <c r="H62" s="418">
        <v>0</v>
      </c>
      <c r="I62" s="415">
        <v>25</v>
      </c>
      <c r="J62" s="416">
        <v>25</v>
      </c>
      <c r="K62" s="428" t="s">
        <v>242</v>
      </c>
    </row>
    <row r="63" spans="1:11" ht="14.4" customHeight="1" thickBot="1" x14ac:dyDescent="0.35">
      <c r="A63" s="440" t="s">
        <v>298</v>
      </c>
      <c r="B63" s="420">
        <v>0</v>
      </c>
      <c r="C63" s="420">
        <v>0</v>
      </c>
      <c r="D63" s="421">
        <v>0</v>
      </c>
      <c r="E63" s="425" t="s">
        <v>242</v>
      </c>
      <c r="F63" s="420">
        <v>0</v>
      </c>
      <c r="G63" s="421">
        <v>0</v>
      </c>
      <c r="H63" s="423">
        <v>0</v>
      </c>
      <c r="I63" s="420">
        <v>2.89255</v>
      </c>
      <c r="J63" s="421">
        <v>2.89255</v>
      </c>
      <c r="K63" s="427" t="s">
        <v>242</v>
      </c>
    </row>
    <row r="64" spans="1:11" ht="14.4" customHeight="1" thickBot="1" x14ac:dyDescent="0.35">
      <c r="A64" s="436" t="s">
        <v>299</v>
      </c>
      <c r="B64" s="420">
        <v>0</v>
      </c>
      <c r="C64" s="420">
        <v>0</v>
      </c>
      <c r="D64" s="421">
        <v>0</v>
      </c>
      <c r="E64" s="422">
        <v>1</v>
      </c>
      <c r="F64" s="420">
        <v>0</v>
      </c>
      <c r="G64" s="421">
        <v>0</v>
      </c>
      <c r="H64" s="423">
        <v>0</v>
      </c>
      <c r="I64" s="420">
        <v>-5.0000000000000002E-5</v>
      </c>
      <c r="J64" s="421">
        <v>-5.0000000000000002E-5</v>
      </c>
      <c r="K64" s="427" t="s">
        <v>242</v>
      </c>
    </row>
    <row r="65" spans="1:11" ht="14.4" customHeight="1" thickBot="1" x14ac:dyDescent="0.35">
      <c r="A65" s="437" t="s">
        <v>300</v>
      </c>
      <c r="B65" s="415">
        <v>0</v>
      </c>
      <c r="C65" s="415">
        <v>0</v>
      </c>
      <c r="D65" s="416">
        <v>0</v>
      </c>
      <c r="E65" s="417">
        <v>1</v>
      </c>
      <c r="F65" s="415">
        <v>0</v>
      </c>
      <c r="G65" s="416">
        <v>0</v>
      </c>
      <c r="H65" s="418">
        <v>0</v>
      </c>
      <c r="I65" s="415">
        <v>-5.0000000000000002E-5</v>
      </c>
      <c r="J65" s="416">
        <v>-5.0000000000000002E-5</v>
      </c>
      <c r="K65" s="428" t="s">
        <v>251</v>
      </c>
    </row>
    <row r="66" spans="1:11" ht="14.4" customHeight="1" thickBot="1" x14ac:dyDescent="0.35">
      <c r="A66" s="436" t="s">
        <v>301</v>
      </c>
      <c r="B66" s="420">
        <v>0</v>
      </c>
      <c r="C66" s="420">
        <v>0</v>
      </c>
      <c r="D66" s="421">
        <v>0</v>
      </c>
      <c r="E66" s="425" t="s">
        <v>242</v>
      </c>
      <c r="F66" s="420">
        <v>0</v>
      </c>
      <c r="G66" s="421">
        <v>0</v>
      </c>
      <c r="H66" s="423">
        <v>0</v>
      </c>
      <c r="I66" s="420">
        <v>2.8925999999999998</v>
      </c>
      <c r="J66" s="421">
        <v>2.8925999999999998</v>
      </c>
      <c r="K66" s="427" t="s">
        <v>251</v>
      </c>
    </row>
    <row r="67" spans="1:11" ht="14.4" customHeight="1" thickBot="1" x14ac:dyDescent="0.35">
      <c r="A67" s="437" t="s">
        <v>302</v>
      </c>
      <c r="B67" s="415">
        <v>0</v>
      </c>
      <c r="C67" s="415">
        <v>0</v>
      </c>
      <c r="D67" s="416">
        <v>0</v>
      </c>
      <c r="E67" s="417">
        <v>1</v>
      </c>
      <c r="F67" s="415">
        <v>0</v>
      </c>
      <c r="G67" s="416">
        <v>0</v>
      </c>
      <c r="H67" s="418">
        <v>0</v>
      </c>
      <c r="I67" s="415">
        <v>2.8925999999999998</v>
      </c>
      <c r="J67" s="416">
        <v>2.8925999999999998</v>
      </c>
      <c r="K67" s="428" t="s">
        <v>251</v>
      </c>
    </row>
    <row r="68" spans="1:11" ht="14.4" customHeight="1" thickBot="1" x14ac:dyDescent="0.35">
      <c r="A68" s="433" t="s">
        <v>303</v>
      </c>
      <c r="B68" s="415">
        <v>278.85684610689401</v>
      </c>
      <c r="C68" s="415">
        <v>321.21145000000001</v>
      </c>
      <c r="D68" s="416">
        <v>42.354603893106002</v>
      </c>
      <c r="E68" s="417">
        <v>1.151886548544</v>
      </c>
      <c r="F68" s="415">
        <v>305.65539494870097</v>
      </c>
      <c r="G68" s="416">
        <v>305.65539494870097</v>
      </c>
      <c r="H68" s="418">
        <v>36.907670000000003</v>
      </c>
      <c r="I68" s="415">
        <v>316.08514000000002</v>
      </c>
      <c r="J68" s="416">
        <v>10.429745051298999</v>
      </c>
      <c r="K68" s="419">
        <v>1.0341225616280001</v>
      </c>
    </row>
    <row r="69" spans="1:11" ht="14.4" customHeight="1" thickBot="1" x14ac:dyDescent="0.35">
      <c r="A69" s="438" t="s">
        <v>304</v>
      </c>
      <c r="B69" s="420">
        <v>278.85684610689401</v>
      </c>
      <c r="C69" s="420">
        <v>321.21145000000001</v>
      </c>
      <c r="D69" s="421">
        <v>42.354603893106002</v>
      </c>
      <c r="E69" s="422">
        <v>1.151886548544</v>
      </c>
      <c r="F69" s="420">
        <v>305.65539494870097</v>
      </c>
      <c r="G69" s="421">
        <v>305.65539494870097</v>
      </c>
      <c r="H69" s="423">
        <v>36.907670000000003</v>
      </c>
      <c r="I69" s="420">
        <v>316.08514000000002</v>
      </c>
      <c r="J69" s="421">
        <v>10.429745051298999</v>
      </c>
      <c r="K69" s="424">
        <v>1.0341225616280001</v>
      </c>
    </row>
    <row r="70" spans="1:11" ht="14.4" customHeight="1" thickBot="1" x14ac:dyDescent="0.35">
      <c r="A70" s="440" t="s">
        <v>51</v>
      </c>
      <c r="B70" s="420">
        <v>278.85684610689401</v>
      </c>
      <c r="C70" s="420">
        <v>321.21145000000001</v>
      </c>
      <c r="D70" s="421">
        <v>42.354603893106002</v>
      </c>
      <c r="E70" s="422">
        <v>1.151886548544</v>
      </c>
      <c r="F70" s="420">
        <v>305.65539494870097</v>
      </c>
      <c r="G70" s="421">
        <v>305.65539494870097</v>
      </c>
      <c r="H70" s="423">
        <v>36.907670000000003</v>
      </c>
      <c r="I70" s="420">
        <v>316.08514000000002</v>
      </c>
      <c r="J70" s="421">
        <v>10.429745051298999</v>
      </c>
      <c r="K70" s="424">
        <v>1.0341225616280001</v>
      </c>
    </row>
    <row r="71" spans="1:11" ht="14.4" customHeight="1" thickBot="1" x14ac:dyDescent="0.35">
      <c r="A71" s="436" t="s">
        <v>305</v>
      </c>
      <c r="B71" s="420">
        <v>119.44878591118599</v>
      </c>
      <c r="C71" s="420">
        <v>122.49681</v>
      </c>
      <c r="D71" s="421">
        <v>3.0480240888129999</v>
      </c>
      <c r="E71" s="422">
        <v>1.0255174137230001</v>
      </c>
      <c r="F71" s="420">
        <v>133.88959628331199</v>
      </c>
      <c r="G71" s="421">
        <v>133.88959628331199</v>
      </c>
      <c r="H71" s="423">
        <v>9.3714200000000005</v>
      </c>
      <c r="I71" s="420">
        <v>112.13939000000001</v>
      </c>
      <c r="J71" s="421">
        <v>-21.750206283312</v>
      </c>
      <c r="K71" s="424">
        <v>0.83755118480299995</v>
      </c>
    </row>
    <row r="72" spans="1:11" ht="14.4" customHeight="1" thickBot="1" x14ac:dyDescent="0.35">
      <c r="A72" s="437" t="s">
        <v>306</v>
      </c>
      <c r="B72" s="415">
        <v>119.44878591118599</v>
      </c>
      <c r="C72" s="415">
        <v>122.49681</v>
      </c>
      <c r="D72" s="416">
        <v>3.0480240888129999</v>
      </c>
      <c r="E72" s="417">
        <v>1.0255174137230001</v>
      </c>
      <c r="F72" s="415">
        <v>133.88959628331199</v>
      </c>
      <c r="G72" s="416">
        <v>133.88959628331199</v>
      </c>
      <c r="H72" s="418">
        <v>9.3714200000000005</v>
      </c>
      <c r="I72" s="415">
        <v>112.13939000000001</v>
      </c>
      <c r="J72" s="416">
        <v>-21.750206283312</v>
      </c>
      <c r="K72" s="419">
        <v>0.83755118480299995</v>
      </c>
    </row>
    <row r="73" spans="1:11" ht="14.4" customHeight="1" thickBot="1" x14ac:dyDescent="0.35">
      <c r="A73" s="436" t="s">
        <v>307</v>
      </c>
      <c r="B73" s="420">
        <v>159.40806019570701</v>
      </c>
      <c r="C73" s="420">
        <v>198.71464</v>
      </c>
      <c r="D73" s="421">
        <v>39.306579804291999</v>
      </c>
      <c r="E73" s="422">
        <v>1.24657837098</v>
      </c>
      <c r="F73" s="420">
        <v>171.76579866538799</v>
      </c>
      <c r="G73" s="421">
        <v>171.76579866538799</v>
      </c>
      <c r="H73" s="423">
        <v>27.536249999999999</v>
      </c>
      <c r="I73" s="420">
        <v>203.94575</v>
      </c>
      <c r="J73" s="421">
        <v>32.179951334610998</v>
      </c>
      <c r="K73" s="424">
        <v>1.187347839818</v>
      </c>
    </row>
    <row r="74" spans="1:11" ht="14.4" customHeight="1" thickBot="1" x14ac:dyDescent="0.35">
      <c r="A74" s="437" t="s">
        <v>308</v>
      </c>
      <c r="B74" s="415">
        <v>159.40806019570701</v>
      </c>
      <c r="C74" s="415">
        <v>198.71464</v>
      </c>
      <c r="D74" s="416">
        <v>39.306579804291999</v>
      </c>
      <c r="E74" s="417">
        <v>1.24657837098</v>
      </c>
      <c r="F74" s="415">
        <v>171.76579866538799</v>
      </c>
      <c r="G74" s="416">
        <v>171.76579866538799</v>
      </c>
      <c r="H74" s="418">
        <v>27.536249999999999</v>
      </c>
      <c r="I74" s="415">
        <v>203.94575</v>
      </c>
      <c r="J74" s="416">
        <v>32.179951334610998</v>
      </c>
      <c r="K74" s="419">
        <v>1.187347839818</v>
      </c>
    </row>
    <row r="75" spans="1:11" ht="14.4" customHeight="1" thickBot="1" x14ac:dyDescent="0.35">
      <c r="A75" s="441"/>
      <c r="B75" s="415">
        <v>-2015.37988363258</v>
      </c>
      <c r="C75" s="415">
        <v>-2312.1840299999999</v>
      </c>
      <c r="D75" s="416">
        <v>-296.80414636741801</v>
      </c>
      <c r="E75" s="417">
        <v>1.147269578692</v>
      </c>
      <c r="F75" s="415">
        <v>-2171.9284161892101</v>
      </c>
      <c r="G75" s="416">
        <v>-2171.9284161892101</v>
      </c>
      <c r="H75" s="418">
        <v>-288.64945000000102</v>
      </c>
      <c r="I75" s="415">
        <v>-2162.3303599999999</v>
      </c>
      <c r="J75" s="416">
        <v>9.5980561892090002</v>
      </c>
      <c r="K75" s="419">
        <v>0.99558085979300004</v>
      </c>
    </row>
    <row r="76" spans="1:11" ht="14.4" customHeight="1" thickBot="1" x14ac:dyDescent="0.35">
      <c r="A76" s="442" t="s">
        <v>63</v>
      </c>
      <c r="B76" s="429">
        <v>-2015.37988363258</v>
      </c>
      <c r="C76" s="429">
        <v>-2312.1840299999999</v>
      </c>
      <c r="D76" s="430">
        <v>-296.80414636741801</v>
      </c>
      <c r="E76" s="431">
        <v>-1.0457371734059999</v>
      </c>
      <c r="F76" s="429">
        <v>-2171.9284161892101</v>
      </c>
      <c r="G76" s="430">
        <v>-2171.9284161892101</v>
      </c>
      <c r="H76" s="429">
        <v>-288.64945000000102</v>
      </c>
      <c r="I76" s="429">
        <v>-2162.3303599999999</v>
      </c>
      <c r="J76" s="430">
        <v>9.5980561892090002</v>
      </c>
      <c r="K76" s="432">
        <v>0.99558085979300004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6" customWidth="1"/>
    <col min="2" max="2" width="34.21875" style="126" customWidth="1"/>
    <col min="3" max="3" width="11.109375" style="126" bestFit="1" customWidth="1"/>
    <col min="4" max="4" width="7.33203125" style="126" bestFit="1" customWidth="1"/>
    <col min="5" max="5" width="11.109375" style="126" bestFit="1" customWidth="1"/>
    <col min="6" max="6" width="5.33203125" style="126" customWidth="1"/>
    <col min="7" max="7" width="7.33203125" style="126" bestFit="1" customWidth="1"/>
    <col min="8" max="8" width="5.33203125" style="126" customWidth="1"/>
    <col min="9" max="9" width="11.109375" style="126" customWidth="1"/>
    <col min="10" max="10" width="5.33203125" style="126" customWidth="1"/>
    <col min="11" max="11" width="7.33203125" style="126" customWidth="1"/>
    <col min="12" max="12" width="5.33203125" style="126" customWidth="1"/>
    <col min="13" max="13" width="0" style="126" hidden="1" customWidth="1"/>
    <col min="14" max="16384" width="8.88671875" style="126"/>
  </cols>
  <sheetData>
    <row r="1" spans="1:14" ht="18.600000000000001" customHeight="1" thickBot="1" x14ac:dyDescent="0.4">
      <c r="A1" s="330" t="s">
        <v>129</v>
      </c>
      <c r="B1" s="330"/>
      <c r="C1" s="330"/>
      <c r="D1" s="330"/>
      <c r="E1" s="330"/>
      <c r="F1" s="330"/>
      <c r="G1" s="330"/>
      <c r="H1" s="330"/>
      <c r="I1" s="301"/>
      <c r="J1" s="301"/>
      <c r="K1" s="301"/>
      <c r="L1" s="301"/>
    </row>
    <row r="2" spans="1:14" ht="14.4" customHeight="1" thickBot="1" x14ac:dyDescent="0.35">
      <c r="A2" s="225" t="s">
        <v>241</v>
      </c>
      <c r="B2" s="202"/>
      <c r="C2" s="202"/>
      <c r="D2" s="202"/>
      <c r="E2" s="202"/>
      <c r="F2" s="202"/>
      <c r="G2" s="202"/>
      <c r="H2" s="202"/>
    </row>
    <row r="3" spans="1:14" ht="14.4" customHeight="1" thickBot="1" x14ac:dyDescent="0.35">
      <c r="A3" s="139"/>
      <c r="B3" s="139"/>
      <c r="C3" s="341" t="s">
        <v>12</v>
      </c>
      <c r="D3" s="340"/>
      <c r="E3" s="340" t="s">
        <v>13</v>
      </c>
      <c r="F3" s="340"/>
      <c r="G3" s="340"/>
      <c r="H3" s="340"/>
      <c r="I3" s="340" t="s">
        <v>134</v>
      </c>
      <c r="J3" s="340"/>
      <c r="K3" s="340"/>
      <c r="L3" s="342"/>
    </row>
    <row r="4" spans="1:14" ht="14.4" customHeight="1" thickBot="1" x14ac:dyDescent="0.35">
      <c r="A4" s="80" t="s">
        <v>14</v>
      </c>
      <c r="B4" s="81" t="s">
        <v>15</v>
      </c>
      <c r="C4" s="82" t="s">
        <v>16</v>
      </c>
      <c r="D4" s="82" t="s">
        <v>17</v>
      </c>
      <c r="E4" s="82" t="s">
        <v>16</v>
      </c>
      <c r="F4" s="82" t="s">
        <v>2</v>
      </c>
      <c r="G4" s="82" t="s">
        <v>17</v>
      </c>
      <c r="H4" s="82" t="s">
        <v>2</v>
      </c>
      <c r="I4" s="82" t="s">
        <v>16</v>
      </c>
      <c r="J4" s="82" t="s">
        <v>2</v>
      </c>
      <c r="K4" s="82" t="s">
        <v>17</v>
      </c>
      <c r="L4" s="83" t="s">
        <v>2</v>
      </c>
    </row>
    <row r="5" spans="1:14" ht="14.4" customHeight="1" x14ac:dyDescent="0.3">
      <c r="A5" s="443">
        <v>43</v>
      </c>
      <c r="B5" s="444" t="s">
        <v>309</v>
      </c>
      <c r="C5" s="445">
        <v>2564.71</v>
      </c>
      <c r="D5" s="445">
        <v>4</v>
      </c>
      <c r="E5" s="445">
        <v>516.48</v>
      </c>
      <c r="F5" s="446">
        <v>0.20137949319806139</v>
      </c>
      <c r="G5" s="445">
        <v>2</v>
      </c>
      <c r="H5" s="446">
        <v>0.5</v>
      </c>
      <c r="I5" s="445">
        <v>2048.23</v>
      </c>
      <c r="J5" s="446">
        <v>0.79862050680193863</v>
      </c>
      <c r="K5" s="445">
        <v>2</v>
      </c>
      <c r="L5" s="446">
        <v>0.5</v>
      </c>
      <c r="M5" s="445" t="s">
        <v>65</v>
      </c>
      <c r="N5" s="146"/>
    </row>
    <row r="6" spans="1:14" ht="14.4" customHeight="1" x14ac:dyDescent="0.3">
      <c r="A6" s="443">
        <v>43</v>
      </c>
      <c r="B6" s="444" t="s">
        <v>310</v>
      </c>
      <c r="C6" s="445">
        <v>2564.71</v>
      </c>
      <c r="D6" s="445">
        <v>4</v>
      </c>
      <c r="E6" s="445">
        <v>516.48</v>
      </c>
      <c r="F6" s="446">
        <v>0.20137949319806139</v>
      </c>
      <c r="G6" s="445">
        <v>2</v>
      </c>
      <c r="H6" s="446">
        <v>0.5</v>
      </c>
      <c r="I6" s="445">
        <v>2048.23</v>
      </c>
      <c r="J6" s="446">
        <v>0.79862050680193863</v>
      </c>
      <c r="K6" s="445">
        <v>2</v>
      </c>
      <c r="L6" s="446">
        <v>0.5</v>
      </c>
      <c r="M6" s="445" t="s">
        <v>1</v>
      </c>
      <c r="N6" s="146"/>
    </row>
    <row r="7" spans="1:14" ht="14.4" customHeight="1" x14ac:dyDescent="0.3">
      <c r="A7" s="443" t="s">
        <v>311</v>
      </c>
      <c r="B7" s="444" t="s">
        <v>3</v>
      </c>
      <c r="C7" s="445">
        <v>2564.71</v>
      </c>
      <c r="D7" s="445">
        <v>4</v>
      </c>
      <c r="E7" s="445">
        <v>516.48</v>
      </c>
      <c r="F7" s="446">
        <v>0.20137949319806139</v>
      </c>
      <c r="G7" s="445">
        <v>2</v>
      </c>
      <c r="H7" s="446">
        <v>0.5</v>
      </c>
      <c r="I7" s="445">
        <v>2048.23</v>
      </c>
      <c r="J7" s="446">
        <v>0.79862050680193863</v>
      </c>
      <c r="K7" s="445">
        <v>2</v>
      </c>
      <c r="L7" s="446">
        <v>0.5</v>
      </c>
      <c r="M7" s="445" t="s">
        <v>312</v>
      </c>
      <c r="N7" s="146"/>
    </row>
    <row r="9" spans="1:14" ht="14.4" customHeight="1" x14ac:dyDescent="0.3">
      <c r="A9" s="443">
        <v>43</v>
      </c>
      <c r="B9" s="444" t="s">
        <v>309</v>
      </c>
      <c r="C9" s="445" t="s">
        <v>313</v>
      </c>
      <c r="D9" s="445" t="s">
        <v>313</v>
      </c>
      <c r="E9" s="445" t="s">
        <v>313</v>
      </c>
      <c r="F9" s="446" t="s">
        <v>313</v>
      </c>
      <c r="G9" s="445" t="s">
        <v>313</v>
      </c>
      <c r="H9" s="446" t="s">
        <v>313</v>
      </c>
      <c r="I9" s="445" t="s">
        <v>313</v>
      </c>
      <c r="J9" s="446" t="s">
        <v>313</v>
      </c>
      <c r="K9" s="445" t="s">
        <v>313</v>
      </c>
      <c r="L9" s="446" t="s">
        <v>313</v>
      </c>
      <c r="M9" s="445" t="s">
        <v>65</v>
      </c>
      <c r="N9" s="146"/>
    </row>
    <row r="10" spans="1:14" ht="14.4" customHeight="1" x14ac:dyDescent="0.3">
      <c r="A10" s="443" t="s">
        <v>314</v>
      </c>
      <c r="B10" s="444" t="s">
        <v>310</v>
      </c>
      <c r="C10" s="445">
        <v>2564.71</v>
      </c>
      <c r="D10" s="445">
        <v>4</v>
      </c>
      <c r="E10" s="445">
        <v>516.48</v>
      </c>
      <c r="F10" s="446">
        <v>0.20137949319806139</v>
      </c>
      <c r="G10" s="445">
        <v>2</v>
      </c>
      <c r="H10" s="446">
        <v>0.5</v>
      </c>
      <c r="I10" s="445">
        <v>2048.23</v>
      </c>
      <c r="J10" s="446">
        <v>0.79862050680193863</v>
      </c>
      <c r="K10" s="445">
        <v>2</v>
      </c>
      <c r="L10" s="446">
        <v>0.5</v>
      </c>
      <c r="M10" s="445" t="s">
        <v>1</v>
      </c>
      <c r="N10" s="146"/>
    </row>
    <row r="11" spans="1:14" ht="14.4" customHeight="1" x14ac:dyDescent="0.3">
      <c r="A11" s="443" t="s">
        <v>314</v>
      </c>
      <c r="B11" s="444" t="s">
        <v>315</v>
      </c>
      <c r="C11" s="445">
        <v>2564.71</v>
      </c>
      <c r="D11" s="445">
        <v>4</v>
      </c>
      <c r="E11" s="445">
        <v>516.48</v>
      </c>
      <c r="F11" s="446">
        <v>0.20137949319806139</v>
      </c>
      <c r="G11" s="445">
        <v>2</v>
      </c>
      <c r="H11" s="446">
        <v>0.5</v>
      </c>
      <c r="I11" s="445">
        <v>2048.23</v>
      </c>
      <c r="J11" s="446">
        <v>0.79862050680193863</v>
      </c>
      <c r="K11" s="445">
        <v>2</v>
      </c>
      <c r="L11" s="446">
        <v>0.5</v>
      </c>
      <c r="M11" s="445" t="s">
        <v>316</v>
      </c>
      <c r="N11" s="146"/>
    </row>
    <row r="12" spans="1:14" ht="14.4" customHeight="1" x14ac:dyDescent="0.3">
      <c r="A12" s="443" t="s">
        <v>313</v>
      </c>
      <c r="B12" s="444" t="s">
        <v>313</v>
      </c>
      <c r="C12" s="445" t="s">
        <v>313</v>
      </c>
      <c r="D12" s="445" t="s">
        <v>313</v>
      </c>
      <c r="E12" s="445" t="s">
        <v>313</v>
      </c>
      <c r="F12" s="446" t="s">
        <v>313</v>
      </c>
      <c r="G12" s="445" t="s">
        <v>313</v>
      </c>
      <c r="H12" s="446" t="s">
        <v>313</v>
      </c>
      <c r="I12" s="445" t="s">
        <v>313</v>
      </c>
      <c r="J12" s="446" t="s">
        <v>313</v>
      </c>
      <c r="K12" s="445" t="s">
        <v>313</v>
      </c>
      <c r="L12" s="446" t="s">
        <v>313</v>
      </c>
      <c r="M12" s="445" t="s">
        <v>317</v>
      </c>
      <c r="N12" s="146"/>
    </row>
    <row r="13" spans="1:14" ht="14.4" customHeight="1" x14ac:dyDescent="0.3">
      <c r="A13" s="443" t="s">
        <v>311</v>
      </c>
      <c r="B13" s="444" t="s">
        <v>318</v>
      </c>
      <c r="C13" s="445">
        <v>2564.71</v>
      </c>
      <c r="D13" s="445">
        <v>4</v>
      </c>
      <c r="E13" s="445">
        <v>516.48</v>
      </c>
      <c r="F13" s="446">
        <v>0.20137949319806139</v>
      </c>
      <c r="G13" s="445">
        <v>2</v>
      </c>
      <c r="H13" s="446">
        <v>0.5</v>
      </c>
      <c r="I13" s="445">
        <v>2048.23</v>
      </c>
      <c r="J13" s="446">
        <v>0.79862050680193863</v>
      </c>
      <c r="K13" s="445">
        <v>2</v>
      </c>
      <c r="L13" s="446">
        <v>0.5</v>
      </c>
      <c r="M13" s="445" t="s">
        <v>312</v>
      </c>
      <c r="N13" s="146"/>
    </row>
    <row r="14" spans="1:14" ht="14.4" customHeight="1" x14ac:dyDescent="0.3">
      <c r="A14" s="447" t="s">
        <v>218</v>
      </c>
    </row>
    <row r="15" spans="1:14" ht="14.4" customHeight="1" x14ac:dyDescent="0.3">
      <c r="A15" s="448" t="s">
        <v>319</v>
      </c>
    </row>
    <row r="16" spans="1:14" ht="14.4" customHeight="1" x14ac:dyDescent="0.3">
      <c r="A16" s="447" t="s">
        <v>320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19" priority="15" stopIfTrue="1" operator="lessThan">
      <formula>0.6</formula>
    </cfRule>
  </conditionalFormatting>
  <conditionalFormatting sqref="B5:B7">
    <cfRule type="expression" dxfId="18" priority="10">
      <formula>AND(LEFT(M5,6)&lt;&gt;"mezera",M5&lt;&gt;"")</formula>
    </cfRule>
  </conditionalFormatting>
  <conditionalFormatting sqref="A5:A7">
    <cfRule type="expression" dxfId="17" priority="8">
      <formula>AND(M5&lt;&gt;"",M5&lt;&gt;"mezeraKL")</formula>
    </cfRule>
  </conditionalFormatting>
  <conditionalFormatting sqref="F5:F7">
    <cfRule type="cellIs" dxfId="16" priority="7" operator="lessThan">
      <formula>0.6</formula>
    </cfRule>
  </conditionalFormatting>
  <conditionalFormatting sqref="B5:L7">
    <cfRule type="expression" dxfId="15" priority="9">
      <formula>OR($M5="KL",$M5="SumaKL")</formula>
    </cfRule>
    <cfRule type="expression" dxfId="14" priority="11">
      <formula>$M5="SumaNS"</formula>
    </cfRule>
  </conditionalFormatting>
  <conditionalFormatting sqref="A5:L7">
    <cfRule type="expression" dxfId="13" priority="12">
      <formula>$M5&lt;&gt;""</formula>
    </cfRule>
  </conditionalFormatting>
  <conditionalFormatting sqref="B9:B13">
    <cfRule type="expression" dxfId="12" priority="4">
      <formula>AND(LEFT(M9,6)&lt;&gt;"mezera",M9&lt;&gt;"")</formula>
    </cfRule>
  </conditionalFormatting>
  <conditionalFormatting sqref="A9:A13">
    <cfRule type="expression" dxfId="11" priority="2">
      <formula>AND(M9&lt;&gt;"",M9&lt;&gt;"mezeraKL")</formula>
    </cfRule>
  </conditionalFormatting>
  <conditionalFormatting sqref="F9:F13">
    <cfRule type="cellIs" dxfId="10" priority="1" operator="lessThan">
      <formula>0.6</formula>
    </cfRule>
  </conditionalFormatting>
  <conditionalFormatting sqref="B9:L13">
    <cfRule type="expression" dxfId="9" priority="3">
      <formula>OR($M9="KL",$M9="SumaKL")</formula>
    </cfRule>
    <cfRule type="expression" dxfId="8" priority="5">
      <formula>$M9="SumaNS"</formula>
    </cfRule>
  </conditionalFormatting>
  <conditionalFormatting sqref="A9:L13">
    <cfRule type="expression" dxfId="7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6" customWidth="1"/>
    <col min="2" max="2" width="11.109375" style="203" bestFit="1" customWidth="1"/>
    <col min="3" max="3" width="11.109375" style="126" hidden="1" customWidth="1"/>
    <col min="4" max="4" width="7.33203125" style="203" bestFit="1" customWidth="1"/>
    <col min="5" max="5" width="7.33203125" style="126" hidden="1" customWidth="1"/>
    <col min="6" max="6" width="11.109375" style="203" bestFit="1" customWidth="1"/>
    <col min="7" max="7" width="5.33203125" style="206" customWidth="1"/>
    <col min="8" max="8" width="7.33203125" style="203" bestFit="1" customWidth="1"/>
    <col min="9" max="9" width="5.33203125" style="206" customWidth="1"/>
    <col min="10" max="10" width="11.109375" style="203" customWidth="1"/>
    <col min="11" max="11" width="5.33203125" style="206" customWidth="1"/>
    <col min="12" max="12" width="7.33203125" style="203" customWidth="1"/>
    <col min="13" max="13" width="5.33203125" style="206" customWidth="1"/>
    <col min="14" max="14" width="0" style="126" hidden="1" customWidth="1"/>
    <col min="15" max="16384" width="8.88671875" style="126"/>
  </cols>
  <sheetData>
    <row r="1" spans="1:13" ht="18.600000000000001" customHeight="1" thickBot="1" x14ac:dyDescent="0.4">
      <c r="A1" s="330" t="s">
        <v>135</v>
      </c>
      <c r="B1" s="330"/>
      <c r="C1" s="330"/>
      <c r="D1" s="330"/>
      <c r="E1" s="330"/>
      <c r="F1" s="330"/>
      <c r="G1" s="330"/>
      <c r="H1" s="330"/>
      <c r="I1" s="330"/>
      <c r="J1" s="301"/>
      <c r="K1" s="301"/>
      <c r="L1" s="301"/>
      <c r="M1" s="301"/>
    </row>
    <row r="2" spans="1:13" ht="14.4" customHeight="1" thickBot="1" x14ac:dyDescent="0.35">
      <c r="A2" s="225" t="s">
        <v>241</v>
      </c>
      <c r="B2" s="207"/>
      <c r="C2" s="202"/>
      <c r="D2" s="207"/>
      <c r="E2" s="202"/>
      <c r="F2" s="207"/>
      <c r="G2" s="208"/>
      <c r="H2" s="207"/>
      <c r="I2" s="208"/>
    </row>
    <row r="3" spans="1:13" ht="14.4" customHeight="1" thickBot="1" x14ac:dyDescent="0.35">
      <c r="A3" s="139"/>
      <c r="B3" s="341" t="s">
        <v>12</v>
      </c>
      <c r="C3" s="343"/>
      <c r="D3" s="340"/>
      <c r="E3" s="138"/>
      <c r="F3" s="340" t="s">
        <v>13</v>
      </c>
      <c r="G3" s="340"/>
      <c r="H3" s="340"/>
      <c r="I3" s="340"/>
      <c r="J3" s="340" t="s">
        <v>134</v>
      </c>
      <c r="K3" s="340"/>
      <c r="L3" s="340"/>
      <c r="M3" s="342"/>
    </row>
    <row r="4" spans="1:13" ht="14.4" customHeight="1" thickBot="1" x14ac:dyDescent="0.35">
      <c r="A4" s="449" t="s">
        <v>127</v>
      </c>
      <c r="B4" s="452" t="s">
        <v>16</v>
      </c>
      <c r="C4" s="453"/>
      <c r="D4" s="452" t="s">
        <v>17</v>
      </c>
      <c r="E4" s="453"/>
      <c r="F4" s="452" t="s">
        <v>16</v>
      </c>
      <c r="G4" s="462" t="s">
        <v>2</v>
      </c>
      <c r="H4" s="452" t="s">
        <v>17</v>
      </c>
      <c r="I4" s="462" t="s">
        <v>2</v>
      </c>
      <c r="J4" s="452" t="s">
        <v>16</v>
      </c>
      <c r="K4" s="462" t="s">
        <v>2</v>
      </c>
      <c r="L4" s="452" t="s">
        <v>17</v>
      </c>
      <c r="M4" s="463" t="s">
        <v>2</v>
      </c>
    </row>
    <row r="5" spans="1:13" ht="14.4" customHeight="1" x14ac:dyDescent="0.3">
      <c r="A5" s="450" t="s">
        <v>321</v>
      </c>
      <c r="B5" s="454">
        <v>802.66000000000008</v>
      </c>
      <c r="C5" s="455">
        <v>1</v>
      </c>
      <c r="D5" s="460">
        <v>3</v>
      </c>
      <c r="E5" s="468" t="s">
        <v>321</v>
      </c>
      <c r="F5" s="454">
        <v>516.48</v>
      </c>
      <c r="G5" s="464">
        <v>0.64346049385792237</v>
      </c>
      <c r="H5" s="456">
        <v>2</v>
      </c>
      <c r="I5" s="465">
        <v>0.66666666666666663</v>
      </c>
      <c r="J5" s="470">
        <v>286.18</v>
      </c>
      <c r="K5" s="464">
        <v>0.35653950614207758</v>
      </c>
      <c r="L5" s="456">
        <v>1</v>
      </c>
      <c r="M5" s="465">
        <v>0.33333333333333331</v>
      </c>
    </row>
    <row r="6" spans="1:13" ht="14.4" customHeight="1" thickBot="1" x14ac:dyDescent="0.35">
      <c r="A6" s="451" t="s">
        <v>322</v>
      </c>
      <c r="B6" s="457">
        <v>1762.05</v>
      </c>
      <c r="C6" s="458">
        <v>1</v>
      </c>
      <c r="D6" s="461">
        <v>1</v>
      </c>
      <c r="E6" s="469" t="s">
        <v>322</v>
      </c>
      <c r="F6" s="457"/>
      <c r="G6" s="466">
        <v>0</v>
      </c>
      <c r="H6" s="459"/>
      <c r="I6" s="467">
        <v>0</v>
      </c>
      <c r="J6" s="471">
        <v>1762.05</v>
      </c>
      <c r="K6" s="466">
        <v>1</v>
      </c>
      <c r="L6" s="459">
        <v>1</v>
      </c>
      <c r="M6" s="467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6" hidden="1" customWidth="1" outlineLevel="1"/>
    <col min="2" max="2" width="28.33203125" style="126" hidden="1" customWidth="1" outlineLevel="1"/>
    <col min="3" max="3" width="9" style="126" customWidth="1" collapsed="1"/>
    <col min="4" max="4" width="18.77734375" style="211" customWidth="1"/>
    <col min="5" max="5" width="13.5546875" style="204" customWidth="1"/>
    <col min="6" max="6" width="6" style="126" bestFit="1" customWidth="1"/>
    <col min="7" max="7" width="8.77734375" style="126" customWidth="1"/>
    <col min="8" max="8" width="5" style="126" bestFit="1" customWidth="1"/>
    <col min="9" max="9" width="8.5546875" style="126" hidden="1" customWidth="1" outlineLevel="1"/>
    <col min="10" max="10" width="25.77734375" style="126" customWidth="1" collapsed="1"/>
    <col min="11" max="11" width="8.77734375" style="126" customWidth="1"/>
    <col min="12" max="12" width="7.77734375" style="205" customWidth="1"/>
    <col min="13" max="13" width="11.109375" style="205" customWidth="1"/>
    <col min="14" max="14" width="7.77734375" style="126" customWidth="1"/>
    <col min="15" max="15" width="7.77734375" style="212" customWidth="1"/>
    <col min="16" max="16" width="11.109375" style="205" customWidth="1"/>
    <col min="17" max="17" width="5.44140625" style="206" bestFit="1" customWidth="1"/>
    <col min="18" max="18" width="7.77734375" style="126" customWidth="1"/>
    <col min="19" max="19" width="5.44140625" style="206" bestFit="1" customWidth="1"/>
    <col min="20" max="20" width="7.77734375" style="212" customWidth="1"/>
    <col min="21" max="21" width="5.44140625" style="206" bestFit="1" customWidth="1"/>
    <col min="22" max="16384" width="8.88671875" style="126"/>
  </cols>
  <sheetData>
    <row r="1" spans="1:21" ht="18.600000000000001" customHeight="1" thickBot="1" x14ac:dyDescent="0.4">
      <c r="A1" s="327" t="s">
        <v>341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</row>
    <row r="2" spans="1:21" ht="14.4" customHeight="1" thickBot="1" x14ac:dyDescent="0.35">
      <c r="A2" s="225" t="s">
        <v>241</v>
      </c>
      <c r="B2" s="209"/>
      <c r="C2" s="202"/>
      <c r="D2" s="202"/>
      <c r="E2" s="210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1:21" ht="14.4" customHeight="1" thickBot="1" x14ac:dyDescent="0.35">
      <c r="A3" s="347"/>
      <c r="B3" s="348"/>
      <c r="C3" s="348"/>
      <c r="D3" s="348"/>
      <c r="E3" s="348"/>
      <c r="F3" s="348"/>
      <c r="G3" s="348"/>
      <c r="H3" s="348"/>
      <c r="I3" s="348"/>
      <c r="J3" s="348"/>
      <c r="K3" s="349" t="s">
        <v>120</v>
      </c>
      <c r="L3" s="350"/>
      <c r="M3" s="65">
        <f>SUBTOTAL(9,M7:M1048576)</f>
        <v>2564.71</v>
      </c>
      <c r="N3" s="65">
        <f>SUBTOTAL(9,N7:N1048576)</f>
        <v>4</v>
      </c>
      <c r="O3" s="65">
        <f>SUBTOTAL(9,O7:O1048576)</f>
        <v>4</v>
      </c>
      <c r="P3" s="65">
        <f>SUBTOTAL(9,P7:P1048576)</f>
        <v>516.48</v>
      </c>
      <c r="Q3" s="66">
        <f>IF(M3=0,0,P3/M3)</f>
        <v>0.20137949319806139</v>
      </c>
      <c r="R3" s="65">
        <f>SUBTOTAL(9,R7:R1048576)</f>
        <v>2</v>
      </c>
      <c r="S3" s="66">
        <f>IF(N3=0,0,R3/N3)</f>
        <v>0.5</v>
      </c>
      <c r="T3" s="65">
        <f>SUBTOTAL(9,T7:T1048576)</f>
        <v>2</v>
      </c>
      <c r="U3" s="67">
        <f>IF(O3=0,0,T3/O3)</f>
        <v>0.5</v>
      </c>
    </row>
    <row r="4" spans="1:21" ht="14.4" customHeight="1" x14ac:dyDescent="0.3">
      <c r="A4" s="68"/>
      <c r="B4" s="69"/>
      <c r="C4" s="69"/>
      <c r="D4" s="70"/>
      <c r="E4" s="139"/>
      <c r="F4" s="69"/>
      <c r="G4" s="69"/>
      <c r="H4" s="69"/>
      <c r="I4" s="69"/>
      <c r="J4" s="69"/>
      <c r="K4" s="69"/>
      <c r="L4" s="69"/>
      <c r="M4" s="351" t="s">
        <v>12</v>
      </c>
      <c r="N4" s="352"/>
      <c r="O4" s="352"/>
      <c r="P4" s="353" t="s">
        <v>18</v>
      </c>
      <c r="Q4" s="352"/>
      <c r="R4" s="352"/>
      <c r="S4" s="352"/>
      <c r="T4" s="352"/>
      <c r="U4" s="354"/>
    </row>
    <row r="5" spans="1:21" ht="14.4" customHeight="1" thickBot="1" x14ac:dyDescent="0.35">
      <c r="A5" s="71"/>
      <c r="B5" s="72"/>
      <c r="C5" s="69"/>
      <c r="D5" s="70"/>
      <c r="E5" s="139"/>
      <c r="F5" s="69"/>
      <c r="G5" s="69"/>
      <c r="H5" s="69"/>
      <c r="I5" s="69"/>
      <c r="J5" s="69"/>
      <c r="K5" s="69"/>
      <c r="L5" s="69"/>
      <c r="M5" s="84" t="s">
        <v>19</v>
      </c>
      <c r="N5" s="85" t="s">
        <v>10</v>
      </c>
      <c r="O5" s="85" t="s">
        <v>17</v>
      </c>
      <c r="P5" s="344" t="s">
        <v>19</v>
      </c>
      <c r="Q5" s="345"/>
      <c r="R5" s="344" t="s">
        <v>10</v>
      </c>
      <c r="S5" s="345"/>
      <c r="T5" s="344" t="s">
        <v>17</v>
      </c>
      <c r="U5" s="346"/>
    </row>
    <row r="6" spans="1:21" s="204" customFormat="1" ht="14.4" customHeight="1" thickBot="1" x14ac:dyDescent="0.35">
      <c r="A6" s="472" t="s">
        <v>20</v>
      </c>
      <c r="B6" s="473" t="s">
        <v>4</v>
      </c>
      <c r="C6" s="472" t="s">
        <v>21</v>
      </c>
      <c r="D6" s="473" t="s">
        <v>5</v>
      </c>
      <c r="E6" s="473" t="s">
        <v>137</v>
      </c>
      <c r="F6" s="473" t="s">
        <v>22</v>
      </c>
      <c r="G6" s="473" t="s">
        <v>23</v>
      </c>
      <c r="H6" s="473" t="s">
        <v>6</v>
      </c>
      <c r="I6" s="473" t="s">
        <v>7</v>
      </c>
      <c r="J6" s="473" t="s">
        <v>8</v>
      </c>
      <c r="K6" s="473" t="s">
        <v>9</v>
      </c>
      <c r="L6" s="473" t="s">
        <v>24</v>
      </c>
      <c r="M6" s="474" t="s">
        <v>11</v>
      </c>
      <c r="N6" s="475" t="s">
        <v>25</v>
      </c>
      <c r="O6" s="475" t="s">
        <v>25</v>
      </c>
      <c r="P6" s="475" t="s">
        <v>11</v>
      </c>
      <c r="Q6" s="475" t="s">
        <v>2</v>
      </c>
      <c r="R6" s="475" t="s">
        <v>25</v>
      </c>
      <c r="S6" s="475" t="s">
        <v>2</v>
      </c>
      <c r="T6" s="475" t="s">
        <v>25</v>
      </c>
      <c r="U6" s="476" t="s">
        <v>2</v>
      </c>
    </row>
    <row r="7" spans="1:21" ht="14.4" customHeight="1" x14ac:dyDescent="0.3">
      <c r="A7" s="478">
        <v>43</v>
      </c>
      <c r="B7" s="479" t="s">
        <v>309</v>
      </c>
      <c r="C7" s="479" t="s">
        <v>314</v>
      </c>
      <c r="D7" s="480" t="s">
        <v>339</v>
      </c>
      <c r="E7" s="481" t="s">
        <v>321</v>
      </c>
      <c r="F7" s="479" t="s">
        <v>310</v>
      </c>
      <c r="G7" s="479" t="s">
        <v>323</v>
      </c>
      <c r="H7" s="479" t="s">
        <v>313</v>
      </c>
      <c r="I7" s="479" t="s">
        <v>324</v>
      </c>
      <c r="J7" s="479" t="s">
        <v>325</v>
      </c>
      <c r="K7" s="479" t="s">
        <v>326</v>
      </c>
      <c r="L7" s="482">
        <v>477.92</v>
      </c>
      <c r="M7" s="482">
        <v>477.92</v>
      </c>
      <c r="N7" s="479">
        <v>1</v>
      </c>
      <c r="O7" s="483">
        <v>1</v>
      </c>
      <c r="P7" s="482">
        <v>477.92</v>
      </c>
      <c r="Q7" s="484">
        <v>1</v>
      </c>
      <c r="R7" s="479">
        <v>1</v>
      </c>
      <c r="S7" s="484">
        <v>1</v>
      </c>
      <c r="T7" s="483">
        <v>1</v>
      </c>
      <c r="U7" s="119">
        <v>1</v>
      </c>
    </row>
    <row r="8" spans="1:21" ht="14.4" customHeight="1" x14ac:dyDescent="0.3">
      <c r="A8" s="493">
        <v>43</v>
      </c>
      <c r="B8" s="494" t="s">
        <v>309</v>
      </c>
      <c r="C8" s="494" t="s">
        <v>314</v>
      </c>
      <c r="D8" s="495" t="s">
        <v>339</v>
      </c>
      <c r="E8" s="496" t="s">
        <v>321</v>
      </c>
      <c r="F8" s="494" t="s">
        <v>310</v>
      </c>
      <c r="G8" s="494" t="s">
        <v>327</v>
      </c>
      <c r="H8" s="494" t="s">
        <v>313</v>
      </c>
      <c r="I8" s="494" t="s">
        <v>328</v>
      </c>
      <c r="J8" s="494" t="s">
        <v>329</v>
      </c>
      <c r="K8" s="494" t="s">
        <v>330</v>
      </c>
      <c r="L8" s="497">
        <v>38.56</v>
      </c>
      <c r="M8" s="497">
        <v>38.56</v>
      </c>
      <c r="N8" s="494">
        <v>1</v>
      </c>
      <c r="O8" s="498">
        <v>1</v>
      </c>
      <c r="P8" s="497">
        <v>38.56</v>
      </c>
      <c r="Q8" s="499">
        <v>1</v>
      </c>
      <c r="R8" s="494">
        <v>1</v>
      </c>
      <c r="S8" s="499">
        <v>1</v>
      </c>
      <c r="T8" s="498">
        <v>1</v>
      </c>
      <c r="U8" s="500">
        <v>1</v>
      </c>
    </row>
    <row r="9" spans="1:21" ht="14.4" customHeight="1" x14ac:dyDescent="0.3">
      <c r="A9" s="493">
        <v>43</v>
      </c>
      <c r="B9" s="494" t="s">
        <v>309</v>
      </c>
      <c r="C9" s="494" t="s">
        <v>314</v>
      </c>
      <c r="D9" s="495" t="s">
        <v>339</v>
      </c>
      <c r="E9" s="496" t="s">
        <v>321</v>
      </c>
      <c r="F9" s="494" t="s">
        <v>310</v>
      </c>
      <c r="G9" s="494" t="s">
        <v>331</v>
      </c>
      <c r="H9" s="494" t="s">
        <v>340</v>
      </c>
      <c r="I9" s="494" t="s">
        <v>332</v>
      </c>
      <c r="J9" s="494" t="s">
        <v>333</v>
      </c>
      <c r="K9" s="494" t="s">
        <v>334</v>
      </c>
      <c r="L9" s="497">
        <v>286.18</v>
      </c>
      <c r="M9" s="497">
        <v>286.18</v>
      </c>
      <c r="N9" s="494">
        <v>1</v>
      </c>
      <c r="O9" s="498">
        <v>1</v>
      </c>
      <c r="P9" s="497"/>
      <c r="Q9" s="499">
        <v>0</v>
      </c>
      <c r="R9" s="494"/>
      <c r="S9" s="499">
        <v>0</v>
      </c>
      <c r="T9" s="498"/>
      <c r="U9" s="500">
        <v>0</v>
      </c>
    </row>
    <row r="10" spans="1:21" ht="14.4" customHeight="1" thickBot="1" x14ac:dyDescent="0.35">
      <c r="A10" s="485">
        <v>43</v>
      </c>
      <c r="B10" s="486" t="s">
        <v>309</v>
      </c>
      <c r="C10" s="486" t="s">
        <v>314</v>
      </c>
      <c r="D10" s="487" t="s">
        <v>339</v>
      </c>
      <c r="E10" s="488" t="s">
        <v>322</v>
      </c>
      <c r="F10" s="486" t="s">
        <v>310</v>
      </c>
      <c r="G10" s="486" t="s">
        <v>335</v>
      </c>
      <c r="H10" s="486" t="s">
        <v>313</v>
      </c>
      <c r="I10" s="486" t="s">
        <v>336</v>
      </c>
      <c r="J10" s="486" t="s">
        <v>337</v>
      </c>
      <c r="K10" s="486" t="s">
        <v>338</v>
      </c>
      <c r="L10" s="489">
        <v>1762.05</v>
      </c>
      <c r="M10" s="489">
        <v>1762.05</v>
      </c>
      <c r="N10" s="486">
        <v>1</v>
      </c>
      <c r="O10" s="490">
        <v>1</v>
      </c>
      <c r="P10" s="489"/>
      <c r="Q10" s="491">
        <v>0</v>
      </c>
      <c r="R10" s="486"/>
      <c r="S10" s="491">
        <v>0</v>
      </c>
      <c r="T10" s="490"/>
      <c r="U10" s="492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2019-01-29T11:37:20Z</dcterms:modified>
</cp:coreProperties>
</file>