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1" i="431"/>
  <c r="E9" i="431"/>
  <c r="E13" i="431"/>
  <c r="F11" i="431"/>
  <c r="G9" i="431"/>
  <c r="G13" i="431"/>
  <c r="H11" i="431"/>
  <c r="I9" i="431"/>
  <c r="I13" i="431"/>
  <c r="J11" i="431"/>
  <c r="K9" i="431"/>
  <c r="K13" i="431"/>
  <c r="L11" i="431"/>
  <c r="M9" i="431"/>
  <c r="M13" i="431"/>
  <c r="N11" i="431"/>
  <c r="O9" i="431"/>
  <c r="O13" i="431"/>
  <c r="P11" i="431"/>
  <c r="Q9" i="431"/>
  <c r="Q13" i="431"/>
  <c r="C10" i="431"/>
  <c r="E10" i="431"/>
  <c r="F12" i="431"/>
  <c r="G14" i="431"/>
  <c r="I10" i="431"/>
  <c r="J12" i="431"/>
  <c r="K14" i="431"/>
  <c r="M10" i="431"/>
  <c r="N12" i="431"/>
  <c r="O14" i="431"/>
  <c r="Q10" i="431"/>
  <c r="D9" i="431"/>
  <c r="E11" i="431"/>
  <c r="F13" i="431"/>
  <c r="H9" i="431"/>
  <c r="I11" i="431"/>
  <c r="J13" i="431"/>
  <c r="L13" i="431"/>
  <c r="N9" i="431"/>
  <c r="O11" i="431"/>
  <c r="P13" i="431"/>
  <c r="C12" i="431"/>
  <c r="D10" i="431"/>
  <c r="D14" i="431"/>
  <c r="E12" i="431"/>
  <c r="F10" i="431"/>
  <c r="F14" i="431"/>
  <c r="G12" i="431"/>
  <c r="H10" i="431"/>
  <c r="H14" i="431"/>
  <c r="I12" i="431"/>
  <c r="J10" i="431"/>
  <c r="J14" i="431"/>
  <c r="K12" i="431"/>
  <c r="L10" i="431"/>
  <c r="L14" i="431"/>
  <c r="M12" i="431"/>
  <c r="N10" i="431"/>
  <c r="N14" i="431"/>
  <c r="O12" i="431"/>
  <c r="P10" i="431"/>
  <c r="P14" i="431"/>
  <c r="Q12" i="431"/>
  <c r="C14" i="431"/>
  <c r="D12" i="431"/>
  <c r="E14" i="431"/>
  <c r="G10" i="431"/>
  <c r="H12" i="431"/>
  <c r="I14" i="431"/>
  <c r="K10" i="431"/>
  <c r="L12" i="431"/>
  <c r="M14" i="431"/>
  <c r="O10" i="431"/>
  <c r="P12" i="431"/>
  <c r="Q14" i="431"/>
  <c r="C11" i="431"/>
  <c r="D13" i="431"/>
  <c r="F9" i="431"/>
  <c r="G11" i="431"/>
  <c r="H13" i="431"/>
  <c r="J9" i="431"/>
  <c r="K11" i="431"/>
  <c r="L9" i="431"/>
  <c r="M11" i="431"/>
  <c r="N13" i="431"/>
  <c r="P9" i="431"/>
  <c r="Q11" i="431"/>
  <c r="O8" i="431"/>
  <c r="I8" i="431"/>
  <c r="M8" i="431"/>
  <c r="Q8" i="431"/>
  <c r="J8" i="431"/>
  <c r="E8" i="431"/>
  <c r="K8" i="431"/>
  <c r="L8" i="431"/>
  <c r="G8" i="431"/>
  <c r="H8" i="431"/>
  <c r="D8" i="431"/>
  <c r="C8" i="431"/>
  <c r="P8" i="431"/>
  <c r="F8" i="431"/>
  <c r="N8" i="431"/>
  <c r="R11" i="431" l="1"/>
  <c r="S11" i="431"/>
  <c r="R14" i="431"/>
  <c r="S14" i="431"/>
  <c r="R12" i="431"/>
  <c r="S12" i="431"/>
  <c r="S10" i="431"/>
  <c r="R10" i="431"/>
  <c r="S13" i="431"/>
  <c r="R13" i="431"/>
  <c r="S9" i="431"/>
  <c r="R9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C13" i="414"/>
  <c r="D13" i="414"/>
  <c r="D16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Q3" i="347" s="1"/>
  <c r="D21" i="414"/>
  <c r="C21" i="414"/>
  <c r="S3" i="347" l="1"/>
  <c r="U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<sst xmlns="http://schemas.openxmlformats.org/spreadsheetml/2006/main" count="817" uniqueCount="377">
  <si>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</si>
  <si>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</si>
  <si>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</si>
  <si>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</si>
  <si>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</si>
  <si>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</si>
  <si>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</si>
  <si>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</si>
  <si>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</si>
  <si>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</si>
  <si>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</si>
  <si>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</si>
  <si>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</si>
  <si>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</si>
  <si>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</si>
  <si>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</si>
  <si>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</si>
  <si>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</si>
  <si>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</si>
  <si>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</si>
  <si>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</si>
  <si>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</si>
  <si>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</si>
  <si>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</si>
  <si>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</si>
  <si>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</si>
  <si>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</si>
  <si>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</si>
  <si>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</si>
  <si>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</si>
  <si>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</si>
  <si>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</si>
  <si>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</si>
  <si>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</si>
  <si>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</si>
  <si>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</si>
  <si>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</si>
  <si>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</si>
  <si>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</si>
  <si>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</si>
  <si>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</si>
  <si>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</si>
  <si>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</si>
  <si>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</si>
  <si>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</si>
  <si>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</si>
  <si>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</si>
  <si>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</si>
  <si>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</si>
  <si>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</si>
  <si>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</si>
  <si>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</si>
  <si>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</si>
  <si>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</si>
  <si>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</si>
  <si>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</si>
  <si>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</si>
  <si>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</si>
  <si>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</si>
  <si>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</si>
  <si>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</si>
  <si>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</si>
  <si>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</si>
  <si>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</si>
  <si>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</si>
  <si>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</si>
  <si>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</si>
  <si>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</si>
  <si>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</si>
  <si>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</si>
  <si>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</si>
  <si>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</si>
  <si>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</si>
  <si>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</si>
  <si>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</si>
  <si>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</si>
  <si>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</si>
  <si>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</si>
  <si>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</si>
  <si>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</si>
  <si>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</si>
  <si>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</si>
  <si>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</si>
  <si>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</si>
  <si>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</si>
  <si>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</si>
  <si>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</si>
  <si>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</si>
  <si>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</si>
  <si>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</si>
  <si>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</si>
  <si>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</si>
  <si>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</si>
  <si>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</si>
  <si>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</si>
  <si>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</si>
  <si>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</si>
  <si>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</si>
  <si>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</si>
  <si>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</si>
  <si>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</si>
  <si>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</si>
  <si>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</si>
  <si>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</si>
  <si>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</si>
  <si>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</si>
  <si>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</si>
  <si>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</si>
  <si>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</si>
  <si>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</si>
  <si>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</si>
  <si>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</si>
  <si>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</si>
  <si>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</si>
  <si>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</si>
  <si>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</si>
  <si>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</si>
  <si>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</si>
  <si>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</si>
  <si>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</si>
  <si>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</si>
  <si>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</si>
  <si>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</si>
  <si>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</si>
  <si>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</si>
  <si>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</si>
  <si>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</si>
  <si>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</si>
  <si>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</si>
  <si>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</si>
  <si>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</si>
  <si>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</si>
  <si>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</si>
  <si>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</si>
  <si>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</si>
  <si>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</si>
  <si>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</si>
  <si>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</si>
  <si>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</si>
  <si>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</si>
  <si>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</si>
  <si>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</si>
  <si>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</si>
  <si>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</si>
  <si>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</si>
  <si>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</si>
  <si>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</si>
  <si>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</si>
  <si>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</si>
  <si>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</si>
  <si>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</si>
  <si>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</si>
  <si>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</si>
  <si>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</si>
  <si>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</si>
  <si>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</si>
  <si>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</si>
  <si>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</si>
  <si>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</si>
  <si>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</si>
  <si>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</si>
  <si>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</si>
  <si>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</si>
  <si>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</si>
  <si>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</si>
  <si>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</si>
  <si>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</si>
  <si>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</si>
  <si>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</si>
  <si>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</si>
  <si>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</si>
  <si>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</si>
  <si>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</si>
  <si>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</si>
  <si>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</si>
  <si>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</si>
  <si>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</si>
  <si>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</si>
  <si>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</si>
  <si>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</si>
  <si>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</si>
  <si>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</si>
  <si>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</si>
  <si>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</si>
  <si>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</si>
  <si>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</si>
  <si>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</si>
  <si>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</si>
  <si>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</si>
  <si>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</si>
  <si>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</si>
  <si>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</si>
  <si>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</si>
  <si>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</si>
  <si>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</si>
  <si>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</si>
  <si>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</si>
  <si>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</si>
  <si>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</si>
  <si>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</si>
  <si>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</si>
  <si>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</si>
  <si>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</si>
  <si>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</si>
  <si>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</si>
  <si>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</si>
  <si>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</si>
  <si>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</si>
  <si>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</si>
  <si>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</si>
  <si>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</si>
  <si>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</si>
  <si>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</si>
  <si>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</si>
  <si>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</si>
  <si>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</si>
  <si>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</si>
  <si>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</si>
  <si>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</si>
  <si>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</si>
  <si>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</si>
  <si>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</si>
  <si>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</si>
  <si>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</si>
  <si>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</si>
  <si>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</si>
  <si>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</si>
  <si>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</si>
  <si>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</si>
  <si>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</si>
  <si>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</si>
  <si>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</si>
  <si>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</si>
  <si>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</si>
  <si>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</si>
  <si>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</si>
  <si>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</si>
  <si>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</si>
  <si>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</si>
  <si>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</si>
  <si>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38, 48)</t>
  </si>
  <si>
    <t>50119     DDHM a textil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</si>
  <si>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</si>
  <si>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</si>
  <si>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</si>
  <si>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</si>
  <si>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</si>
  <si>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</si>
  <si>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</si>
  <si>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</si>
  <si>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</si>
  <si>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</si>
  <si>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</si>
  <si>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</si>
  <si>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</si>
  <si>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</si>
  <si>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</si>
  <si>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</si>
  <si>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</si>
  <si>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</si>
  <si>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</si>
  <si>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</si>
  <si>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</si>
  <si>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</si>
  <si>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--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</si>
  <si>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</si>
  <si>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</si>
  <si>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</si>
  <si>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</si>
  <si>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</si>
  <si>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</si>
  <si>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</si>
  <si>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</si>
  <si>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</si>
  <si>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</si>
  <si>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</si>
  <si>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</si>
  <si>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</si>
  <si>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</si>
  <si>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</si>
  <si>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</si>
  <si>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</si>
  <si>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</si>
  <si>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</si>
  <si>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</si>
  <si>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</si>
  <si>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</si>
  <si>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</si>
  <si>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</si>
  <si>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</si>
  <si>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</si>
  <si>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</si>
  <si>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</si>
  <si>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</si>
  <si>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</si>
  <si>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</si>
  <si>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</si>
  <si>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</si>
  <si>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/>
  </si>
  <si>
    <t>HVLP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</si>
  <si>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</si>
  <si>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</si>
  <si>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</si>
  <si>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</si>
  <si>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</si>
  <si>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</si>
  <si>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</si>
  <si>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</si>
  <si>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</si>
  <si>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Strojil Jan</t>
  </si>
  <si>
    <t>PŘÍPRAVKY PRO LÉČBU BRADAVIC A KUŘÍCH OK</t>
  </si>
  <si>
    <t>60890</t>
  </si>
  <si>
    <t>VERRUMAL</t>
  </si>
  <si>
    <t>5MG/G+100MG/G DRM SOL 13ML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</si>
  <si>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</si>
  <si>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</si>
  <si>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</si>
  <si>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</si>
  <si>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</si>
  <si>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</si>
  <si>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ON Data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</si>
  <si>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</si>
  <si>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</si>
  <si>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</si>
  <si>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</si>
  <si>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</si>
  <si>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</si>
  <si>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</si>
  <si>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</si>
  <si>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</si>
  <si>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</si>
  <si>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</si>
  <si>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Matalová Petra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</si>
  <si>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</si>
  <si>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</si>
  <si>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</si>
  <si>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</si>
  <si>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</si>
  <si>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</si>
  <si>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</si>
  <si>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</si>
  <si>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</si>
  <si>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</si>
  <si>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</si>
  <si>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</si>
  <si>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</si>
  <si>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</si>
  <si>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</si>
  <si>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</si>
  <si>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</si>
  <si>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</si>
  <si>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</si>
  <si>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</si>
  <si>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</si>
  <si>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</si>
  <si>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</si>
  <si>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</si>
  <si>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</si>
  <si>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</si>
  <si>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</si>
  <si>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</si>
  <si>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01</t>
  </si>
  <si>
    <t>02</t>
  </si>
  <si>
    <t>03</t>
  </si>
  <si>
    <t>04</t>
  </si>
  <si>
    <t>05</t>
  </si>
  <si>
    <t>07</t>
  </si>
  <si>
    <t>10</t>
  </si>
  <si>
    <t>11</t>
  </si>
  <si>
    <t>14</t>
  </si>
  <si>
    <t>16</t>
  </si>
  <si>
    <t>17</t>
  </si>
  <si>
    <t>21</t>
  </si>
  <si>
    <t>30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</si>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</sst>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1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83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3" xfId="0" quotePrefix="1" applyNumberFormat="1" applyFont="1" applyFill="1" applyBorder="1" applyAlignment="1">
      <alignment horizontal="center" vertical="center"/>
    </xf>
    <xf numFmtId="0" fontId="26" fillId="4" borderId="81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2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96" xfId="0" applyNumberFormat="1" applyFont="1" applyBorder="1" applyAlignment="1">
      <alignment horizontal="right" vertical="center"/>
    </xf>
    <xf numFmtId="173" fontId="40" fillId="0" borderId="96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97" xfId="0" applyNumberFormat="1" applyFont="1" applyBorder="1" applyAlignment="1">
      <alignment vertical="center"/>
    </xf>
    <xf numFmtId="173" fontId="40" fillId="0" borderId="96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4" fontId="40" fillId="0" borderId="99" xfId="0" applyNumberFormat="1" applyFont="1" applyBorder="1" applyAlignment="1">
      <alignment vertical="center"/>
    </xf>
    <xf numFmtId="174" fontId="40" fillId="0" borderId="96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2" xfId="0" applyNumberFormat="1" applyFont="1" applyBorder="1" applyAlignment="1">
      <alignment vertical="center"/>
    </xf>
    <xf numFmtId="0" fontId="33" fillId="0" borderId="97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79" xfId="0" applyNumberFormat="1" applyFont="1" applyBorder="1" applyAlignment="1">
      <alignment horizontal="right" vertical="center"/>
    </xf>
    <xf numFmtId="175" fontId="40" fillId="0" borderId="78" xfId="0" applyNumberFormat="1" applyFont="1" applyBorder="1" applyAlignment="1">
      <alignment horizontal="right" vertical="center"/>
    </xf>
    <xf numFmtId="173" fontId="40" fillId="0" borderId="78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3" fontId="40" fillId="0" borderId="77" xfId="0" applyNumberFormat="1" applyFont="1" applyBorder="1" applyAlignment="1">
      <alignment vertical="center"/>
    </xf>
    <xf numFmtId="176" fontId="40" fillId="0" borderId="7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3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0" fontId="41" fillId="9" borderId="8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5" xfId="0" applyNumberFormat="1" applyFont="1" applyFill="1" applyBorder="1"/>
    <xf numFmtId="3" fontId="0" fillId="7" borderId="72" xfId="0" applyNumberFormat="1" applyFont="1" applyFill="1" applyBorder="1"/>
    <xf numFmtId="0" fontId="0" fillId="0" borderId="106" xfId="0" applyNumberFormat="1" applyFont="1" applyBorder="1"/>
    <xf numFmtId="3" fontId="0" fillId="0" borderId="107" xfId="0" applyNumberFormat="1" applyFont="1" applyBorder="1"/>
    <xf numFmtId="0" fontId="0" fillId="7" borderId="106" xfId="0" applyNumberFormat="1" applyFont="1" applyFill="1" applyBorder="1"/>
    <xf numFmtId="3" fontId="0" fillId="7" borderId="107" xfId="0" applyNumberFormat="1" applyFont="1" applyFill="1" applyBorder="1"/>
    <xf numFmtId="0" fontId="53" fillId="8" borderId="106" xfId="0" applyNumberFormat="1" applyFont="1" applyFill="1" applyBorder="1"/>
    <xf numFmtId="3" fontId="53" fillId="8" borderId="107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1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100" xfId="0" applyFont="1" applyBorder="1" applyAlignment="1">
      <alignment horizontal="center" vertical="center"/>
    </xf>
    <xf numFmtId="0" fontId="55" fillId="4" borderId="93" xfId="0" applyFont="1" applyFill="1" applyBorder="1" applyAlignment="1">
      <alignment horizontal="center" vertical="center" wrapText="1"/>
    </xf>
    <xf numFmtId="0" fontId="55" fillId="4" borderId="101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4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168" fontId="55" fillId="2" borderId="101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4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4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4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5" xfId="0" applyNumberFormat="1" applyFont="1" applyFill="1" applyBorder="1" applyAlignment="1">
      <alignment horizontal="center" vertical="center" wrapText="1"/>
    </xf>
    <xf numFmtId="0" fontId="40" fillId="2" borderId="102" xfId="0" applyFont="1" applyFill="1" applyBorder="1" applyAlignment="1">
      <alignment horizontal="center" vertical="center" wrapText="1"/>
    </xf>
    <xf numFmtId="0" fontId="40" fillId="2" borderId="88" xfId="0" applyFont="1" applyFill="1" applyBorder="1" applyAlignment="1">
      <alignment horizontal="center" vertical="center" wrapText="1"/>
    </xf>
    <xf numFmtId="0" fontId="55" fillId="9" borderId="104" xfId="0" applyFont="1" applyFill="1" applyBorder="1" applyAlignment="1">
      <alignment horizontal="center"/>
    </xf>
    <xf numFmtId="0" fontId="55" fillId="9" borderId="103" xfId="0" applyFont="1" applyFill="1" applyBorder="1" applyAlignment="1">
      <alignment horizontal="center"/>
    </xf>
    <xf numFmtId="0" fontId="55" fillId="9" borderId="85" xfId="0" applyFont="1" applyFill="1" applyBorder="1" applyAlignment="1">
      <alignment horizontal="center"/>
    </xf>
    <xf numFmtId="0" fontId="40" fillId="4" borderId="92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0" xfId="0" applyFont="1" applyFill="1" applyBorder="1" applyAlignment="1">
      <alignment horizontal="center"/>
    </xf>
    <xf numFmtId="0" fontId="59" fillId="2" borderId="8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5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5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89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2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3" fontId="34" fillId="10" borderId="109" xfId="0" applyNumberFormat="1" applyFont="1" applyFill="1" applyBorder="1" applyAlignment="1">
      <alignment horizontal="right" vertical="top"/>
    </xf>
    <xf numFmtId="3" fontId="34" fillId="10" borderId="110" xfId="0" applyNumberFormat="1" applyFont="1" applyFill="1" applyBorder="1" applyAlignment="1">
      <alignment horizontal="right" vertical="top"/>
    </xf>
    <xf numFmtId="177" fontId="34" fillId="10" borderId="111" xfId="0" applyNumberFormat="1" applyFont="1" applyFill="1" applyBorder="1" applyAlignment="1">
      <alignment horizontal="right" vertical="top"/>
    </xf>
    <xf numFmtId="3" fontId="34" fillId="0" borderId="109" xfId="0" applyNumberFormat="1" applyFont="1" applyBorder="1" applyAlignment="1">
      <alignment horizontal="right" vertical="top"/>
    </xf>
    <xf numFmtId="177" fontId="34" fillId="10" borderId="112" xfId="0" applyNumberFormat="1" applyFont="1" applyFill="1" applyBorder="1" applyAlignment="1">
      <alignment horizontal="right" vertical="top"/>
    </xf>
    <xf numFmtId="3" fontId="36" fillId="10" borderId="114" xfId="0" applyNumberFormat="1" applyFont="1" applyFill="1" applyBorder="1" applyAlignment="1">
      <alignment horizontal="right" vertical="top"/>
    </xf>
    <xf numFmtId="3" fontId="36" fillId="10" borderId="115" xfId="0" applyNumberFormat="1" applyFont="1" applyFill="1" applyBorder="1" applyAlignment="1">
      <alignment horizontal="right" vertical="top"/>
    </xf>
    <xf numFmtId="177" fontId="36" fillId="10" borderId="116" xfId="0" applyNumberFormat="1" applyFont="1" applyFill="1" applyBorder="1" applyAlignment="1">
      <alignment horizontal="right" vertical="top"/>
    </xf>
    <xf numFmtId="3" fontId="36" fillId="0" borderId="114" xfId="0" applyNumberFormat="1" applyFont="1" applyBorder="1" applyAlignment="1">
      <alignment horizontal="right" vertical="top"/>
    </xf>
    <xf numFmtId="177" fontId="36" fillId="10" borderId="117" xfId="0" applyNumberFormat="1" applyFont="1" applyFill="1" applyBorder="1" applyAlignment="1">
      <alignment horizontal="right" vertical="top"/>
    </xf>
    <xf numFmtId="0" fontId="36" fillId="10" borderId="117" xfId="0" applyFont="1" applyFill="1" applyBorder="1" applyAlignment="1">
      <alignment horizontal="right" vertical="top"/>
    </xf>
    <xf numFmtId="0" fontId="34" fillId="10" borderId="112" xfId="0" applyFont="1" applyFill="1" applyBorder="1" applyAlignment="1">
      <alignment horizontal="right" vertical="top"/>
    </xf>
    <xf numFmtId="0" fontId="34" fillId="10" borderId="111" xfId="0" applyFont="1" applyFill="1" applyBorder="1" applyAlignment="1">
      <alignment horizontal="right" vertical="top"/>
    </xf>
    <xf numFmtId="0" fontId="36" fillId="10" borderId="116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1" xfId="0" applyNumberFormat="1" applyFont="1" applyFill="1" applyBorder="1" applyAlignment="1">
      <alignment horizontal="right" vertical="top"/>
    </xf>
    <xf numFmtId="0" fontId="38" fillId="11" borderId="108" xfId="0" applyFont="1" applyFill="1" applyBorder="1" applyAlignment="1">
      <alignment vertical="top"/>
    </xf>
    <xf numFmtId="0" fontId="38" fillId="11" borderId="108" xfId="0" applyFont="1" applyFill="1" applyBorder="1" applyAlignment="1">
      <alignment vertical="top" indent="2"/>
    </xf>
    <xf numFmtId="0" fontId="38" fillId="11" borderId="108" xfId="0" applyFont="1" applyFill="1" applyBorder="1" applyAlignment="1">
      <alignment vertical="top" indent="4"/>
    </xf>
    <xf numFmtId="0" fontId="39" fillId="11" borderId="113" xfId="0" applyFont="1" applyFill="1" applyBorder="1" applyAlignment="1">
      <alignment vertical="top" indent="6"/>
    </xf>
    <xf numFmtId="0" fontId="38" fillId="11" borderId="108" xfId="0" applyFont="1" applyFill="1" applyBorder="1" applyAlignment="1">
      <alignment vertical="top" indent="8"/>
    </xf>
    <xf numFmtId="0" fontId="39" fillId="11" borderId="113" xfId="0" applyFont="1" applyFill="1" applyBorder="1" applyAlignment="1">
      <alignment vertical="top" indent="2"/>
    </xf>
    <xf numFmtId="0" fontId="39" fillId="11" borderId="113" xfId="0" applyFont="1" applyFill="1" applyBorder="1" applyAlignment="1">
      <alignment vertical="top" indent="4"/>
    </xf>
    <xf numFmtId="0" fontId="38" fillId="11" borderId="108" xfId="0" applyFont="1" applyFill="1" applyBorder="1" applyAlignment="1">
      <alignment vertical="top" indent="6"/>
    </xf>
    <xf numFmtId="0" fontId="33" fillId="11" borderId="108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98" xfId="79" applyFont="1" applyFill="1" applyBorder="1" applyAlignment="1">
      <alignment horizontal="left"/>
    </xf>
    <xf numFmtId="0" fontId="33" fillId="0" borderId="122" xfId="0" applyFont="1" applyFill="1" applyBorder="1"/>
    <xf numFmtId="0" fontId="40" fillId="11" borderId="12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23" xfId="0" applyNumberFormat="1" applyFont="1" applyFill="1" applyBorder="1"/>
    <xf numFmtId="0" fontId="33" fillId="0" borderId="125" xfId="0" applyFont="1" applyFill="1" applyBorder="1"/>
    <xf numFmtId="3" fontId="33" fillId="0" borderId="125" xfId="0" applyNumberFormat="1" applyFont="1" applyFill="1" applyBorder="1"/>
    <xf numFmtId="3" fontId="33" fillId="0" borderId="12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25" xfId="0" applyNumberFormat="1" applyFont="1" applyFill="1" applyBorder="1"/>
    <xf numFmtId="9" fontId="33" fillId="0" borderId="126" xfId="0" applyNumberFormat="1" applyFont="1" applyFill="1" applyBorder="1"/>
    <xf numFmtId="3" fontId="33" fillId="0" borderId="124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3" fillId="0" borderId="19" xfId="0" applyFont="1" applyFill="1" applyBorder="1"/>
    <xf numFmtId="0" fontId="33" fillId="0" borderId="27" xfId="0" applyFont="1" applyFill="1" applyBorder="1"/>
    <xf numFmtId="0" fontId="33" fillId="0" borderId="27" xfId="0" applyFont="1" applyFill="1" applyBorder="1" applyAlignment="1">
      <alignment horizontal="right"/>
    </xf>
    <xf numFmtId="0" fontId="33" fillId="0" borderId="27" xfId="0" applyFont="1" applyFill="1" applyBorder="1" applyAlignment="1">
      <alignment horizontal="left"/>
    </xf>
    <xf numFmtId="164" fontId="33" fillId="0" borderId="27" xfId="0" applyNumberFormat="1" applyFont="1" applyFill="1" applyBorder="1"/>
    <xf numFmtId="165" fontId="33" fillId="0" borderId="27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78" xfId="0" applyNumberFormat="1" applyBorder="1"/>
    <xf numFmtId="9" fontId="0" fillId="0" borderId="78" xfId="0" applyNumberFormat="1" applyBorder="1"/>
    <xf numFmtId="9" fontId="0" fillId="0" borderId="79" xfId="0" applyNumberFormat="1" applyBorder="1"/>
    <xf numFmtId="0" fontId="59" fillId="0" borderId="77" xfId="0" applyFont="1" applyBorder="1" applyAlignment="1">
      <alignment horizontal="left" indent="1"/>
    </xf>
    <xf numFmtId="0" fontId="32" fillId="2" borderId="16" xfId="26" applyNumberFormat="1" applyFont="1" applyFill="1" applyBorder="1"/>
    <xf numFmtId="0" fontId="33" fillId="0" borderId="24" xfId="0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0" fontId="33" fillId="0" borderId="82" xfId="0" applyFont="1" applyFill="1" applyBorder="1"/>
    <xf numFmtId="3" fontId="33" fillId="0" borderId="83" xfId="0" applyNumberFormat="1" applyFont="1" applyFill="1" applyBorder="1"/>
    <xf numFmtId="169" fontId="33" fillId="0" borderId="83" xfId="0" applyNumberFormat="1" applyFont="1" applyFill="1" applyBorder="1"/>
    <xf numFmtId="169" fontId="33" fillId="0" borderId="84" xfId="0" applyNumberFormat="1" applyFont="1" applyFill="1" applyBorder="1"/>
    <xf numFmtId="0" fontId="33" fillId="0" borderId="77" xfId="0" applyFont="1" applyFill="1" applyBorder="1"/>
    <xf numFmtId="3" fontId="33" fillId="0" borderId="78" xfId="0" applyNumberFormat="1" applyFont="1" applyFill="1" applyBorder="1"/>
    <xf numFmtId="169" fontId="33" fillId="0" borderId="78" xfId="0" applyNumberFormat="1" applyFont="1" applyFill="1" applyBorder="1"/>
    <xf numFmtId="169" fontId="33" fillId="0" borderId="79" xfId="0" applyNumberFormat="1" applyFont="1" applyFill="1" applyBorder="1"/>
    <xf numFmtId="0" fontId="40" fillId="0" borderId="24" xfId="0" applyFont="1" applyFill="1" applyBorder="1"/>
    <xf numFmtId="0" fontId="40" fillId="0" borderId="82" xfId="0" applyFont="1" applyFill="1" applyBorder="1"/>
    <xf numFmtId="0" fontId="40" fillId="0" borderId="77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3" fillId="0" borderId="29" xfId="0" applyFont="1" applyFill="1" applyBorder="1"/>
    <xf numFmtId="9" fontId="33" fillId="0" borderId="29" xfId="0" applyNumberFormat="1" applyFont="1" applyFill="1" applyBorder="1"/>
    <xf numFmtId="3" fontId="33" fillId="0" borderId="25" xfId="0" applyNumberFormat="1" applyFont="1" applyFill="1" applyBorder="1"/>
    <xf numFmtId="0" fontId="33" fillId="0" borderId="83" xfId="0" applyFont="1" applyFill="1" applyBorder="1"/>
    <xf numFmtId="9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3" fillId="0" borderId="78" xfId="0" applyFont="1" applyFill="1" applyBorder="1"/>
    <xf numFmtId="9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9" fontId="33" fillId="0" borderId="84" xfId="0" applyNumberFormat="1" applyFont="1" applyFill="1" applyBorder="1"/>
    <xf numFmtId="9" fontId="33" fillId="0" borderId="79" xfId="0" applyNumberFormat="1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5.833903185751806E-3</c:v>
                </c:pt>
                <c:pt idx="1">
                  <c:v>5.2122233765164016E-3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9200"/>
        <c:axId val="15851097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1.1024381287358209E-3</c:v>
                </c:pt>
                <c:pt idx="1">
                  <c:v>1.1024381287358209E-3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04304"/>
        <c:axId val="1585102672"/>
      </c:scatterChart>
      <c:catAx>
        <c:axId val="158510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0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09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85109200"/>
        <c:crosses val="autoZero"/>
        <c:crossBetween val="between"/>
      </c:valAx>
      <c:valAx>
        <c:axId val="15851043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2672"/>
        <c:crosses val="max"/>
        <c:crossBetween val="midCat"/>
      </c:valAx>
      <c:valAx>
        <c:axId val="1585102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51043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4" totalsRowShown="0" headerRowDxfId="53" tableBorderDxfId="52">
  <autoFilter ref="A7:S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1"/>
    <tableColumn id="2" name="popis" dataDxfId="50"/>
    <tableColumn id="3" name="01 uv_sk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4">
      <calculatedColumnFormula>IF(Tabulka[[#This Row],[15_vzpl]]=0,"",Tabulka[[#This Row],[14_vzsk]]/Tabulka[[#This Row],[15_vzpl]])</calculatedColumnFormula>
    </tableColumn>
    <tableColumn id="20" name="17_vzroz" dataDxfId="3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9" totalsRowShown="0">
  <autoFilter ref="C3:S1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2" hidden="1" customWidth="1"/>
    <col min="4" max="16384" width="8.88671875" style="115"/>
  </cols>
  <sheetData>
    <row r="1" spans="1:3" ht="18.600000000000001" customHeight="1" thickBot="1" x14ac:dyDescent="0.4">
      <c r="A1" s="290" t="s">
        <v>104</v>
      </c>
      <c r="B1" s="290"/>
    </row>
    <row r="2" spans="1:3" ht="14.4" customHeight="1" thickBot="1" x14ac:dyDescent="0.35">
      <c r="A2" s="214" t="s">
        <v>232</v>
      </c>
      <c r="B2" s="41"/>
    </row>
    <row r="3" spans="1:3" ht="14.4" customHeight="1" thickBot="1" x14ac:dyDescent="0.35">
      <c r="A3" s="286" t="s">
        <v>124</v>
      </c>
      <c r="B3" s="287"/>
    </row>
    <row r="4" spans="1:3" ht="14.4" customHeight="1" x14ac:dyDescent="0.3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" customHeight="1" x14ac:dyDescent="0.3">
      <c r="A5" s="130" t="str">
        <f t="shared" si="0"/>
        <v>HI</v>
      </c>
      <c r="B5" s="78" t="s">
        <v>122</v>
      </c>
      <c r="C5" s="42" t="s">
        <v>107</v>
      </c>
    </row>
    <row r="6" spans="1:3" ht="14.4" customHeight="1" x14ac:dyDescent="0.3">
      <c r="A6" s="131" t="str">
        <f t="shared" si="0"/>
        <v>HI Graf</v>
      </c>
      <c r="B6" s="79" t="s">
        <v>100</v>
      </c>
      <c r="C6" s="42" t="s">
        <v>108</v>
      </c>
    </row>
    <row r="7" spans="1:3" ht="14.4" customHeight="1" x14ac:dyDescent="0.3">
      <c r="A7" s="131" t="str">
        <f t="shared" si="0"/>
        <v>Man Tab</v>
      </c>
      <c r="B7" s="79" t="s">
        <v>234</v>
      </c>
      <c r="C7" s="42" t="s">
        <v>109</v>
      </c>
    </row>
    <row r="8" spans="1:3" ht="14.4" customHeight="1" thickBot="1" x14ac:dyDescent="0.35">
      <c r="A8" s="132" t="str">
        <f t="shared" si="0"/>
        <v>HV</v>
      </c>
      <c r="B8" s="80" t="s">
        <v>58</v>
      </c>
      <c r="C8" s="42" t="s">
        <v>63</v>
      </c>
    </row>
    <row r="9" spans="1:3" ht="14.4" customHeight="1" thickBot="1" x14ac:dyDescent="0.35">
      <c r="A9" s="81"/>
      <c r="B9" s="81"/>
    </row>
    <row r="10" spans="1:3" ht="14.4" customHeight="1" thickBot="1" x14ac:dyDescent="0.35">
      <c r="A10" s="288" t="s">
        <v>105</v>
      </c>
      <c r="B10" s="287"/>
    </row>
    <row r="11" spans="1:3" ht="14.4" customHeight="1" x14ac:dyDescent="0.3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" customHeight="1" x14ac:dyDescent="0.3">
      <c r="A12" s="131" t="str">
        <f t="shared" si="1"/>
        <v>LRp Lékaři</v>
      </c>
      <c r="B12" s="79" t="s">
        <v>127</v>
      </c>
      <c r="C12" s="42" t="s">
        <v>128</v>
      </c>
    </row>
    <row r="13" spans="1:3" ht="14.4" customHeight="1" x14ac:dyDescent="0.3">
      <c r="A13" s="131" t="str">
        <f t="shared" si="1"/>
        <v>LRp Detail</v>
      </c>
      <c r="B13" s="79" t="s">
        <v>315</v>
      </c>
      <c r="C13" s="42" t="s">
        <v>111</v>
      </c>
    </row>
    <row r="14" spans="1:3" ht="14.4" customHeight="1" thickBot="1" x14ac:dyDescent="0.3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" customHeight="1" thickBot="1" x14ac:dyDescent="0.35">
      <c r="A15" s="82"/>
      <c r="B15" s="82"/>
    </row>
    <row r="16" spans="1:3" ht="14.4" customHeight="1" thickBot="1" x14ac:dyDescent="0.35">
      <c r="A16" s="289" t="s">
        <v>106</v>
      </c>
      <c r="B16" s="287"/>
    </row>
    <row r="17" spans="1:3" ht="14.4" customHeight="1" x14ac:dyDescent="0.3">
      <c r="A17" s="134" t="str">
        <f t="shared" ref="A17:A22" si="2">HYPERLINK("#'"&amp;C17&amp;"'!A1",C17)</f>
        <v>ZV Vykáz.-A</v>
      </c>
      <c r="B17" s="78" t="s">
        <v>327</v>
      </c>
      <c r="C17" s="42" t="s">
        <v>115</v>
      </c>
    </row>
    <row r="18" spans="1:3" ht="14.4" customHeight="1" x14ac:dyDescent="0.3">
      <c r="A18" s="131" t="str">
        <f t="shared" ref="A18" si="3">HYPERLINK("#'"&amp;C18&amp;"'!A1",C18)</f>
        <v>ZV Vykáz.-A Lékaři</v>
      </c>
      <c r="B18" s="79" t="s">
        <v>334</v>
      </c>
      <c r="C18" s="42" t="s">
        <v>171</v>
      </c>
    </row>
    <row r="19" spans="1:3" ht="14.4" customHeight="1" x14ac:dyDescent="0.3">
      <c r="A19" s="131" t="str">
        <f t="shared" si="2"/>
        <v>ZV Vykáz.-A Detail</v>
      </c>
      <c r="B19" s="79" t="s">
        <v>344</v>
      </c>
      <c r="C19" s="42" t="s">
        <v>116</v>
      </c>
    </row>
    <row r="20" spans="1:3" ht="14.4" customHeight="1" x14ac:dyDescent="0.3">
      <c r="A20" s="232" t="str">
        <f>HYPERLINK("#'"&amp;C20&amp;"'!A1",C20)</f>
        <v>ZV Vykáz.-A Det.Lék.</v>
      </c>
      <c r="B20" s="79" t="s">
        <v>345</v>
      </c>
      <c r="C20" s="42" t="s">
        <v>175</v>
      </c>
    </row>
    <row r="21" spans="1:3" ht="14.4" customHeight="1" x14ac:dyDescent="0.3">
      <c r="A21" s="131" t="str">
        <f t="shared" si="2"/>
        <v>ZV Vykáz.-H</v>
      </c>
      <c r="B21" s="79" t="s">
        <v>119</v>
      </c>
      <c r="C21" s="42" t="s">
        <v>117</v>
      </c>
    </row>
    <row r="22" spans="1:3" ht="14.4" customHeight="1" x14ac:dyDescent="0.3">
      <c r="A22" s="131" t="str">
        <f t="shared" si="2"/>
        <v>ZV Vykáz.-H Detail</v>
      </c>
      <c r="B22" s="79" t="s">
        <v>376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3" customWidth="1"/>
    <col min="18" max="18" width="7.33203125" style="237" customWidth="1"/>
    <col min="19" max="19" width="8" style="213" customWidth="1"/>
    <col min="21" max="21" width="11.21875" bestFit="1" customWidth="1"/>
  </cols>
  <sheetData>
    <row r="1" spans="1:19" ht="18.600000000000001" thickBot="1" x14ac:dyDescent="0.4">
      <c r="A1" s="351" t="s">
        <v>102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5" thickBot="1" x14ac:dyDescent="0.35">
      <c r="A2" s="214" t="s">
        <v>232</v>
      </c>
      <c r="B2" s="215"/>
    </row>
    <row r="3" spans="1:19" x14ac:dyDescent="0.3">
      <c r="A3" s="363" t="s">
        <v>165</v>
      </c>
      <c r="B3" s="364"/>
      <c r="C3" s="365" t="s">
        <v>154</v>
      </c>
      <c r="D3" s="366"/>
      <c r="E3" s="366"/>
      <c r="F3" s="367"/>
      <c r="G3" s="368" t="s">
        <v>155</v>
      </c>
      <c r="H3" s="369"/>
      <c r="I3" s="369"/>
      <c r="J3" s="370"/>
      <c r="K3" s="371" t="s">
        <v>164</v>
      </c>
      <c r="L3" s="372"/>
      <c r="M3" s="372"/>
      <c r="N3" s="372"/>
      <c r="O3" s="373"/>
      <c r="P3" s="369" t="s">
        <v>207</v>
      </c>
      <c r="Q3" s="369"/>
      <c r="R3" s="369"/>
      <c r="S3" s="370"/>
    </row>
    <row r="4" spans="1:19" ht="15" thickBot="1" x14ac:dyDescent="0.35">
      <c r="A4" s="343">
        <v>2019</v>
      </c>
      <c r="B4" s="344"/>
      <c r="C4" s="345" t="s">
        <v>206</v>
      </c>
      <c r="D4" s="347" t="s">
        <v>103</v>
      </c>
      <c r="E4" s="347" t="s">
        <v>71</v>
      </c>
      <c r="F4" s="349" t="s">
        <v>64</v>
      </c>
      <c r="G4" s="337" t="s">
        <v>156</v>
      </c>
      <c r="H4" s="339" t="s">
        <v>160</v>
      </c>
      <c r="I4" s="339" t="s">
        <v>205</v>
      </c>
      <c r="J4" s="341" t="s">
        <v>157</v>
      </c>
      <c r="K4" s="360" t="s">
        <v>204</v>
      </c>
      <c r="L4" s="361"/>
      <c r="M4" s="361"/>
      <c r="N4" s="362"/>
      <c r="O4" s="349" t="s">
        <v>203</v>
      </c>
      <c r="P4" s="352" t="s">
        <v>202</v>
      </c>
      <c r="Q4" s="352" t="s">
        <v>167</v>
      </c>
      <c r="R4" s="354" t="s">
        <v>71</v>
      </c>
      <c r="S4" s="356" t="s">
        <v>166</v>
      </c>
    </row>
    <row r="5" spans="1:19" s="272" customFormat="1" ht="19.2" customHeight="1" x14ac:dyDescent="0.3">
      <c r="A5" s="358" t="s">
        <v>201</v>
      </c>
      <c r="B5" s="359"/>
      <c r="C5" s="346"/>
      <c r="D5" s="348"/>
      <c r="E5" s="348"/>
      <c r="F5" s="350"/>
      <c r="G5" s="338"/>
      <c r="H5" s="340"/>
      <c r="I5" s="340"/>
      <c r="J5" s="342"/>
      <c r="K5" s="275" t="s">
        <v>158</v>
      </c>
      <c r="L5" s="274" t="s">
        <v>159</v>
      </c>
      <c r="M5" s="274" t="s">
        <v>200</v>
      </c>
      <c r="N5" s="273" t="s">
        <v>3</v>
      </c>
      <c r="O5" s="350"/>
      <c r="P5" s="353"/>
      <c r="Q5" s="353"/>
      <c r="R5" s="355"/>
      <c r="S5" s="357"/>
    </row>
    <row r="6" spans="1:19" ht="15" thickBot="1" x14ac:dyDescent="0.35">
      <c r="A6" s="335" t="s">
        <v>153</v>
      </c>
      <c r="B6" s="336"/>
      <c r="C6" s="271">
        <f ca="1">SUM(Tabulka[01 uv_sk])/2</f>
        <v>2.3499999999999996</v>
      </c>
      <c r="D6" s="269"/>
      <c r="E6" s="269"/>
      <c r="F6" s="268"/>
      <c r="G6" s="270">
        <f ca="1">SUM(Tabulka[05 h_vram])/2</f>
        <v>750</v>
      </c>
      <c r="H6" s="269">
        <f ca="1">SUM(Tabulka[06 h_naduv])/2</f>
        <v>0</v>
      </c>
      <c r="I6" s="269">
        <f ca="1">SUM(Tabulka[07 h_nadzk])/2</f>
        <v>0</v>
      </c>
      <c r="J6" s="268">
        <f ca="1">SUM(Tabulka[08 h_oon])/2</f>
        <v>0</v>
      </c>
      <c r="K6" s="270">
        <f ca="1">SUM(Tabulka[09 m_kl])/2</f>
        <v>0</v>
      </c>
      <c r="L6" s="269">
        <f ca="1">SUM(Tabulka[10 m_gr])/2</f>
        <v>0</v>
      </c>
      <c r="M6" s="269">
        <f ca="1">SUM(Tabulka[11 m_jo])/2</f>
        <v>0</v>
      </c>
      <c r="N6" s="269">
        <f ca="1">SUM(Tabulka[12 m_oc])/2</f>
        <v>0</v>
      </c>
      <c r="O6" s="268">
        <f ca="1">SUM(Tabulka[13 m_sk])/2</f>
        <v>223877</v>
      </c>
      <c r="P6" s="267">
        <f ca="1">SUM(Tabulka[14_vzsk])/2</f>
        <v>0</v>
      </c>
      <c r="Q6" s="267">
        <f ca="1">SUM(Tabulka[15_vzpl])/2</f>
        <v>0</v>
      </c>
      <c r="R6" s="266">
        <f ca="1">IF(Q6=0,0,P6/Q6)</f>
        <v>0</v>
      </c>
      <c r="S6" s="265">
        <f ca="1">Q6-P6</f>
        <v>0</v>
      </c>
    </row>
    <row r="7" spans="1:19" hidden="1" x14ac:dyDescent="0.3">
      <c r="A7" s="264" t="s">
        <v>199</v>
      </c>
      <c r="B7" s="263" t="s">
        <v>198</v>
      </c>
      <c r="C7" s="262" t="s">
        <v>197</v>
      </c>
      <c r="D7" s="261" t="s">
        <v>196</v>
      </c>
      <c r="E7" s="260" t="s">
        <v>195</v>
      </c>
      <c r="F7" s="259" t="s">
        <v>194</v>
      </c>
      <c r="G7" s="258" t="s">
        <v>193</v>
      </c>
      <c r="H7" s="256" t="s">
        <v>192</v>
      </c>
      <c r="I7" s="256" t="s">
        <v>191</v>
      </c>
      <c r="J7" s="255" t="s">
        <v>190</v>
      </c>
      <c r="K7" s="257" t="s">
        <v>189</v>
      </c>
      <c r="L7" s="256" t="s">
        <v>188</v>
      </c>
      <c r="M7" s="256" t="s">
        <v>187</v>
      </c>
      <c r="N7" s="255" t="s">
        <v>186</v>
      </c>
      <c r="O7" s="254" t="s">
        <v>185</v>
      </c>
      <c r="P7" s="253" t="s">
        <v>184</v>
      </c>
      <c r="Q7" s="252" t="s">
        <v>183</v>
      </c>
      <c r="R7" s="251" t="s">
        <v>182</v>
      </c>
      <c r="S7" s="250" t="s">
        <v>181</v>
      </c>
    </row>
    <row r="8" spans="1:19" x14ac:dyDescent="0.3">
      <c r="A8" s="247" t="s">
        <v>180</v>
      </c>
      <c r="B8" s="246"/>
      <c r="C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</v>
      </c>
      <c r="D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532.79999999999995</v>
      </c>
      <c r="H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193219</v>
      </c>
      <c r="P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49" t="str">
        <f ca="1">IF(Tabulka[[#This Row],[15_vzpl]]=0,"",Tabulka[[#This Row],[14_vzsk]]/Tabulka[[#This Row],[15_vzpl]])</f>
        <v/>
      </c>
      <c r="S8" s="248" t="str">
        <f ca="1">IF(Tabulka[[#This Row],[15_vzpl]]-Tabulka[[#This Row],[14_vzsk]]=0,"",Tabulka[[#This Row],[15_vzpl]]-Tabulka[[#This Row],[14_vzsk]])</f>
        <v/>
      </c>
    </row>
    <row r="9" spans="1:19" x14ac:dyDescent="0.3">
      <c r="A9" s="247">
        <v>101</v>
      </c>
      <c r="B9" s="246" t="s">
        <v>321</v>
      </c>
      <c r="C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</v>
      </c>
      <c r="H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182427</v>
      </c>
      <c r="P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49" t="str">
        <f ca="1">IF(Tabulka[[#This Row],[15_vzpl]]=0,"",Tabulka[[#This Row],[14_vzsk]]/Tabulka[[#This Row],[15_vzpl]])</f>
        <v/>
      </c>
      <c r="S9" s="248" t="str">
        <f ca="1">IF(Tabulka[[#This Row],[15_vzpl]]-Tabulka[[#This Row],[14_vzsk]]=0,"",Tabulka[[#This Row],[15_vzpl]]-Tabulka[[#This Row],[14_vzsk]])</f>
        <v/>
      </c>
    </row>
    <row r="10" spans="1:19" x14ac:dyDescent="0.3">
      <c r="A10" s="247">
        <v>203</v>
      </c>
      <c r="B10" s="246" t="s">
        <v>322</v>
      </c>
      <c r="C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68.8</v>
      </c>
      <c r="H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10792</v>
      </c>
      <c r="P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9" t="str">
        <f ca="1">IF(Tabulka[[#This Row],[15_vzpl]]=0,"",Tabulka[[#This Row],[14_vzsk]]/Tabulka[[#This Row],[15_vzpl]])</f>
        <v/>
      </c>
      <c r="S10" s="248" t="str">
        <f ca="1">IF(Tabulka[[#This Row],[15_vzpl]]-Tabulka[[#This Row],[14_vzsk]]=0,"",Tabulka[[#This Row],[15_vzpl]]-Tabulka[[#This Row],[14_vzsk]])</f>
        <v/>
      </c>
    </row>
    <row r="11" spans="1:19" x14ac:dyDescent="0.3">
      <c r="A11" s="247" t="s">
        <v>316</v>
      </c>
      <c r="B11" s="246"/>
      <c r="C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14.8</v>
      </c>
      <c r="H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5505</v>
      </c>
      <c r="P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9" t="str">
        <f ca="1">IF(Tabulka[[#This Row],[15_vzpl]]=0,"",Tabulka[[#This Row],[14_vzsk]]/Tabulka[[#This Row],[15_vzpl]])</f>
        <v/>
      </c>
      <c r="S11" s="248" t="str">
        <f ca="1">IF(Tabulka[[#This Row],[15_vzpl]]-Tabulka[[#This Row],[14_vzsk]]=0,"",Tabulka[[#This Row],[15_vzpl]]-Tabulka[[#This Row],[14_vzsk]])</f>
        <v/>
      </c>
    </row>
    <row r="12" spans="1:19" x14ac:dyDescent="0.3">
      <c r="A12" s="247">
        <v>526</v>
      </c>
      <c r="B12" s="246" t="s">
        <v>323</v>
      </c>
      <c r="C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14.8</v>
      </c>
      <c r="H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5505</v>
      </c>
      <c r="P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9" t="str">
        <f ca="1">IF(Tabulka[[#This Row],[15_vzpl]]=0,"",Tabulka[[#This Row],[14_vzsk]]/Tabulka[[#This Row],[15_vzpl]])</f>
        <v/>
      </c>
      <c r="S12" s="248" t="str">
        <f ca="1">IF(Tabulka[[#This Row],[15_vzpl]]-Tabulka[[#This Row],[14_vzsk]]=0,"",Tabulka[[#This Row],[15_vzpl]]-Tabulka[[#This Row],[14_vzsk]])</f>
        <v/>
      </c>
    </row>
    <row r="13" spans="1:19" x14ac:dyDescent="0.3">
      <c r="A13" s="247" t="s">
        <v>317</v>
      </c>
      <c r="B13" s="246"/>
      <c r="C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202.4</v>
      </c>
      <c r="H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25153</v>
      </c>
      <c r="P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9" t="str">
        <f ca="1">IF(Tabulka[[#This Row],[15_vzpl]]=0,"",Tabulka[[#This Row],[14_vzsk]]/Tabulka[[#This Row],[15_vzpl]])</f>
        <v/>
      </c>
      <c r="S13" s="248" t="str">
        <f ca="1">IF(Tabulka[[#This Row],[15_vzpl]]-Tabulka[[#This Row],[14_vzsk]]=0,"",Tabulka[[#This Row],[15_vzpl]]-Tabulka[[#This Row],[14_vzsk]])</f>
        <v/>
      </c>
    </row>
    <row r="14" spans="1:19" x14ac:dyDescent="0.3">
      <c r="A14" s="247">
        <v>30</v>
      </c>
      <c r="B14" s="246" t="s">
        <v>324</v>
      </c>
      <c r="C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202.4</v>
      </c>
      <c r="H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25153</v>
      </c>
      <c r="P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9" t="str">
        <f ca="1">IF(Tabulka[[#This Row],[15_vzpl]]=0,"",Tabulka[[#This Row],[14_vzsk]]/Tabulka[[#This Row],[15_vzpl]])</f>
        <v/>
      </c>
      <c r="S14" s="248" t="str">
        <f ca="1">IF(Tabulka[[#This Row],[15_vzpl]]-Tabulka[[#This Row],[14_vzsk]]=0,"",Tabulka[[#This Row],[15_vzpl]]-Tabulka[[#This Row],[14_vzsk]])</f>
        <v/>
      </c>
    </row>
    <row r="15" spans="1:19" x14ac:dyDescent="0.3">
      <c r="A15" t="s">
        <v>209</v>
      </c>
    </row>
    <row r="16" spans="1:19" x14ac:dyDescent="0.3">
      <c r="A16" s="99" t="s">
        <v>137</v>
      </c>
    </row>
    <row r="17" spans="1:1" x14ac:dyDescent="0.3">
      <c r="A17" s="100" t="s">
        <v>179</v>
      </c>
    </row>
    <row r="18" spans="1:1" x14ac:dyDescent="0.3">
      <c r="A18" s="239" t="s">
        <v>178</v>
      </c>
    </row>
    <row r="19" spans="1:1" x14ac:dyDescent="0.3">
      <c r="A19" s="217" t="s">
        <v>163</v>
      </c>
    </row>
    <row r="20" spans="1:1" x14ac:dyDescent="0.3">
      <c r="A20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320</v>
      </c>
    </row>
    <row r="2" spans="1:19" x14ac:dyDescent="0.3">
      <c r="A2" s="214" t="s">
        <v>232</v>
      </c>
    </row>
    <row r="3" spans="1:19" x14ac:dyDescent="0.3">
      <c r="A3" s="285" t="s">
        <v>140</v>
      </c>
      <c r="B3" s="284">
        <v>2019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3">
      <c r="A4" s="283" t="s">
        <v>141</v>
      </c>
      <c r="B4" s="282">
        <v>1</v>
      </c>
      <c r="C4" s="277">
        <v>1</v>
      </c>
      <c r="D4" s="277" t="s">
        <v>180</v>
      </c>
      <c r="E4" s="276">
        <v>1.7</v>
      </c>
      <c r="F4" s="276"/>
      <c r="G4" s="276"/>
      <c r="H4" s="276"/>
      <c r="I4" s="276">
        <v>272.8</v>
      </c>
      <c r="J4" s="276"/>
      <c r="K4" s="276"/>
      <c r="L4" s="276"/>
      <c r="M4" s="276"/>
      <c r="N4" s="276"/>
      <c r="O4" s="276"/>
      <c r="P4" s="276"/>
      <c r="Q4" s="276">
        <v>97191</v>
      </c>
      <c r="R4" s="276"/>
      <c r="S4" s="276"/>
    </row>
    <row r="5" spans="1:19" x14ac:dyDescent="0.3">
      <c r="A5" s="281" t="s">
        <v>142</v>
      </c>
      <c r="B5" s="280">
        <v>2</v>
      </c>
      <c r="C5">
        <v>1</v>
      </c>
      <c r="D5">
        <v>101</v>
      </c>
      <c r="E5">
        <v>1.5</v>
      </c>
      <c r="I5">
        <v>236</v>
      </c>
      <c r="Q5">
        <v>91795</v>
      </c>
    </row>
    <row r="6" spans="1:19" x14ac:dyDescent="0.3">
      <c r="A6" s="283" t="s">
        <v>143</v>
      </c>
      <c r="B6" s="282">
        <v>3</v>
      </c>
      <c r="C6">
        <v>1</v>
      </c>
      <c r="D6">
        <v>203</v>
      </c>
      <c r="E6">
        <v>0.2</v>
      </c>
      <c r="I6">
        <v>36.799999999999997</v>
      </c>
      <c r="Q6">
        <v>5396</v>
      </c>
    </row>
    <row r="7" spans="1:19" x14ac:dyDescent="0.3">
      <c r="A7" s="281" t="s">
        <v>144</v>
      </c>
      <c r="B7" s="280">
        <v>4</v>
      </c>
      <c r="C7">
        <v>1</v>
      </c>
      <c r="D7" t="s">
        <v>316</v>
      </c>
      <c r="E7">
        <v>0.05</v>
      </c>
      <c r="I7">
        <v>7.2</v>
      </c>
      <c r="Q7">
        <v>2776</v>
      </c>
    </row>
    <row r="8" spans="1:19" x14ac:dyDescent="0.3">
      <c r="A8" s="283" t="s">
        <v>145</v>
      </c>
      <c r="B8" s="282">
        <v>5</v>
      </c>
      <c r="C8">
        <v>1</v>
      </c>
      <c r="D8">
        <v>526</v>
      </c>
      <c r="E8">
        <v>0.05</v>
      </c>
      <c r="I8">
        <v>7.2</v>
      </c>
      <c r="Q8">
        <v>2776</v>
      </c>
    </row>
    <row r="9" spans="1:19" x14ac:dyDescent="0.3">
      <c r="A9" s="281" t="s">
        <v>146</v>
      </c>
      <c r="B9" s="280">
        <v>6</v>
      </c>
      <c r="C9">
        <v>1</v>
      </c>
      <c r="D9" t="s">
        <v>317</v>
      </c>
      <c r="E9">
        <v>0.6</v>
      </c>
      <c r="I9">
        <v>106.4</v>
      </c>
      <c r="Q9">
        <v>11828</v>
      </c>
    </row>
    <row r="10" spans="1:19" x14ac:dyDescent="0.3">
      <c r="A10" s="283" t="s">
        <v>147</v>
      </c>
      <c r="B10" s="282">
        <v>7</v>
      </c>
      <c r="C10">
        <v>1</v>
      </c>
      <c r="D10">
        <v>30</v>
      </c>
      <c r="E10">
        <v>0.6</v>
      </c>
      <c r="I10">
        <v>106.4</v>
      </c>
      <c r="Q10">
        <v>11828</v>
      </c>
    </row>
    <row r="11" spans="1:19" x14ac:dyDescent="0.3">
      <c r="A11" s="281" t="s">
        <v>148</v>
      </c>
      <c r="B11" s="280">
        <v>8</v>
      </c>
      <c r="C11" t="s">
        <v>318</v>
      </c>
      <c r="E11">
        <v>2.35</v>
      </c>
      <c r="I11">
        <v>386.4</v>
      </c>
      <c r="Q11">
        <v>111795</v>
      </c>
    </row>
    <row r="12" spans="1:19" x14ac:dyDescent="0.3">
      <c r="A12" s="283" t="s">
        <v>149</v>
      </c>
      <c r="B12" s="282">
        <v>9</v>
      </c>
      <c r="C12">
        <v>2</v>
      </c>
      <c r="D12" t="s">
        <v>180</v>
      </c>
      <c r="E12">
        <v>1.7</v>
      </c>
      <c r="I12">
        <v>260</v>
      </c>
      <c r="Q12">
        <v>96028</v>
      </c>
    </row>
    <row r="13" spans="1:19" x14ac:dyDescent="0.3">
      <c r="A13" s="281" t="s">
        <v>150</v>
      </c>
      <c r="B13" s="280">
        <v>10</v>
      </c>
      <c r="C13">
        <v>2</v>
      </c>
      <c r="D13">
        <v>101</v>
      </c>
      <c r="E13">
        <v>1.5</v>
      </c>
      <c r="I13">
        <v>228</v>
      </c>
      <c r="Q13">
        <v>90632</v>
      </c>
    </row>
    <row r="14" spans="1:19" x14ac:dyDescent="0.3">
      <c r="A14" s="283" t="s">
        <v>151</v>
      </c>
      <c r="B14" s="282">
        <v>11</v>
      </c>
      <c r="C14">
        <v>2</v>
      </c>
      <c r="D14">
        <v>203</v>
      </c>
      <c r="E14">
        <v>0.2</v>
      </c>
      <c r="I14">
        <v>32</v>
      </c>
      <c r="Q14">
        <v>5396</v>
      </c>
    </row>
    <row r="15" spans="1:19" x14ac:dyDescent="0.3">
      <c r="A15" s="281" t="s">
        <v>152</v>
      </c>
      <c r="B15" s="280">
        <v>12</v>
      </c>
      <c r="C15">
        <v>2</v>
      </c>
      <c r="D15" t="s">
        <v>316</v>
      </c>
      <c r="E15">
        <v>0.05</v>
      </c>
      <c r="I15">
        <v>7.6</v>
      </c>
      <c r="Q15">
        <v>2729</v>
      </c>
    </row>
    <row r="16" spans="1:19" x14ac:dyDescent="0.3">
      <c r="A16" s="279" t="s">
        <v>140</v>
      </c>
      <c r="B16" s="278">
        <v>2019</v>
      </c>
      <c r="C16">
        <v>2</v>
      </c>
      <c r="D16">
        <v>526</v>
      </c>
      <c r="E16">
        <v>0.05</v>
      </c>
      <c r="I16">
        <v>7.6</v>
      </c>
      <c r="Q16">
        <v>2729</v>
      </c>
    </row>
    <row r="17" spans="3:17" x14ac:dyDescent="0.3">
      <c r="C17">
        <v>2</v>
      </c>
      <c r="D17" t="s">
        <v>317</v>
      </c>
      <c r="E17">
        <v>0.6</v>
      </c>
      <c r="I17">
        <v>96</v>
      </c>
      <c r="Q17">
        <v>13325</v>
      </c>
    </row>
    <row r="18" spans="3:17" x14ac:dyDescent="0.3">
      <c r="C18">
        <v>2</v>
      </c>
      <c r="D18">
        <v>30</v>
      </c>
      <c r="E18">
        <v>0.6</v>
      </c>
      <c r="I18">
        <v>96</v>
      </c>
      <c r="Q18">
        <v>13325</v>
      </c>
    </row>
    <row r="19" spans="3:17" x14ac:dyDescent="0.3">
      <c r="C19" t="s">
        <v>319</v>
      </c>
      <c r="E19">
        <v>2.35</v>
      </c>
      <c r="I19">
        <v>363.6</v>
      </c>
      <c r="Q19">
        <v>112082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5" hidden="1" customWidth="1" outlineLevel="1"/>
    <col min="10" max="10" width="7.77734375" style="195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5" hidden="1" customWidth="1" outlineLevel="1"/>
    <col min="19" max="19" width="7.77734375" style="195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5" hidden="1" customWidth="1" outlineLevel="1"/>
    <col min="28" max="28" width="7.77734375" style="195" customWidth="1" collapsed="1"/>
    <col min="29" max="16384" width="8.88671875" style="115"/>
  </cols>
  <sheetData>
    <row r="1" spans="1:28" ht="18.600000000000001" customHeight="1" thickBot="1" x14ac:dyDescent="0.4">
      <c r="A1" s="374" t="s">
        <v>327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1:28" ht="14.4" customHeight="1" thickBot="1" x14ac:dyDescent="0.3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" customHeight="1" thickBot="1" x14ac:dyDescent="0.35">
      <c r="A3" s="202" t="s">
        <v>120</v>
      </c>
      <c r="B3" s="203">
        <f>SUBTOTAL(9,B6:B1048576)/4</f>
        <v>0</v>
      </c>
      <c r="C3" s="204">
        <f t="shared" ref="C3:Z3" si="0">SUBTOTAL(9,C6:C1048576)</f>
        <v>0</v>
      </c>
      <c r="D3" s="204"/>
      <c r="E3" s="204">
        <f>SUBTOTAL(9,E6:E1048576)/4</f>
        <v>355</v>
      </c>
      <c r="F3" s="204"/>
      <c r="G3" s="204">
        <f t="shared" si="0"/>
        <v>0</v>
      </c>
      <c r="H3" s="204">
        <f>SUBTOTAL(9,H6:H1048576)/4</f>
        <v>1587</v>
      </c>
      <c r="I3" s="207" t="str">
        <f>IF(B3&lt;&gt;0,H3/B3,"")</f>
        <v/>
      </c>
      <c r="J3" s="205">
        <f>IF(E3&lt;&gt;0,H3/E3,"")</f>
        <v>4.4704225352112674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" customHeight="1" x14ac:dyDescent="0.3">
      <c r="A4" s="375" t="s">
        <v>172</v>
      </c>
      <c r="B4" s="376" t="s">
        <v>95</v>
      </c>
      <c r="C4" s="377"/>
      <c r="D4" s="378"/>
      <c r="E4" s="377"/>
      <c r="F4" s="378"/>
      <c r="G4" s="377"/>
      <c r="H4" s="377"/>
      <c r="I4" s="378"/>
      <c r="J4" s="379"/>
      <c r="K4" s="376" t="s">
        <v>96</v>
      </c>
      <c r="L4" s="378"/>
      <c r="M4" s="377"/>
      <c r="N4" s="377"/>
      <c r="O4" s="378"/>
      <c r="P4" s="377"/>
      <c r="Q4" s="377"/>
      <c r="R4" s="378"/>
      <c r="S4" s="379"/>
      <c r="T4" s="376" t="s">
        <v>97</v>
      </c>
      <c r="U4" s="378"/>
      <c r="V4" s="377"/>
      <c r="W4" s="377"/>
      <c r="X4" s="378"/>
      <c r="Y4" s="377"/>
      <c r="Z4" s="377"/>
      <c r="AA4" s="378"/>
      <c r="AB4" s="379"/>
    </row>
    <row r="5" spans="1:28" ht="14.4" customHeight="1" thickBot="1" x14ac:dyDescent="0.35">
      <c r="A5" s="454"/>
      <c r="B5" s="455">
        <v>2015</v>
      </c>
      <c r="C5" s="456"/>
      <c r="D5" s="456"/>
      <c r="E5" s="456">
        <v>2018</v>
      </c>
      <c r="F5" s="456"/>
      <c r="G5" s="456"/>
      <c r="H5" s="456">
        <v>2019</v>
      </c>
      <c r="I5" s="457" t="s">
        <v>173</v>
      </c>
      <c r="J5" s="458" t="s">
        <v>2</v>
      </c>
      <c r="K5" s="455">
        <v>2015</v>
      </c>
      <c r="L5" s="456"/>
      <c r="M5" s="456"/>
      <c r="N5" s="456">
        <v>2018</v>
      </c>
      <c r="O5" s="456"/>
      <c r="P5" s="456"/>
      <c r="Q5" s="456">
        <v>2019</v>
      </c>
      <c r="R5" s="457" t="s">
        <v>173</v>
      </c>
      <c r="S5" s="458" t="s">
        <v>2</v>
      </c>
      <c r="T5" s="455">
        <v>2015</v>
      </c>
      <c r="U5" s="456"/>
      <c r="V5" s="456"/>
      <c r="W5" s="456">
        <v>2018</v>
      </c>
      <c r="X5" s="456"/>
      <c r="Y5" s="456"/>
      <c r="Z5" s="456">
        <v>2019</v>
      </c>
      <c r="AA5" s="457" t="s">
        <v>173</v>
      </c>
      <c r="AB5" s="458" t="s">
        <v>2</v>
      </c>
    </row>
    <row r="6" spans="1:28" ht="14.4" customHeight="1" x14ac:dyDescent="0.3">
      <c r="A6" s="459" t="s">
        <v>325</v>
      </c>
      <c r="B6" s="460"/>
      <c r="C6" s="461"/>
      <c r="D6" s="461"/>
      <c r="E6" s="460">
        <v>355</v>
      </c>
      <c r="F6" s="461"/>
      <c r="G6" s="461"/>
      <c r="H6" s="460">
        <v>1587</v>
      </c>
      <c r="I6" s="461"/>
      <c r="J6" s="461"/>
      <c r="K6" s="460"/>
      <c r="L6" s="461"/>
      <c r="M6" s="461"/>
      <c r="N6" s="460"/>
      <c r="O6" s="461"/>
      <c r="P6" s="461"/>
      <c r="Q6" s="460"/>
      <c r="R6" s="461"/>
      <c r="S6" s="461"/>
      <c r="T6" s="460"/>
      <c r="U6" s="461"/>
      <c r="V6" s="461"/>
      <c r="W6" s="460"/>
      <c r="X6" s="461"/>
      <c r="Y6" s="461"/>
      <c r="Z6" s="460"/>
      <c r="AA6" s="461"/>
      <c r="AB6" s="462"/>
    </row>
    <row r="7" spans="1:28" ht="14.4" customHeight="1" thickBot="1" x14ac:dyDescent="0.35">
      <c r="A7" s="466" t="s">
        <v>326</v>
      </c>
      <c r="B7" s="463"/>
      <c r="C7" s="464"/>
      <c r="D7" s="464"/>
      <c r="E7" s="463">
        <v>355</v>
      </c>
      <c r="F7" s="464"/>
      <c r="G7" s="464"/>
      <c r="H7" s="463">
        <v>1587</v>
      </c>
      <c r="I7" s="464"/>
      <c r="J7" s="464"/>
      <c r="K7" s="463"/>
      <c r="L7" s="464"/>
      <c r="M7" s="464"/>
      <c r="N7" s="463"/>
      <c r="O7" s="464"/>
      <c r="P7" s="464"/>
      <c r="Q7" s="463"/>
      <c r="R7" s="464"/>
      <c r="S7" s="464"/>
      <c r="T7" s="463"/>
      <c r="U7" s="464"/>
      <c r="V7" s="464"/>
      <c r="W7" s="463"/>
      <c r="X7" s="464"/>
      <c r="Y7" s="464"/>
      <c r="Z7" s="463"/>
      <c r="AA7" s="464"/>
      <c r="AB7" s="465"/>
    </row>
    <row r="8" spans="1:28" ht="14.4" customHeight="1" thickBot="1" x14ac:dyDescent="0.35"/>
    <row r="9" spans="1:28" ht="14.4" customHeight="1" x14ac:dyDescent="0.3">
      <c r="A9" s="459" t="s">
        <v>328</v>
      </c>
      <c r="B9" s="460"/>
      <c r="C9" s="461"/>
      <c r="D9" s="461"/>
      <c r="E9" s="460">
        <v>355</v>
      </c>
      <c r="F9" s="461"/>
      <c r="G9" s="461"/>
      <c r="H9" s="460">
        <v>1587</v>
      </c>
      <c r="I9" s="461"/>
      <c r="J9" s="462"/>
    </row>
    <row r="10" spans="1:28" ht="14.4" customHeight="1" thickBot="1" x14ac:dyDescent="0.35">
      <c r="A10" s="466" t="s">
        <v>329</v>
      </c>
      <c r="B10" s="463"/>
      <c r="C10" s="464"/>
      <c r="D10" s="464"/>
      <c r="E10" s="463">
        <v>355</v>
      </c>
      <c r="F10" s="464"/>
      <c r="G10" s="464"/>
      <c r="H10" s="463">
        <v>1587</v>
      </c>
      <c r="I10" s="464"/>
      <c r="J10" s="465"/>
    </row>
    <row r="11" spans="1:28" ht="14.4" customHeight="1" x14ac:dyDescent="0.3">
      <c r="A11" s="427" t="s">
        <v>209</v>
      </c>
    </row>
    <row r="12" spans="1:28" ht="14.4" customHeight="1" x14ac:dyDescent="0.3">
      <c r="A12" s="428" t="s">
        <v>307</v>
      </c>
    </row>
    <row r="13" spans="1:28" ht="14.4" customHeight="1" x14ac:dyDescent="0.3">
      <c r="A13" s="427" t="s">
        <v>330</v>
      </c>
    </row>
    <row r="14" spans="1:28" ht="14.4" customHeight="1" x14ac:dyDescent="0.3">
      <c r="A14" s="427" t="s">
        <v>331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2" hidden="1" customWidth="1" outlineLevel="1"/>
    <col min="3" max="3" width="7.77734375" style="192" customWidth="1" collapsed="1"/>
    <col min="4" max="4" width="7.77734375" style="192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74" t="s">
        <v>334</v>
      </c>
      <c r="B1" s="290"/>
      <c r="C1" s="290"/>
      <c r="D1" s="290"/>
      <c r="E1" s="290"/>
      <c r="F1" s="290"/>
      <c r="G1" s="290"/>
    </row>
    <row r="2" spans="1:7" ht="14.4" customHeight="1" thickBot="1" x14ac:dyDescent="0.35">
      <c r="A2" s="214" t="s">
        <v>232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36" t="s">
        <v>120</v>
      </c>
      <c r="B3" s="224">
        <f t="shared" ref="B3:G3" si="0">SUBTOTAL(9,B6:B1048576)</f>
        <v>0</v>
      </c>
      <c r="C3" s="225">
        <f t="shared" si="0"/>
        <v>1</v>
      </c>
      <c r="D3" s="235">
        <f t="shared" si="0"/>
        <v>5</v>
      </c>
      <c r="E3" s="206">
        <f t="shared" si="0"/>
        <v>0</v>
      </c>
      <c r="F3" s="204">
        <f t="shared" si="0"/>
        <v>355</v>
      </c>
      <c r="G3" s="226">
        <f t="shared" si="0"/>
        <v>1587</v>
      </c>
    </row>
    <row r="4" spans="1:7" ht="14.4" customHeight="1" x14ac:dyDescent="0.3">
      <c r="A4" s="375" t="s">
        <v>121</v>
      </c>
      <c r="B4" s="380" t="s">
        <v>170</v>
      </c>
      <c r="C4" s="378"/>
      <c r="D4" s="381"/>
      <c r="E4" s="380" t="s">
        <v>95</v>
      </c>
      <c r="F4" s="378"/>
      <c r="G4" s="381"/>
    </row>
    <row r="5" spans="1:7" ht="14.4" customHeight="1" thickBot="1" x14ac:dyDescent="0.35">
      <c r="A5" s="454"/>
      <c r="B5" s="455">
        <v>2015</v>
      </c>
      <c r="C5" s="456">
        <v>2018</v>
      </c>
      <c r="D5" s="467">
        <v>2019</v>
      </c>
      <c r="E5" s="455">
        <v>2015</v>
      </c>
      <c r="F5" s="456">
        <v>2018</v>
      </c>
      <c r="G5" s="467">
        <v>2019</v>
      </c>
    </row>
    <row r="6" spans="1:7" ht="14.4" customHeight="1" x14ac:dyDescent="0.3">
      <c r="A6" s="479" t="s">
        <v>332</v>
      </c>
      <c r="B6" s="102"/>
      <c r="C6" s="102"/>
      <c r="D6" s="102">
        <v>1</v>
      </c>
      <c r="E6" s="469"/>
      <c r="F6" s="469"/>
      <c r="G6" s="470">
        <v>179</v>
      </c>
    </row>
    <row r="7" spans="1:7" ht="14.4" customHeight="1" x14ac:dyDescent="0.3">
      <c r="A7" s="480" t="s">
        <v>309</v>
      </c>
      <c r="B7" s="472"/>
      <c r="C7" s="472">
        <v>1</v>
      </c>
      <c r="D7" s="472">
        <v>3</v>
      </c>
      <c r="E7" s="473"/>
      <c r="F7" s="473">
        <v>355</v>
      </c>
      <c r="G7" s="474">
        <v>1058</v>
      </c>
    </row>
    <row r="8" spans="1:7" ht="14.4" customHeight="1" thickBot="1" x14ac:dyDescent="0.35">
      <c r="A8" s="481" t="s">
        <v>333</v>
      </c>
      <c r="B8" s="476"/>
      <c r="C8" s="476"/>
      <c r="D8" s="476">
        <v>1</v>
      </c>
      <c r="E8" s="477"/>
      <c r="F8" s="477"/>
      <c r="G8" s="478">
        <v>350</v>
      </c>
    </row>
    <row r="9" spans="1:7" ht="14.4" customHeight="1" x14ac:dyDescent="0.3">
      <c r="A9" s="427" t="s">
        <v>209</v>
      </c>
    </row>
    <row r="10" spans="1:7" ht="14.4" customHeight="1" x14ac:dyDescent="0.3">
      <c r="A10" s="428" t="s">
        <v>307</v>
      </c>
    </row>
    <row r="11" spans="1:7" ht="14.4" customHeight="1" x14ac:dyDescent="0.3">
      <c r="A11" s="427" t="s">
        <v>330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2" hidden="1" customWidth="1" outlineLevel="1"/>
    <col min="9" max="10" width="9.33203125" style="115" hidden="1" customWidth="1"/>
    <col min="11" max="12" width="11.109375" style="192" customWidth="1"/>
    <col min="13" max="14" width="9.33203125" style="115" hidden="1" customWidth="1"/>
    <col min="15" max="16" width="11.109375" style="192" customWidth="1"/>
    <col min="17" max="17" width="11.109375" style="195" customWidth="1"/>
    <col min="18" max="18" width="11.109375" style="192" customWidth="1"/>
    <col min="19" max="16384" width="8.88671875" style="115"/>
  </cols>
  <sheetData>
    <row r="1" spans="1:18" ht="18.600000000000001" customHeight="1" thickBot="1" x14ac:dyDescent="0.4">
      <c r="A1" s="290" t="s">
        <v>344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ht="14.4" customHeight="1" thickBot="1" x14ac:dyDescent="0.3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" customHeight="1" thickBot="1" x14ac:dyDescent="0.35">
      <c r="F3" s="76" t="s">
        <v>120</v>
      </c>
      <c r="G3" s="88">
        <f t="shared" ref="G3:P3" si="0">SUBTOTAL(9,G6:G1048576)</f>
        <v>0</v>
      </c>
      <c r="H3" s="89">
        <f t="shared" si="0"/>
        <v>0</v>
      </c>
      <c r="I3" s="65"/>
      <c r="J3" s="65"/>
      <c r="K3" s="89">
        <f t="shared" si="0"/>
        <v>1</v>
      </c>
      <c r="L3" s="89">
        <f t="shared" si="0"/>
        <v>355</v>
      </c>
      <c r="M3" s="65"/>
      <c r="N3" s="65"/>
      <c r="O3" s="89">
        <f t="shared" si="0"/>
        <v>5</v>
      </c>
      <c r="P3" s="89">
        <f t="shared" si="0"/>
        <v>1587</v>
      </c>
      <c r="Q3" s="66">
        <f>IF(L3=0,0,P3/L3)</f>
        <v>4.4704225352112674</v>
      </c>
      <c r="R3" s="90">
        <f>IF(O3=0,0,P3/O3)</f>
        <v>317.39999999999998</v>
      </c>
    </row>
    <row r="4" spans="1:18" ht="14.4" customHeight="1" x14ac:dyDescent="0.3">
      <c r="A4" s="382" t="s">
        <v>174</v>
      </c>
      <c r="B4" s="382" t="s">
        <v>91</v>
      </c>
      <c r="C4" s="390" t="s">
        <v>0</v>
      </c>
      <c r="D4" s="384" t="s">
        <v>92</v>
      </c>
      <c r="E4" s="389" t="s">
        <v>67</v>
      </c>
      <c r="F4" s="385" t="s">
        <v>66</v>
      </c>
      <c r="G4" s="386">
        <v>2015</v>
      </c>
      <c r="H4" s="387"/>
      <c r="I4" s="87"/>
      <c r="J4" s="87"/>
      <c r="K4" s="386">
        <v>2018</v>
      </c>
      <c r="L4" s="387"/>
      <c r="M4" s="87"/>
      <c r="N4" s="87"/>
      <c r="O4" s="386">
        <v>2019</v>
      </c>
      <c r="P4" s="387"/>
      <c r="Q4" s="388" t="s">
        <v>2</v>
      </c>
      <c r="R4" s="383" t="s">
        <v>94</v>
      </c>
    </row>
    <row r="5" spans="1:18" ht="14.4" customHeight="1" thickBot="1" x14ac:dyDescent="0.35">
      <c r="A5" s="482"/>
      <c r="B5" s="482"/>
      <c r="C5" s="483"/>
      <c r="D5" s="484"/>
      <c r="E5" s="485"/>
      <c r="F5" s="486"/>
      <c r="G5" s="487" t="s">
        <v>68</v>
      </c>
      <c r="H5" s="488" t="s">
        <v>11</v>
      </c>
      <c r="I5" s="489"/>
      <c r="J5" s="489"/>
      <c r="K5" s="487" t="s">
        <v>68</v>
      </c>
      <c r="L5" s="488" t="s">
        <v>11</v>
      </c>
      <c r="M5" s="489"/>
      <c r="N5" s="489"/>
      <c r="O5" s="487" t="s">
        <v>68</v>
      </c>
      <c r="P5" s="488" t="s">
        <v>11</v>
      </c>
      <c r="Q5" s="490"/>
      <c r="R5" s="491"/>
    </row>
    <row r="6" spans="1:18" ht="14.4" customHeight="1" x14ac:dyDescent="0.3">
      <c r="A6" s="468" t="s">
        <v>335</v>
      </c>
      <c r="B6" s="492" t="s">
        <v>336</v>
      </c>
      <c r="C6" s="492" t="s">
        <v>328</v>
      </c>
      <c r="D6" s="492" t="s">
        <v>337</v>
      </c>
      <c r="E6" s="492" t="s">
        <v>338</v>
      </c>
      <c r="F6" s="492" t="s">
        <v>339</v>
      </c>
      <c r="G6" s="102"/>
      <c r="H6" s="102"/>
      <c r="I6" s="492"/>
      <c r="J6" s="492"/>
      <c r="K6" s="102">
        <v>1</v>
      </c>
      <c r="L6" s="102">
        <v>355</v>
      </c>
      <c r="M6" s="492"/>
      <c r="N6" s="492">
        <v>355</v>
      </c>
      <c r="O6" s="102">
        <v>1</v>
      </c>
      <c r="P6" s="102">
        <v>358</v>
      </c>
      <c r="Q6" s="493"/>
      <c r="R6" s="494">
        <v>358</v>
      </c>
    </row>
    <row r="7" spans="1:18" ht="14.4" customHeight="1" x14ac:dyDescent="0.3">
      <c r="A7" s="471" t="s">
        <v>335</v>
      </c>
      <c r="B7" s="495" t="s">
        <v>336</v>
      </c>
      <c r="C7" s="495" t="s">
        <v>328</v>
      </c>
      <c r="D7" s="495" t="s">
        <v>337</v>
      </c>
      <c r="E7" s="495" t="s">
        <v>340</v>
      </c>
      <c r="F7" s="495" t="s">
        <v>341</v>
      </c>
      <c r="G7" s="472"/>
      <c r="H7" s="472"/>
      <c r="I7" s="495"/>
      <c r="J7" s="495"/>
      <c r="K7" s="472"/>
      <c r="L7" s="472"/>
      <c r="M7" s="495"/>
      <c r="N7" s="495"/>
      <c r="O7" s="472">
        <v>1</v>
      </c>
      <c r="P7" s="472">
        <v>179</v>
      </c>
      <c r="Q7" s="496"/>
      <c r="R7" s="497">
        <v>179</v>
      </c>
    </row>
    <row r="8" spans="1:18" ht="14.4" customHeight="1" thickBot="1" x14ac:dyDescent="0.35">
      <c r="A8" s="475" t="s">
        <v>335</v>
      </c>
      <c r="B8" s="498" t="s">
        <v>336</v>
      </c>
      <c r="C8" s="498" t="s">
        <v>328</v>
      </c>
      <c r="D8" s="498" t="s">
        <v>337</v>
      </c>
      <c r="E8" s="498" t="s">
        <v>342</v>
      </c>
      <c r="F8" s="498" t="s">
        <v>343</v>
      </c>
      <c r="G8" s="476"/>
      <c r="H8" s="476"/>
      <c r="I8" s="498"/>
      <c r="J8" s="498"/>
      <c r="K8" s="476"/>
      <c r="L8" s="476"/>
      <c r="M8" s="498"/>
      <c r="N8" s="498"/>
      <c r="O8" s="476">
        <v>3</v>
      </c>
      <c r="P8" s="476">
        <v>1050</v>
      </c>
      <c r="Q8" s="499"/>
      <c r="R8" s="500">
        <v>350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2" hidden="1" customWidth="1" outlineLevel="1"/>
    <col min="10" max="11" width="9.33203125" style="115" hidden="1" customWidth="1"/>
    <col min="12" max="13" width="11.109375" style="192" customWidth="1"/>
    <col min="14" max="15" width="9.33203125" style="115" hidden="1" customWidth="1"/>
    <col min="16" max="17" width="11.109375" style="192" customWidth="1"/>
    <col min="18" max="18" width="11.109375" style="195" customWidth="1"/>
    <col min="19" max="19" width="11.109375" style="192" customWidth="1"/>
    <col min="20" max="16384" width="8.88671875" style="115"/>
  </cols>
  <sheetData>
    <row r="1" spans="1:19" ht="18.600000000000001" customHeight="1" thickBot="1" x14ac:dyDescent="0.4">
      <c r="A1" s="290" t="s">
        <v>345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" customHeight="1" thickBot="1" x14ac:dyDescent="0.35">
      <c r="G3" s="76" t="s">
        <v>120</v>
      </c>
      <c r="H3" s="88">
        <f t="shared" ref="H3:Q3" si="0">SUBTOTAL(9,H6:H1048576)</f>
        <v>0</v>
      </c>
      <c r="I3" s="89">
        <f t="shared" si="0"/>
        <v>0</v>
      </c>
      <c r="J3" s="65"/>
      <c r="K3" s="65"/>
      <c r="L3" s="89">
        <f t="shared" si="0"/>
        <v>1</v>
      </c>
      <c r="M3" s="89">
        <f t="shared" si="0"/>
        <v>355</v>
      </c>
      <c r="N3" s="65"/>
      <c r="O3" s="65"/>
      <c r="P3" s="89">
        <f t="shared" si="0"/>
        <v>5</v>
      </c>
      <c r="Q3" s="89">
        <f t="shared" si="0"/>
        <v>1587</v>
      </c>
      <c r="R3" s="66">
        <f>IF(M3=0,0,Q3/M3)</f>
        <v>4.4704225352112674</v>
      </c>
      <c r="S3" s="90">
        <f>IF(P3=0,0,Q3/P3)</f>
        <v>317.39999999999998</v>
      </c>
    </row>
    <row r="4" spans="1:19" ht="14.4" customHeight="1" x14ac:dyDescent="0.3">
      <c r="A4" s="382" t="s">
        <v>174</v>
      </c>
      <c r="B4" s="382" t="s">
        <v>91</v>
      </c>
      <c r="C4" s="390" t="s">
        <v>0</v>
      </c>
      <c r="D4" s="231" t="s">
        <v>121</v>
      </c>
      <c r="E4" s="384" t="s">
        <v>92</v>
      </c>
      <c r="F4" s="389" t="s">
        <v>67</v>
      </c>
      <c r="G4" s="385" t="s">
        <v>66</v>
      </c>
      <c r="H4" s="386">
        <v>2015</v>
      </c>
      <c r="I4" s="387"/>
      <c r="J4" s="87"/>
      <c r="K4" s="87"/>
      <c r="L4" s="386">
        <v>2018</v>
      </c>
      <c r="M4" s="387"/>
      <c r="N4" s="87"/>
      <c r="O4" s="87"/>
      <c r="P4" s="386">
        <v>2019</v>
      </c>
      <c r="Q4" s="387"/>
      <c r="R4" s="388" t="s">
        <v>2</v>
      </c>
      <c r="S4" s="383" t="s">
        <v>94</v>
      </c>
    </row>
    <row r="5" spans="1:19" ht="14.4" customHeight="1" thickBot="1" x14ac:dyDescent="0.35">
      <c r="A5" s="482"/>
      <c r="B5" s="482"/>
      <c r="C5" s="483"/>
      <c r="D5" s="501"/>
      <c r="E5" s="484"/>
      <c r="F5" s="485"/>
      <c r="G5" s="486"/>
      <c r="H5" s="487" t="s">
        <v>68</v>
      </c>
      <c r="I5" s="488" t="s">
        <v>11</v>
      </c>
      <c r="J5" s="489"/>
      <c r="K5" s="489"/>
      <c r="L5" s="487" t="s">
        <v>68</v>
      </c>
      <c r="M5" s="488" t="s">
        <v>11</v>
      </c>
      <c r="N5" s="489"/>
      <c r="O5" s="489"/>
      <c r="P5" s="487" t="s">
        <v>68</v>
      </c>
      <c r="Q5" s="488" t="s">
        <v>11</v>
      </c>
      <c r="R5" s="490"/>
      <c r="S5" s="491"/>
    </row>
    <row r="6" spans="1:19" ht="14.4" customHeight="1" x14ac:dyDescent="0.3">
      <c r="A6" s="468" t="s">
        <v>335</v>
      </c>
      <c r="B6" s="492" t="s">
        <v>336</v>
      </c>
      <c r="C6" s="492" t="s">
        <v>328</v>
      </c>
      <c r="D6" s="492" t="s">
        <v>332</v>
      </c>
      <c r="E6" s="492" t="s">
        <v>337</v>
      </c>
      <c r="F6" s="492" t="s">
        <v>340</v>
      </c>
      <c r="G6" s="492" t="s">
        <v>341</v>
      </c>
      <c r="H6" s="102"/>
      <c r="I6" s="102"/>
      <c r="J6" s="492"/>
      <c r="K6" s="492"/>
      <c r="L6" s="102"/>
      <c r="M6" s="102"/>
      <c r="N6" s="492"/>
      <c r="O6" s="492"/>
      <c r="P6" s="102">
        <v>1</v>
      </c>
      <c r="Q6" s="102">
        <v>179</v>
      </c>
      <c r="R6" s="493"/>
      <c r="S6" s="494">
        <v>179</v>
      </c>
    </row>
    <row r="7" spans="1:19" ht="14.4" customHeight="1" x14ac:dyDescent="0.3">
      <c r="A7" s="471" t="s">
        <v>335</v>
      </c>
      <c r="B7" s="495" t="s">
        <v>336</v>
      </c>
      <c r="C7" s="495" t="s">
        <v>328</v>
      </c>
      <c r="D7" s="495" t="s">
        <v>309</v>
      </c>
      <c r="E7" s="495" t="s">
        <v>337</v>
      </c>
      <c r="F7" s="495" t="s">
        <v>338</v>
      </c>
      <c r="G7" s="495" t="s">
        <v>339</v>
      </c>
      <c r="H7" s="472"/>
      <c r="I7" s="472"/>
      <c r="J7" s="495"/>
      <c r="K7" s="495"/>
      <c r="L7" s="472">
        <v>1</v>
      </c>
      <c r="M7" s="472">
        <v>355</v>
      </c>
      <c r="N7" s="495"/>
      <c r="O7" s="495">
        <v>355</v>
      </c>
      <c r="P7" s="472">
        <v>1</v>
      </c>
      <c r="Q7" s="472">
        <v>358</v>
      </c>
      <c r="R7" s="496"/>
      <c r="S7" s="497">
        <v>358</v>
      </c>
    </row>
    <row r="8" spans="1:19" ht="14.4" customHeight="1" x14ac:dyDescent="0.3">
      <c r="A8" s="471" t="s">
        <v>335</v>
      </c>
      <c r="B8" s="495" t="s">
        <v>336</v>
      </c>
      <c r="C8" s="495" t="s">
        <v>328</v>
      </c>
      <c r="D8" s="495" t="s">
        <v>309</v>
      </c>
      <c r="E8" s="495" t="s">
        <v>337</v>
      </c>
      <c r="F8" s="495" t="s">
        <v>342</v>
      </c>
      <c r="G8" s="495" t="s">
        <v>343</v>
      </c>
      <c r="H8" s="472"/>
      <c r="I8" s="472"/>
      <c r="J8" s="495"/>
      <c r="K8" s="495"/>
      <c r="L8" s="472"/>
      <c r="M8" s="472"/>
      <c r="N8" s="495"/>
      <c r="O8" s="495"/>
      <c r="P8" s="472">
        <v>2</v>
      </c>
      <c r="Q8" s="472">
        <v>700</v>
      </c>
      <c r="R8" s="496"/>
      <c r="S8" s="497">
        <v>350</v>
      </c>
    </row>
    <row r="9" spans="1:19" ht="14.4" customHeight="1" thickBot="1" x14ac:dyDescent="0.35">
      <c r="A9" s="475" t="s">
        <v>335</v>
      </c>
      <c r="B9" s="498" t="s">
        <v>336</v>
      </c>
      <c r="C9" s="498" t="s">
        <v>328</v>
      </c>
      <c r="D9" s="498" t="s">
        <v>333</v>
      </c>
      <c r="E9" s="498" t="s">
        <v>337</v>
      </c>
      <c r="F9" s="498" t="s">
        <v>342</v>
      </c>
      <c r="G9" s="498" t="s">
        <v>343</v>
      </c>
      <c r="H9" s="476"/>
      <c r="I9" s="476"/>
      <c r="J9" s="498"/>
      <c r="K9" s="498"/>
      <c r="L9" s="476"/>
      <c r="M9" s="476"/>
      <c r="N9" s="498"/>
      <c r="O9" s="498"/>
      <c r="P9" s="476">
        <v>1</v>
      </c>
      <c r="Q9" s="476">
        <v>350</v>
      </c>
      <c r="R9" s="499"/>
      <c r="S9" s="500">
        <v>350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5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5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5" customWidth="1"/>
    <col min="20" max="16384" width="8.88671875" style="115"/>
  </cols>
  <sheetData>
    <row r="1" spans="1:19" ht="18.600000000000001" customHeight="1" thickBot="1" x14ac:dyDescent="0.4">
      <c r="A1" s="302" t="s">
        <v>119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customHeight="1" thickBot="1" x14ac:dyDescent="0.3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" customHeight="1" thickBot="1" x14ac:dyDescent="0.35">
      <c r="A3" s="202" t="s">
        <v>120</v>
      </c>
      <c r="B3" s="203">
        <f>SUBTOTAL(9,B6:B1048576)</f>
        <v>3904</v>
      </c>
      <c r="C3" s="204">
        <f t="shared" ref="C3:R3" si="0">SUBTOTAL(9,C6:C1048576)</f>
        <v>6</v>
      </c>
      <c r="D3" s="204">
        <f t="shared" si="0"/>
        <v>14387</v>
      </c>
      <c r="E3" s="204">
        <f t="shared" si="0"/>
        <v>4.1104057517407178</v>
      </c>
      <c r="F3" s="204">
        <f t="shared" si="0"/>
        <v>11635</v>
      </c>
      <c r="G3" s="207">
        <f>IF(D3&lt;&gt;0,F3/D3,"")</f>
        <v>0.80871620212692019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" customHeight="1" x14ac:dyDescent="0.3">
      <c r="A4" s="375" t="s">
        <v>101</v>
      </c>
      <c r="B4" s="376" t="s">
        <v>95</v>
      </c>
      <c r="C4" s="377"/>
      <c r="D4" s="377"/>
      <c r="E4" s="377"/>
      <c r="F4" s="377"/>
      <c r="G4" s="379"/>
      <c r="H4" s="376" t="s">
        <v>96</v>
      </c>
      <c r="I4" s="377"/>
      <c r="J4" s="377"/>
      <c r="K4" s="377"/>
      <c r="L4" s="377"/>
      <c r="M4" s="379"/>
      <c r="N4" s="376" t="s">
        <v>97</v>
      </c>
      <c r="O4" s="377"/>
      <c r="P4" s="377"/>
      <c r="Q4" s="377"/>
      <c r="R4" s="377"/>
      <c r="S4" s="379"/>
    </row>
    <row r="5" spans="1:19" ht="14.4" customHeight="1" thickBot="1" x14ac:dyDescent="0.35">
      <c r="A5" s="454"/>
      <c r="B5" s="455">
        <v>2015</v>
      </c>
      <c r="C5" s="456"/>
      <c r="D5" s="456">
        <v>2018</v>
      </c>
      <c r="E5" s="456"/>
      <c r="F5" s="456">
        <v>2019</v>
      </c>
      <c r="G5" s="502" t="s">
        <v>2</v>
      </c>
      <c r="H5" s="455">
        <v>2015</v>
      </c>
      <c r="I5" s="456"/>
      <c r="J5" s="456">
        <v>2018</v>
      </c>
      <c r="K5" s="456"/>
      <c r="L5" s="456">
        <v>2019</v>
      </c>
      <c r="M5" s="502" t="s">
        <v>2</v>
      </c>
      <c r="N5" s="455">
        <v>2015</v>
      </c>
      <c r="O5" s="456"/>
      <c r="P5" s="456">
        <v>2018</v>
      </c>
      <c r="Q5" s="456"/>
      <c r="R5" s="456">
        <v>2019</v>
      </c>
      <c r="S5" s="502" t="s">
        <v>2</v>
      </c>
    </row>
    <row r="6" spans="1:19" ht="14.4" customHeight="1" x14ac:dyDescent="0.3">
      <c r="A6" s="479" t="s">
        <v>346</v>
      </c>
      <c r="B6" s="469"/>
      <c r="C6" s="492"/>
      <c r="D6" s="469">
        <v>710</v>
      </c>
      <c r="E6" s="492"/>
      <c r="F6" s="469">
        <v>358</v>
      </c>
      <c r="G6" s="493"/>
      <c r="H6" s="469"/>
      <c r="I6" s="492"/>
      <c r="J6" s="469"/>
      <c r="K6" s="492"/>
      <c r="L6" s="469"/>
      <c r="M6" s="493"/>
      <c r="N6" s="469"/>
      <c r="O6" s="492"/>
      <c r="P6" s="469"/>
      <c r="Q6" s="492"/>
      <c r="R6" s="469"/>
      <c r="S6" s="108"/>
    </row>
    <row r="7" spans="1:19" ht="14.4" customHeight="1" x14ac:dyDescent="0.3">
      <c r="A7" s="480" t="s">
        <v>347</v>
      </c>
      <c r="B7" s="473"/>
      <c r="C7" s="495"/>
      <c r="D7" s="473">
        <v>3730</v>
      </c>
      <c r="E7" s="495"/>
      <c r="F7" s="473">
        <v>358</v>
      </c>
      <c r="G7" s="496"/>
      <c r="H7" s="473"/>
      <c r="I7" s="495"/>
      <c r="J7" s="473"/>
      <c r="K7" s="495"/>
      <c r="L7" s="473"/>
      <c r="M7" s="496"/>
      <c r="N7" s="473"/>
      <c r="O7" s="495"/>
      <c r="P7" s="473"/>
      <c r="Q7" s="495"/>
      <c r="R7" s="473"/>
      <c r="S7" s="503"/>
    </row>
    <row r="8" spans="1:19" ht="14.4" customHeight="1" x14ac:dyDescent="0.3">
      <c r="A8" s="480" t="s">
        <v>348</v>
      </c>
      <c r="B8" s="473">
        <v>710</v>
      </c>
      <c r="C8" s="495">
        <v>1</v>
      </c>
      <c r="D8" s="473">
        <v>1954</v>
      </c>
      <c r="E8" s="495">
        <v>2.7521126760563379</v>
      </c>
      <c r="F8" s="473">
        <v>1790</v>
      </c>
      <c r="G8" s="496">
        <v>2.5211267605633805</v>
      </c>
      <c r="H8" s="473"/>
      <c r="I8" s="495"/>
      <c r="J8" s="473"/>
      <c r="K8" s="495"/>
      <c r="L8" s="473"/>
      <c r="M8" s="496"/>
      <c r="N8" s="473"/>
      <c r="O8" s="495"/>
      <c r="P8" s="473"/>
      <c r="Q8" s="495"/>
      <c r="R8" s="473"/>
      <c r="S8" s="503"/>
    </row>
    <row r="9" spans="1:19" ht="14.4" customHeight="1" x14ac:dyDescent="0.3">
      <c r="A9" s="480" t="s">
        <v>349</v>
      </c>
      <c r="B9" s="473"/>
      <c r="C9" s="495"/>
      <c r="D9" s="473"/>
      <c r="E9" s="495"/>
      <c r="F9" s="473">
        <v>179</v>
      </c>
      <c r="G9" s="496"/>
      <c r="H9" s="473"/>
      <c r="I9" s="495"/>
      <c r="J9" s="473"/>
      <c r="K9" s="495"/>
      <c r="L9" s="473"/>
      <c r="M9" s="496"/>
      <c r="N9" s="473"/>
      <c r="O9" s="495"/>
      <c r="P9" s="473"/>
      <c r="Q9" s="495"/>
      <c r="R9" s="473"/>
      <c r="S9" s="503"/>
    </row>
    <row r="10" spans="1:19" ht="14.4" customHeight="1" x14ac:dyDescent="0.3">
      <c r="A10" s="480" t="s">
        <v>350</v>
      </c>
      <c r="B10" s="473"/>
      <c r="C10" s="495"/>
      <c r="D10" s="473">
        <v>355</v>
      </c>
      <c r="E10" s="495"/>
      <c r="F10" s="473"/>
      <c r="G10" s="496"/>
      <c r="H10" s="473"/>
      <c r="I10" s="495"/>
      <c r="J10" s="473"/>
      <c r="K10" s="495"/>
      <c r="L10" s="473"/>
      <c r="M10" s="496"/>
      <c r="N10" s="473"/>
      <c r="O10" s="495"/>
      <c r="P10" s="473"/>
      <c r="Q10" s="495"/>
      <c r="R10" s="473"/>
      <c r="S10" s="503"/>
    </row>
    <row r="11" spans="1:19" ht="14.4" customHeight="1" x14ac:dyDescent="0.3">
      <c r="A11" s="480" t="s">
        <v>351</v>
      </c>
      <c r="B11" s="473"/>
      <c r="C11" s="495"/>
      <c r="D11" s="473">
        <v>4085</v>
      </c>
      <c r="E11" s="495"/>
      <c r="F11" s="473">
        <v>5012</v>
      </c>
      <c r="G11" s="496"/>
      <c r="H11" s="473"/>
      <c r="I11" s="495"/>
      <c r="J11" s="473"/>
      <c r="K11" s="495"/>
      <c r="L11" s="473"/>
      <c r="M11" s="496"/>
      <c r="N11" s="473"/>
      <c r="O11" s="495"/>
      <c r="P11" s="473"/>
      <c r="Q11" s="495"/>
      <c r="R11" s="473"/>
      <c r="S11" s="503"/>
    </row>
    <row r="12" spans="1:19" ht="14.4" customHeight="1" x14ac:dyDescent="0.3">
      <c r="A12" s="480" t="s">
        <v>352</v>
      </c>
      <c r="B12" s="473">
        <v>710</v>
      </c>
      <c r="C12" s="495">
        <v>1</v>
      </c>
      <c r="D12" s="473">
        <v>355</v>
      </c>
      <c r="E12" s="495">
        <v>0.5</v>
      </c>
      <c r="F12" s="473"/>
      <c r="G12" s="496"/>
      <c r="H12" s="473"/>
      <c r="I12" s="495"/>
      <c r="J12" s="473"/>
      <c r="K12" s="495"/>
      <c r="L12" s="473"/>
      <c r="M12" s="496"/>
      <c r="N12" s="473"/>
      <c r="O12" s="495"/>
      <c r="P12" s="473"/>
      <c r="Q12" s="495"/>
      <c r="R12" s="473"/>
      <c r="S12" s="503"/>
    </row>
    <row r="13" spans="1:19" ht="14.4" customHeight="1" x14ac:dyDescent="0.3">
      <c r="A13" s="480" t="s">
        <v>353</v>
      </c>
      <c r="B13" s="473">
        <v>532</v>
      </c>
      <c r="C13" s="495">
        <v>1</v>
      </c>
      <c r="D13" s="473"/>
      <c r="E13" s="495"/>
      <c r="F13" s="473"/>
      <c r="G13" s="496"/>
      <c r="H13" s="473"/>
      <c r="I13" s="495"/>
      <c r="J13" s="473"/>
      <c r="K13" s="495"/>
      <c r="L13" s="473"/>
      <c r="M13" s="496"/>
      <c r="N13" s="473"/>
      <c r="O13" s="495"/>
      <c r="P13" s="473"/>
      <c r="Q13" s="495"/>
      <c r="R13" s="473"/>
      <c r="S13" s="503"/>
    </row>
    <row r="14" spans="1:19" ht="14.4" customHeight="1" x14ac:dyDescent="0.3">
      <c r="A14" s="480" t="s">
        <v>354</v>
      </c>
      <c r="B14" s="473"/>
      <c r="C14" s="495"/>
      <c r="D14" s="473">
        <v>355</v>
      </c>
      <c r="E14" s="495"/>
      <c r="F14" s="473"/>
      <c r="G14" s="496"/>
      <c r="H14" s="473"/>
      <c r="I14" s="495"/>
      <c r="J14" s="473"/>
      <c r="K14" s="495"/>
      <c r="L14" s="473"/>
      <c r="M14" s="496"/>
      <c r="N14" s="473"/>
      <c r="O14" s="495"/>
      <c r="P14" s="473"/>
      <c r="Q14" s="495"/>
      <c r="R14" s="473"/>
      <c r="S14" s="503"/>
    </row>
    <row r="15" spans="1:19" ht="14.4" customHeight="1" x14ac:dyDescent="0.3">
      <c r="A15" s="480" t="s">
        <v>355</v>
      </c>
      <c r="B15" s="473">
        <v>355</v>
      </c>
      <c r="C15" s="495">
        <v>1</v>
      </c>
      <c r="D15" s="473"/>
      <c r="E15" s="495"/>
      <c r="F15" s="473">
        <v>537</v>
      </c>
      <c r="G15" s="496">
        <v>1.5126760563380282</v>
      </c>
      <c r="H15" s="473"/>
      <c r="I15" s="495"/>
      <c r="J15" s="473"/>
      <c r="K15" s="495"/>
      <c r="L15" s="473"/>
      <c r="M15" s="496"/>
      <c r="N15" s="473"/>
      <c r="O15" s="495"/>
      <c r="P15" s="473"/>
      <c r="Q15" s="495"/>
      <c r="R15" s="473"/>
      <c r="S15" s="503"/>
    </row>
    <row r="16" spans="1:19" ht="14.4" customHeight="1" x14ac:dyDescent="0.3">
      <c r="A16" s="480" t="s">
        <v>356</v>
      </c>
      <c r="B16" s="473"/>
      <c r="C16" s="495"/>
      <c r="D16" s="473">
        <v>711</v>
      </c>
      <c r="E16" s="495"/>
      <c r="F16" s="473">
        <v>537</v>
      </c>
      <c r="G16" s="496"/>
      <c r="H16" s="473"/>
      <c r="I16" s="495"/>
      <c r="J16" s="473"/>
      <c r="K16" s="495"/>
      <c r="L16" s="473"/>
      <c r="M16" s="496"/>
      <c r="N16" s="473"/>
      <c r="O16" s="495"/>
      <c r="P16" s="473"/>
      <c r="Q16" s="495"/>
      <c r="R16" s="473"/>
      <c r="S16" s="503"/>
    </row>
    <row r="17" spans="1:19" ht="14.4" customHeight="1" x14ac:dyDescent="0.3">
      <c r="A17" s="480" t="s">
        <v>357</v>
      </c>
      <c r="B17" s="473"/>
      <c r="C17" s="495"/>
      <c r="D17" s="473">
        <v>1066</v>
      </c>
      <c r="E17" s="495"/>
      <c r="F17" s="473"/>
      <c r="G17" s="496"/>
      <c r="H17" s="473"/>
      <c r="I17" s="495"/>
      <c r="J17" s="473"/>
      <c r="K17" s="495"/>
      <c r="L17" s="473"/>
      <c r="M17" s="496"/>
      <c r="N17" s="473"/>
      <c r="O17" s="495"/>
      <c r="P17" s="473"/>
      <c r="Q17" s="495"/>
      <c r="R17" s="473"/>
      <c r="S17" s="503"/>
    </row>
    <row r="18" spans="1:19" ht="14.4" customHeight="1" x14ac:dyDescent="0.3">
      <c r="A18" s="480" t="s">
        <v>358</v>
      </c>
      <c r="B18" s="473">
        <v>1242</v>
      </c>
      <c r="C18" s="495">
        <v>1</v>
      </c>
      <c r="D18" s="473">
        <v>1066</v>
      </c>
      <c r="E18" s="495">
        <v>0.85829307568438007</v>
      </c>
      <c r="F18" s="473">
        <v>358</v>
      </c>
      <c r="G18" s="496">
        <v>0.28824476650563607</v>
      </c>
      <c r="H18" s="473"/>
      <c r="I18" s="495"/>
      <c r="J18" s="473"/>
      <c r="K18" s="495"/>
      <c r="L18" s="473"/>
      <c r="M18" s="496"/>
      <c r="N18" s="473"/>
      <c r="O18" s="495"/>
      <c r="P18" s="473"/>
      <c r="Q18" s="495"/>
      <c r="R18" s="473"/>
      <c r="S18" s="503"/>
    </row>
    <row r="19" spans="1:19" ht="14.4" customHeight="1" x14ac:dyDescent="0.3">
      <c r="A19" s="480" t="s">
        <v>359</v>
      </c>
      <c r="B19" s="473">
        <v>355</v>
      </c>
      <c r="C19" s="495">
        <v>1</v>
      </c>
      <c r="D19" s="473"/>
      <c r="E19" s="495"/>
      <c r="F19" s="473"/>
      <c r="G19" s="496"/>
      <c r="H19" s="473"/>
      <c r="I19" s="495"/>
      <c r="J19" s="473"/>
      <c r="K19" s="495"/>
      <c r="L19" s="473"/>
      <c r="M19" s="496"/>
      <c r="N19" s="473"/>
      <c r="O19" s="495"/>
      <c r="P19" s="473"/>
      <c r="Q19" s="495"/>
      <c r="R19" s="473"/>
      <c r="S19" s="503"/>
    </row>
    <row r="20" spans="1:19" ht="14.4" customHeight="1" thickBot="1" x14ac:dyDescent="0.35">
      <c r="A20" s="481" t="s">
        <v>360</v>
      </c>
      <c r="B20" s="477"/>
      <c r="C20" s="498"/>
      <c r="D20" s="477"/>
      <c r="E20" s="498"/>
      <c r="F20" s="477">
        <v>2506</v>
      </c>
      <c r="G20" s="499"/>
      <c r="H20" s="477"/>
      <c r="I20" s="498"/>
      <c r="J20" s="477"/>
      <c r="K20" s="498"/>
      <c r="L20" s="477"/>
      <c r="M20" s="499"/>
      <c r="N20" s="477"/>
      <c r="O20" s="498"/>
      <c r="P20" s="477"/>
      <c r="Q20" s="498"/>
      <c r="R20" s="477"/>
      <c r="S20" s="5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2" hidden="1" customWidth="1" outlineLevel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5"/>
  </cols>
  <sheetData>
    <row r="1" spans="1:17" ht="18.600000000000001" customHeight="1" thickBot="1" x14ac:dyDescent="0.4">
      <c r="A1" s="290" t="s">
        <v>376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</row>
    <row r="2" spans="1:17" ht="14.4" customHeight="1" thickBot="1" x14ac:dyDescent="0.3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" customHeight="1" thickBot="1" x14ac:dyDescent="0.35">
      <c r="E3" s="76" t="s">
        <v>120</v>
      </c>
      <c r="F3" s="88">
        <f t="shared" ref="F3:O3" si="0">SUBTOTAL(9,F6:F1048576)</f>
        <v>12</v>
      </c>
      <c r="G3" s="89">
        <f t="shared" si="0"/>
        <v>3904</v>
      </c>
      <c r="H3" s="89"/>
      <c r="I3" s="89"/>
      <c r="J3" s="89">
        <f t="shared" si="0"/>
        <v>50</v>
      </c>
      <c r="K3" s="89">
        <f t="shared" si="0"/>
        <v>14387</v>
      </c>
      <c r="L3" s="89"/>
      <c r="M3" s="89"/>
      <c r="N3" s="89">
        <f t="shared" si="0"/>
        <v>43</v>
      </c>
      <c r="O3" s="89">
        <f t="shared" si="0"/>
        <v>11635</v>
      </c>
      <c r="P3" s="66">
        <f>IF(K3=0,0,O3/K3)</f>
        <v>0.80871620212692019</v>
      </c>
      <c r="Q3" s="90">
        <f>IF(N3=0,0,O3/N3)</f>
        <v>270.58139534883719</v>
      </c>
    </row>
    <row r="4" spans="1:17" ht="14.4" customHeight="1" x14ac:dyDescent="0.3">
      <c r="A4" s="384" t="s">
        <v>65</v>
      </c>
      <c r="B4" s="382" t="s">
        <v>91</v>
      </c>
      <c r="C4" s="384" t="s">
        <v>92</v>
      </c>
      <c r="D4" s="393" t="s">
        <v>93</v>
      </c>
      <c r="E4" s="385" t="s">
        <v>66</v>
      </c>
      <c r="F4" s="391">
        <v>2015</v>
      </c>
      <c r="G4" s="392"/>
      <c r="H4" s="91"/>
      <c r="I4" s="91"/>
      <c r="J4" s="391">
        <v>2018</v>
      </c>
      <c r="K4" s="392"/>
      <c r="L4" s="91"/>
      <c r="M4" s="91"/>
      <c r="N4" s="391">
        <v>2019</v>
      </c>
      <c r="O4" s="392"/>
      <c r="P4" s="394" t="s">
        <v>2</v>
      </c>
      <c r="Q4" s="383" t="s">
        <v>94</v>
      </c>
    </row>
    <row r="5" spans="1:17" ht="14.4" customHeight="1" thickBot="1" x14ac:dyDescent="0.35">
      <c r="A5" s="484"/>
      <c r="B5" s="482"/>
      <c r="C5" s="484"/>
      <c r="D5" s="505"/>
      <c r="E5" s="486"/>
      <c r="F5" s="506" t="s">
        <v>68</v>
      </c>
      <c r="G5" s="507" t="s">
        <v>11</v>
      </c>
      <c r="H5" s="508"/>
      <c r="I5" s="508"/>
      <c r="J5" s="506" t="s">
        <v>68</v>
      </c>
      <c r="K5" s="507" t="s">
        <v>11</v>
      </c>
      <c r="L5" s="508"/>
      <c r="M5" s="508"/>
      <c r="N5" s="506" t="s">
        <v>68</v>
      </c>
      <c r="O5" s="507" t="s">
        <v>11</v>
      </c>
      <c r="P5" s="509"/>
      <c r="Q5" s="491"/>
    </row>
    <row r="6" spans="1:17" ht="14.4" customHeight="1" x14ac:dyDescent="0.3">
      <c r="A6" s="468" t="s">
        <v>361</v>
      </c>
      <c r="B6" s="492" t="s">
        <v>336</v>
      </c>
      <c r="C6" s="492" t="s">
        <v>337</v>
      </c>
      <c r="D6" s="492" t="s">
        <v>338</v>
      </c>
      <c r="E6" s="492" t="s">
        <v>339</v>
      </c>
      <c r="F6" s="102"/>
      <c r="G6" s="102"/>
      <c r="H6" s="102"/>
      <c r="I6" s="102"/>
      <c r="J6" s="102">
        <v>2</v>
      </c>
      <c r="K6" s="102">
        <v>710</v>
      </c>
      <c r="L6" s="102"/>
      <c r="M6" s="102">
        <v>355</v>
      </c>
      <c r="N6" s="102">
        <v>1</v>
      </c>
      <c r="O6" s="102">
        <v>358</v>
      </c>
      <c r="P6" s="493"/>
      <c r="Q6" s="494">
        <v>358</v>
      </c>
    </row>
    <row r="7" spans="1:17" ht="14.4" customHeight="1" x14ac:dyDescent="0.3">
      <c r="A7" s="471" t="s">
        <v>362</v>
      </c>
      <c r="B7" s="495" t="s">
        <v>336</v>
      </c>
      <c r="C7" s="495" t="s">
        <v>337</v>
      </c>
      <c r="D7" s="495" t="s">
        <v>338</v>
      </c>
      <c r="E7" s="495" t="s">
        <v>339</v>
      </c>
      <c r="F7" s="472"/>
      <c r="G7" s="472"/>
      <c r="H7" s="472"/>
      <c r="I7" s="472"/>
      <c r="J7" s="472">
        <v>8</v>
      </c>
      <c r="K7" s="472">
        <v>2840</v>
      </c>
      <c r="L7" s="472"/>
      <c r="M7" s="472">
        <v>355</v>
      </c>
      <c r="N7" s="472">
        <v>1</v>
      </c>
      <c r="O7" s="472">
        <v>358</v>
      </c>
      <c r="P7" s="496"/>
      <c r="Q7" s="497">
        <v>358</v>
      </c>
    </row>
    <row r="8" spans="1:17" ht="14.4" customHeight="1" x14ac:dyDescent="0.3">
      <c r="A8" s="471" t="s">
        <v>362</v>
      </c>
      <c r="B8" s="495" t="s">
        <v>336</v>
      </c>
      <c r="C8" s="495" t="s">
        <v>337</v>
      </c>
      <c r="D8" s="495" t="s">
        <v>340</v>
      </c>
      <c r="E8" s="495" t="s">
        <v>341</v>
      </c>
      <c r="F8" s="472"/>
      <c r="G8" s="472"/>
      <c r="H8" s="472"/>
      <c r="I8" s="472"/>
      <c r="J8" s="472">
        <v>5</v>
      </c>
      <c r="K8" s="472">
        <v>890</v>
      </c>
      <c r="L8" s="472"/>
      <c r="M8" s="472">
        <v>178</v>
      </c>
      <c r="N8" s="472"/>
      <c r="O8" s="472"/>
      <c r="P8" s="496"/>
      <c r="Q8" s="497"/>
    </row>
    <row r="9" spans="1:17" ht="14.4" customHeight="1" x14ac:dyDescent="0.3">
      <c r="A9" s="471" t="s">
        <v>363</v>
      </c>
      <c r="B9" s="495" t="s">
        <v>336</v>
      </c>
      <c r="C9" s="495" t="s">
        <v>337</v>
      </c>
      <c r="D9" s="495" t="s">
        <v>338</v>
      </c>
      <c r="E9" s="495" t="s">
        <v>339</v>
      </c>
      <c r="F9" s="472">
        <v>2</v>
      </c>
      <c r="G9" s="472">
        <v>710</v>
      </c>
      <c r="H9" s="472">
        <v>1</v>
      </c>
      <c r="I9" s="472">
        <v>355</v>
      </c>
      <c r="J9" s="472">
        <v>4</v>
      </c>
      <c r="K9" s="472">
        <v>1420</v>
      </c>
      <c r="L9" s="472">
        <v>2</v>
      </c>
      <c r="M9" s="472">
        <v>355</v>
      </c>
      <c r="N9" s="472">
        <v>4</v>
      </c>
      <c r="O9" s="472">
        <v>1432</v>
      </c>
      <c r="P9" s="496">
        <v>2.0169014084507042</v>
      </c>
      <c r="Q9" s="497">
        <v>358</v>
      </c>
    </row>
    <row r="10" spans="1:17" ht="14.4" customHeight="1" x14ac:dyDescent="0.3">
      <c r="A10" s="471" t="s">
        <v>363</v>
      </c>
      <c r="B10" s="495" t="s">
        <v>336</v>
      </c>
      <c r="C10" s="495" t="s">
        <v>337</v>
      </c>
      <c r="D10" s="495" t="s">
        <v>340</v>
      </c>
      <c r="E10" s="495" t="s">
        <v>341</v>
      </c>
      <c r="F10" s="472"/>
      <c r="G10" s="472"/>
      <c r="H10" s="472"/>
      <c r="I10" s="472"/>
      <c r="J10" s="472">
        <v>3</v>
      </c>
      <c r="K10" s="472">
        <v>534</v>
      </c>
      <c r="L10" s="472"/>
      <c r="M10" s="472">
        <v>178</v>
      </c>
      <c r="N10" s="472">
        <v>2</v>
      </c>
      <c r="O10" s="472">
        <v>358</v>
      </c>
      <c r="P10" s="496"/>
      <c r="Q10" s="497">
        <v>179</v>
      </c>
    </row>
    <row r="11" spans="1:17" ht="14.4" customHeight="1" x14ac:dyDescent="0.3">
      <c r="A11" s="471" t="s">
        <v>364</v>
      </c>
      <c r="B11" s="495" t="s">
        <v>336</v>
      </c>
      <c r="C11" s="495" t="s">
        <v>337</v>
      </c>
      <c r="D11" s="495" t="s">
        <v>340</v>
      </c>
      <c r="E11" s="495" t="s">
        <v>341</v>
      </c>
      <c r="F11" s="472"/>
      <c r="G11" s="472"/>
      <c r="H11" s="472"/>
      <c r="I11" s="472"/>
      <c r="J11" s="472"/>
      <c r="K11" s="472"/>
      <c r="L11" s="472"/>
      <c r="M11" s="472"/>
      <c r="N11" s="472">
        <v>1</v>
      </c>
      <c r="O11" s="472">
        <v>179</v>
      </c>
      <c r="P11" s="496"/>
      <c r="Q11" s="497">
        <v>179</v>
      </c>
    </row>
    <row r="12" spans="1:17" ht="14.4" customHeight="1" x14ac:dyDescent="0.3">
      <c r="A12" s="471" t="s">
        <v>365</v>
      </c>
      <c r="B12" s="495" t="s">
        <v>336</v>
      </c>
      <c r="C12" s="495" t="s">
        <v>337</v>
      </c>
      <c r="D12" s="495" t="s">
        <v>338</v>
      </c>
      <c r="E12" s="495" t="s">
        <v>339</v>
      </c>
      <c r="F12" s="472"/>
      <c r="G12" s="472"/>
      <c r="H12" s="472"/>
      <c r="I12" s="472"/>
      <c r="J12" s="472">
        <v>1</v>
      </c>
      <c r="K12" s="472">
        <v>355</v>
      </c>
      <c r="L12" s="472"/>
      <c r="M12" s="472">
        <v>355</v>
      </c>
      <c r="N12" s="472"/>
      <c r="O12" s="472"/>
      <c r="P12" s="496"/>
      <c r="Q12" s="497"/>
    </row>
    <row r="13" spans="1:17" ht="14.4" customHeight="1" x14ac:dyDescent="0.3">
      <c r="A13" s="471" t="s">
        <v>366</v>
      </c>
      <c r="B13" s="495" t="s">
        <v>336</v>
      </c>
      <c r="C13" s="495" t="s">
        <v>337</v>
      </c>
      <c r="D13" s="495" t="s">
        <v>338</v>
      </c>
      <c r="E13" s="495" t="s">
        <v>339</v>
      </c>
      <c r="F13" s="472"/>
      <c r="G13" s="472"/>
      <c r="H13" s="472"/>
      <c r="I13" s="472"/>
      <c r="J13" s="472">
        <v>9</v>
      </c>
      <c r="K13" s="472">
        <v>3195</v>
      </c>
      <c r="L13" s="472"/>
      <c r="M13" s="472">
        <v>355</v>
      </c>
      <c r="N13" s="472">
        <v>9</v>
      </c>
      <c r="O13" s="472">
        <v>3222</v>
      </c>
      <c r="P13" s="496"/>
      <c r="Q13" s="497">
        <v>358</v>
      </c>
    </row>
    <row r="14" spans="1:17" ht="14.4" customHeight="1" x14ac:dyDescent="0.3">
      <c r="A14" s="471" t="s">
        <v>366</v>
      </c>
      <c r="B14" s="495" t="s">
        <v>336</v>
      </c>
      <c r="C14" s="495" t="s">
        <v>337</v>
      </c>
      <c r="D14" s="495" t="s">
        <v>340</v>
      </c>
      <c r="E14" s="495" t="s">
        <v>341</v>
      </c>
      <c r="F14" s="472"/>
      <c r="G14" s="472"/>
      <c r="H14" s="472"/>
      <c r="I14" s="472"/>
      <c r="J14" s="472">
        <v>5</v>
      </c>
      <c r="K14" s="472">
        <v>890</v>
      </c>
      <c r="L14" s="472"/>
      <c r="M14" s="472">
        <v>178</v>
      </c>
      <c r="N14" s="472">
        <v>10</v>
      </c>
      <c r="O14" s="472">
        <v>1790</v>
      </c>
      <c r="P14" s="496"/>
      <c r="Q14" s="497">
        <v>179</v>
      </c>
    </row>
    <row r="15" spans="1:17" ht="14.4" customHeight="1" x14ac:dyDescent="0.3">
      <c r="A15" s="471" t="s">
        <v>367</v>
      </c>
      <c r="B15" s="495" t="s">
        <v>336</v>
      </c>
      <c r="C15" s="495" t="s">
        <v>337</v>
      </c>
      <c r="D15" s="495" t="s">
        <v>338</v>
      </c>
      <c r="E15" s="495" t="s">
        <v>339</v>
      </c>
      <c r="F15" s="472">
        <v>2</v>
      </c>
      <c r="G15" s="472">
        <v>710</v>
      </c>
      <c r="H15" s="472">
        <v>1</v>
      </c>
      <c r="I15" s="472">
        <v>355</v>
      </c>
      <c r="J15" s="472">
        <v>1</v>
      </c>
      <c r="K15" s="472">
        <v>355</v>
      </c>
      <c r="L15" s="472">
        <v>0.5</v>
      </c>
      <c r="M15" s="472">
        <v>355</v>
      </c>
      <c r="N15" s="472"/>
      <c r="O15" s="472"/>
      <c r="P15" s="496"/>
      <c r="Q15" s="497"/>
    </row>
    <row r="16" spans="1:17" ht="14.4" customHeight="1" x14ac:dyDescent="0.3">
      <c r="A16" s="471" t="s">
        <v>368</v>
      </c>
      <c r="B16" s="495" t="s">
        <v>336</v>
      </c>
      <c r="C16" s="495" t="s">
        <v>337</v>
      </c>
      <c r="D16" s="495" t="s">
        <v>338</v>
      </c>
      <c r="E16" s="495" t="s">
        <v>339</v>
      </c>
      <c r="F16" s="472">
        <v>1</v>
      </c>
      <c r="G16" s="472">
        <v>355</v>
      </c>
      <c r="H16" s="472">
        <v>1</v>
      </c>
      <c r="I16" s="472">
        <v>355</v>
      </c>
      <c r="J16" s="472"/>
      <c r="K16" s="472"/>
      <c r="L16" s="472"/>
      <c r="M16" s="472"/>
      <c r="N16" s="472"/>
      <c r="O16" s="472"/>
      <c r="P16" s="496"/>
      <c r="Q16" s="497"/>
    </row>
    <row r="17" spans="1:17" ht="14.4" customHeight="1" x14ac:dyDescent="0.3">
      <c r="A17" s="471" t="s">
        <v>368</v>
      </c>
      <c r="B17" s="495" t="s">
        <v>336</v>
      </c>
      <c r="C17" s="495" t="s">
        <v>337</v>
      </c>
      <c r="D17" s="495" t="s">
        <v>340</v>
      </c>
      <c r="E17" s="495" t="s">
        <v>341</v>
      </c>
      <c r="F17" s="472">
        <v>1</v>
      </c>
      <c r="G17" s="472">
        <v>177</v>
      </c>
      <c r="H17" s="472">
        <v>1</v>
      </c>
      <c r="I17" s="472">
        <v>177</v>
      </c>
      <c r="J17" s="472"/>
      <c r="K17" s="472"/>
      <c r="L17" s="472"/>
      <c r="M17" s="472"/>
      <c r="N17" s="472"/>
      <c r="O17" s="472"/>
      <c r="P17" s="496"/>
      <c r="Q17" s="497"/>
    </row>
    <row r="18" spans="1:17" ht="14.4" customHeight="1" x14ac:dyDescent="0.3">
      <c r="A18" s="471" t="s">
        <v>369</v>
      </c>
      <c r="B18" s="495" t="s">
        <v>336</v>
      </c>
      <c r="C18" s="495" t="s">
        <v>337</v>
      </c>
      <c r="D18" s="495" t="s">
        <v>338</v>
      </c>
      <c r="E18" s="495" t="s">
        <v>339</v>
      </c>
      <c r="F18" s="472"/>
      <c r="G18" s="472"/>
      <c r="H18" s="472"/>
      <c r="I18" s="472"/>
      <c r="J18" s="472">
        <v>1</v>
      </c>
      <c r="K18" s="472">
        <v>355</v>
      </c>
      <c r="L18" s="472"/>
      <c r="M18" s="472">
        <v>355</v>
      </c>
      <c r="N18" s="472"/>
      <c r="O18" s="472"/>
      <c r="P18" s="496"/>
      <c r="Q18" s="497"/>
    </row>
    <row r="19" spans="1:17" ht="14.4" customHeight="1" x14ac:dyDescent="0.3">
      <c r="A19" s="471" t="s">
        <v>370</v>
      </c>
      <c r="B19" s="495" t="s">
        <v>336</v>
      </c>
      <c r="C19" s="495" t="s">
        <v>337</v>
      </c>
      <c r="D19" s="495" t="s">
        <v>338</v>
      </c>
      <c r="E19" s="495" t="s">
        <v>339</v>
      </c>
      <c r="F19" s="472">
        <v>1</v>
      </c>
      <c r="G19" s="472">
        <v>355</v>
      </c>
      <c r="H19" s="472">
        <v>1</v>
      </c>
      <c r="I19" s="472">
        <v>355</v>
      </c>
      <c r="J19" s="472"/>
      <c r="K19" s="472"/>
      <c r="L19" s="472"/>
      <c r="M19" s="472"/>
      <c r="N19" s="472">
        <v>1</v>
      </c>
      <c r="O19" s="472">
        <v>358</v>
      </c>
      <c r="P19" s="496">
        <v>1.0084507042253521</v>
      </c>
      <c r="Q19" s="497">
        <v>358</v>
      </c>
    </row>
    <row r="20" spans="1:17" ht="14.4" customHeight="1" x14ac:dyDescent="0.3">
      <c r="A20" s="471" t="s">
        <v>370</v>
      </c>
      <c r="B20" s="495" t="s">
        <v>336</v>
      </c>
      <c r="C20" s="495" t="s">
        <v>337</v>
      </c>
      <c r="D20" s="495" t="s">
        <v>340</v>
      </c>
      <c r="E20" s="495" t="s">
        <v>341</v>
      </c>
      <c r="F20" s="472"/>
      <c r="G20" s="472"/>
      <c r="H20" s="472"/>
      <c r="I20" s="472"/>
      <c r="J20" s="472"/>
      <c r="K20" s="472"/>
      <c r="L20" s="472"/>
      <c r="M20" s="472"/>
      <c r="N20" s="472">
        <v>1</v>
      </c>
      <c r="O20" s="472">
        <v>179</v>
      </c>
      <c r="P20" s="496"/>
      <c r="Q20" s="497">
        <v>179</v>
      </c>
    </row>
    <row r="21" spans="1:17" ht="14.4" customHeight="1" x14ac:dyDescent="0.3">
      <c r="A21" s="471" t="s">
        <v>371</v>
      </c>
      <c r="B21" s="495" t="s">
        <v>336</v>
      </c>
      <c r="C21" s="495" t="s">
        <v>337</v>
      </c>
      <c r="D21" s="495" t="s">
        <v>338</v>
      </c>
      <c r="E21" s="495" t="s">
        <v>339</v>
      </c>
      <c r="F21" s="472"/>
      <c r="G21" s="472"/>
      <c r="H21" s="472"/>
      <c r="I21" s="472"/>
      <c r="J21" s="472">
        <v>1</v>
      </c>
      <c r="K21" s="472">
        <v>355</v>
      </c>
      <c r="L21" s="472"/>
      <c r="M21" s="472">
        <v>355</v>
      </c>
      <c r="N21" s="472">
        <v>1</v>
      </c>
      <c r="O21" s="472">
        <v>358</v>
      </c>
      <c r="P21" s="496"/>
      <c r="Q21" s="497">
        <v>358</v>
      </c>
    </row>
    <row r="22" spans="1:17" ht="14.4" customHeight="1" x14ac:dyDescent="0.3">
      <c r="A22" s="471" t="s">
        <v>371</v>
      </c>
      <c r="B22" s="495" t="s">
        <v>336</v>
      </c>
      <c r="C22" s="495" t="s">
        <v>337</v>
      </c>
      <c r="D22" s="495" t="s">
        <v>340</v>
      </c>
      <c r="E22" s="495" t="s">
        <v>341</v>
      </c>
      <c r="F22" s="472"/>
      <c r="G22" s="472"/>
      <c r="H22" s="472"/>
      <c r="I22" s="472"/>
      <c r="J22" s="472">
        <v>2</v>
      </c>
      <c r="K22" s="472">
        <v>356</v>
      </c>
      <c r="L22" s="472"/>
      <c r="M22" s="472">
        <v>178</v>
      </c>
      <c r="N22" s="472">
        <v>1</v>
      </c>
      <c r="O22" s="472">
        <v>179</v>
      </c>
      <c r="P22" s="496"/>
      <c r="Q22" s="497">
        <v>179</v>
      </c>
    </row>
    <row r="23" spans="1:17" ht="14.4" customHeight="1" x14ac:dyDescent="0.3">
      <c r="A23" s="471" t="s">
        <v>372</v>
      </c>
      <c r="B23" s="495" t="s">
        <v>336</v>
      </c>
      <c r="C23" s="495" t="s">
        <v>337</v>
      </c>
      <c r="D23" s="495" t="s">
        <v>338</v>
      </c>
      <c r="E23" s="495" t="s">
        <v>339</v>
      </c>
      <c r="F23" s="472"/>
      <c r="G23" s="472"/>
      <c r="H23" s="472"/>
      <c r="I23" s="472"/>
      <c r="J23" s="472">
        <v>2</v>
      </c>
      <c r="K23" s="472">
        <v>710</v>
      </c>
      <c r="L23" s="472"/>
      <c r="M23" s="472">
        <v>355</v>
      </c>
      <c r="N23" s="472"/>
      <c r="O23" s="472"/>
      <c r="P23" s="496"/>
      <c r="Q23" s="497"/>
    </row>
    <row r="24" spans="1:17" ht="14.4" customHeight="1" x14ac:dyDescent="0.3">
      <c r="A24" s="471" t="s">
        <v>372</v>
      </c>
      <c r="B24" s="495" t="s">
        <v>336</v>
      </c>
      <c r="C24" s="495" t="s">
        <v>337</v>
      </c>
      <c r="D24" s="495" t="s">
        <v>340</v>
      </c>
      <c r="E24" s="495" t="s">
        <v>341</v>
      </c>
      <c r="F24" s="472"/>
      <c r="G24" s="472"/>
      <c r="H24" s="472"/>
      <c r="I24" s="472"/>
      <c r="J24" s="472">
        <v>2</v>
      </c>
      <c r="K24" s="472">
        <v>356</v>
      </c>
      <c r="L24" s="472"/>
      <c r="M24" s="472">
        <v>178</v>
      </c>
      <c r="N24" s="472"/>
      <c r="O24" s="472"/>
      <c r="P24" s="496"/>
      <c r="Q24" s="497"/>
    </row>
    <row r="25" spans="1:17" ht="14.4" customHeight="1" x14ac:dyDescent="0.3">
      <c r="A25" s="471" t="s">
        <v>373</v>
      </c>
      <c r="B25" s="495" t="s">
        <v>336</v>
      </c>
      <c r="C25" s="495" t="s">
        <v>337</v>
      </c>
      <c r="D25" s="495" t="s">
        <v>338</v>
      </c>
      <c r="E25" s="495" t="s">
        <v>339</v>
      </c>
      <c r="F25" s="472">
        <v>3</v>
      </c>
      <c r="G25" s="472">
        <v>1065</v>
      </c>
      <c r="H25" s="472">
        <v>1</v>
      </c>
      <c r="I25" s="472">
        <v>355</v>
      </c>
      <c r="J25" s="472">
        <v>2</v>
      </c>
      <c r="K25" s="472">
        <v>710</v>
      </c>
      <c r="L25" s="472">
        <v>0.66666666666666663</v>
      </c>
      <c r="M25" s="472">
        <v>355</v>
      </c>
      <c r="N25" s="472">
        <v>1</v>
      </c>
      <c r="O25" s="472">
        <v>358</v>
      </c>
      <c r="P25" s="496">
        <v>0.33615023474178402</v>
      </c>
      <c r="Q25" s="497">
        <v>358</v>
      </c>
    </row>
    <row r="26" spans="1:17" ht="14.4" customHeight="1" x14ac:dyDescent="0.3">
      <c r="A26" s="471" t="s">
        <v>373</v>
      </c>
      <c r="B26" s="495" t="s">
        <v>336</v>
      </c>
      <c r="C26" s="495" t="s">
        <v>337</v>
      </c>
      <c r="D26" s="495" t="s">
        <v>340</v>
      </c>
      <c r="E26" s="495" t="s">
        <v>341</v>
      </c>
      <c r="F26" s="472">
        <v>1</v>
      </c>
      <c r="G26" s="472">
        <v>177</v>
      </c>
      <c r="H26" s="472">
        <v>1</v>
      </c>
      <c r="I26" s="472">
        <v>177</v>
      </c>
      <c r="J26" s="472">
        <v>2</v>
      </c>
      <c r="K26" s="472">
        <v>356</v>
      </c>
      <c r="L26" s="472">
        <v>2.0112994350282487</v>
      </c>
      <c r="M26" s="472">
        <v>178</v>
      </c>
      <c r="N26" s="472"/>
      <c r="O26" s="472"/>
      <c r="P26" s="496"/>
      <c r="Q26" s="497"/>
    </row>
    <row r="27" spans="1:17" ht="14.4" customHeight="1" x14ac:dyDescent="0.3">
      <c r="A27" s="471" t="s">
        <v>374</v>
      </c>
      <c r="B27" s="495" t="s">
        <v>336</v>
      </c>
      <c r="C27" s="495" t="s">
        <v>337</v>
      </c>
      <c r="D27" s="495" t="s">
        <v>338</v>
      </c>
      <c r="E27" s="495" t="s">
        <v>339</v>
      </c>
      <c r="F27" s="472">
        <v>1</v>
      </c>
      <c r="G27" s="472">
        <v>355</v>
      </c>
      <c r="H27" s="472">
        <v>1</v>
      </c>
      <c r="I27" s="472">
        <v>355</v>
      </c>
      <c r="J27" s="472"/>
      <c r="K27" s="472"/>
      <c r="L27" s="472"/>
      <c r="M27" s="472"/>
      <c r="N27" s="472"/>
      <c r="O27" s="472"/>
      <c r="P27" s="496"/>
      <c r="Q27" s="497"/>
    </row>
    <row r="28" spans="1:17" ht="14.4" customHeight="1" x14ac:dyDescent="0.3">
      <c r="A28" s="471" t="s">
        <v>375</v>
      </c>
      <c r="B28" s="495" t="s">
        <v>336</v>
      </c>
      <c r="C28" s="495" t="s">
        <v>337</v>
      </c>
      <c r="D28" s="495" t="s">
        <v>338</v>
      </c>
      <c r="E28" s="495" t="s">
        <v>339</v>
      </c>
      <c r="F28" s="472"/>
      <c r="G28" s="472"/>
      <c r="H28" s="472"/>
      <c r="I28" s="472"/>
      <c r="J28" s="472"/>
      <c r="K28" s="472"/>
      <c r="L28" s="472"/>
      <c r="M28" s="472"/>
      <c r="N28" s="472">
        <v>4</v>
      </c>
      <c r="O28" s="472">
        <v>1432</v>
      </c>
      <c r="P28" s="496"/>
      <c r="Q28" s="497">
        <v>358</v>
      </c>
    </row>
    <row r="29" spans="1:17" ht="14.4" customHeight="1" thickBot="1" x14ac:dyDescent="0.35">
      <c r="A29" s="475" t="s">
        <v>375</v>
      </c>
      <c r="B29" s="498" t="s">
        <v>336</v>
      </c>
      <c r="C29" s="498" t="s">
        <v>337</v>
      </c>
      <c r="D29" s="498" t="s">
        <v>340</v>
      </c>
      <c r="E29" s="498" t="s">
        <v>341</v>
      </c>
      <c r="F29" s="476"/>
      <c r="G29" s="476"/>
      <c r="H29" s="476"/>
      <c r="I29" s="476"/>
      <c r="J29" s="476"/>
      <c r="K29" s="476"/>
      <c r="L29" s="476"/>
      <c r="M29" s="476"/>
      <c r="N29" s="476">
        <v>6</v>
      </c>
      <c r="O29" s="476">
        <v>1074</v>
      </c>
      <c r="P29" s="499"/>
      <c r="Q29" s="500">
        <v>179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290" t="s">
        <v>113</v>
      </c>
      <c r="B1" s="290"/>
      <c r="C1" s="291"/>
      <c r="D1" s="291"/>
      <c r="E1" s="291"/>
    </row>
    <row r="2" spans="1:5" ht="14.4" customHeight="1" thickBot="1" x14ac:dyDescent="0.35">
      <c r="A2" s="214" t="s">
        <v>232</v>
      </c>
      <c r="B2" s="136"/>
    </row>
    <row r="3" spans="1:5" ht="14.4" customHeight="1" thickBot="1" x14ac:dyDescent="0.35">
      <c r="A3" s="139"/>
      <c r="C3" s="140" t="s">
        <v>103</v>
      </c>
      <c r="D3" s="141" t="s">
        <v>69</v>
      </c>
      <c r="E3" s="142" t="s">
        <v>71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322.01353594970703</v>
      </c>
      <c r="D4" s="145">
        <f ca="1">IF(ISERROR(VLOOKUP("Náklady celkem",INDIRECT("HI!$A:$G"),5,0)),0,VLOOKUP("Náklady celkem",INDIRECT("HI!$A:$G"),5,0))</f>
        <v>304.47659000000004</v>
      </c>
      <c r="E4" s="146">
        <f ca="1">IF(C4=0,0,D4/C4)</f>
        <v>0.94553972429144728</v>
      </c>
    </row>
    <row r="5" spans="1:5" ht="14.4" customHeight="1" x14ac:dyDescent="0.3">
      <c r="A5" s="147" t="s">
        <v>130</v>
      </c>
      <c r="B5" s="148"/>
      <c r="C5" s="149"/>
      <c r="D5" s="149"/>
      <c r="E5" s="150"/>
    </row>
    <row r="6" spans="1:5" ht="14.4" customHeight="1" x14ac:dyDescent="0.3">
      <c r="A6" s="151" t="s">
        <v>135</v>
      </c>
      <c r="B6" s="152"/>
      <c r="C6" s="153"/>
      <c r="D6" s="153"/>
      <c r="E6" s="150"/>
    </row>
    <row r="7" spans="1:5" ht="14.4" customHeight="1" x14ac:dyDescent="0.3">
      <c r="A7" s="22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" customHeight="1" x14ac:dyDescent="0.3">
      <c r="A8" s="155" t="s">
        <v>131</v>
      </c>
      <c r="B8" s="152"/>
      <c r="C8" s="153"/>
      <c r="D8" s="153"/>
      <c r="E8" s="150"/>
    </row>
    <row r="9" spans="1:5" ht="14.4" customHeight="1" x14ac:dyDescent="0.3">
      <c r="A9" s="223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 t="str">
        <f>IF(ISERROR(VLOOKUP("Celkem",'Léky Recepty'!B:H,5,0)),0,VLOOKUP("Celkem",'Léky Recepty'!B:H,5,0))</f>
        <v/>
      </c>
      <c r="E9" s="150" t="e">
        <f t="shared" si="0"/>
        <v>#VALUE!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6" t="s">
        <v>136</v>
      </c>
      <c r="B11" s="152"/>
      <c r="C11" s="149"/>
      <c r="D11" s="149"/>
      <c r="E11" s="150"/>
    </row>
    <row r="12" spans="1:5" ht="14.4" customHeight="1" x14ac:dyDescent="0.3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" customHeight="1" thickBot="1" x14ac:dyDescent="0.3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321.62492834472658</v>
      </c>
      <c r="D13" s="149">
        <f ca="1">IF(ISERROR(VLOOKUP("Osobní náklady (Kč) *",INDIRECT("HI!$A:$G"),5,0)),0,VLOOKUP("Osobní náklady (Kč) *",INDIRECT("HI!$A:$G"),5,0))</f>
        <v>304.47659000000004</v>
      </c>
      <c r="E13" s="150">
        <f ca="1">IF(C13=0,0,D13/C13)</f>
        <v>0.94668218526162728</v>
      </c>
    </row>
    <row r="14" spans="1:5" ht="14.4" customHeight="1" thickBot="1" x14ac:dyDescent="0.35">
      <c r="A14" s="162"/>
      <c r="B14" s="163"/>
      <c r="C14" s="164"/>
      <c r="D14" s="164"/>
      <c r="E14" s="165"/>
    </row>
    <row r="15" spans="1:5" ht="14.4" customHeight="1" thickBot="1" x14ac:dyDescent="0.3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0.35499999999999998</v>
      </c>
      <c r="D15" s="168">
        <f ca="1">IF(ISERROR(VLOOKUP("Výnosy celkem",INDIRECT("HI!$A:$G"),5,0)),0,VLOOKUP("Výnosy celkem",INDIRECT("HI!$A:$G"),5,0))</f>
        <v>1.587</v>
      </c>
      <c r="E15" s="169">
        <f t="shared" ref="E15:E20" ca="1" si="1">IF(C15=0,0,D15/C15)</f>
        <v>4.4704225352112674</v>
      </c>
    </row>
    <row r="16" spans="1:5" ht="14.4" customHeight="1" x14ac:dyDescent="0.3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0.35499999999999998</v>
      </c>
      <c r="D16" s="149">
        <f ca="1">IF(ISERROR(VLOOKUP("Ambulance *",INDIRECT("HI!$A:$G"),5,0)),0,VLOOKUP("Ambulance *",INDIRECT("HI!$A:$G"),5,0))</f>
        <v>1.587</v>
      </c>
      <c r="E16" s="150">
        <f t="shared" ca="1" si="1"/>
        <v>4.4704225352112674</v>
      </c>
    </row>
    <row r="17" spans="1:5" ht="14.4" customHeight="1" x14ac:dyDescent="0.3">
      <c r="A17" s="229" t="str">
        <f>HYPERLINK("#'ZV Vykáz.-A'!A1","Zdravotní výkony vykázané u ambulantních pacientů (min. 100 % 2016)")</f>
        <v>Zdravotní výkony vykázané u ambulantních pacientů (min. 100 % 2016)</v>
      </c>
      <c r="B17" s="230" t="s">
        <v>115</v>
      </c>
      <c r="C17" s="154">
        <v>1</v>
      </c>
      <c r="D17" s="154">
        <f>IF(ISERROR(VLOOKUP("Celkem:",'ZV Vykáz.-A'!$A:$AB,10,0)),"",VLOOKUP("Celkem:",'ZV Vykáz.-A'!$A:$AB,10,0))</f>
        <v>4.4704225352112674</v>
      </c>
      <c r="E17" s="150">
        <f t="shared" si="1"/>
        <v>4.4704225352112674</v>
      </c>
    </row>
    <row r="18" spans="1:5" ht="14.4" customHeight="1" x14ac:dyDescent="0.3">
      <c r="A18" s="228" t="str">
        <f>HYPERLINK("#'ZV Vykáz.-A'!A1","Specializovaná ambulantní péče")</f>
        <v>Specializovaná ambulantní péče</v>
      </c>
      <c r="B18" s="230" t="s">
        <v>115</v>
      </c>
      <c r="C18" s="154">
        <v>1</v>
      </c>
      <c r="D18" s="222">
        <f>IF(ISERROR(VLOOKUP("Specializovaná ambulantní péče",'ZV Vykáz.-A'!$A:$AB,10,0)),"",VLOOKUP("Specializovaná ambulantní péče",'ZV Vykáz.-A'!$A:$AB,10,0))</f>
        <v>0</v>
      </c>
      <c r="E18" s="150">
        <f t="shared" si="1"/>
        <v>0</v>
      </c>
    </row>
    <row r="19" spans="1:5" ht="14.4" customHeight="1" x14ac:dyDescent="0.3">
      <c r="A19" s="228" t="str">
        <f>HYPERLINK("#'ZV Vykáz.-A'!A1","Ambulantní péče ve vyjmenovaných odbornostech (§9)")</f>
        <v>Ambulantní péče ve vyjmenovaných odbornostech (§9)</v>
      </c>
      <c r="B19" s="230" t="s">
        <v>115</v>
      </c>
      <c r="C19" s="154">
        <v>1</v>
      </c>
      <c r="D19" s="222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" customHeight="1" x14ac:dyDescent="0.3">
      <c r="A20" s="171" t="str">
        <f>HYPERLINK("#'ZV Vykáz.-H'!A1","Zdravotní výkony vykázané u hospitalizovaných pacientů (max. 85 %)")</f>
        <v>Zdravotní výkony vykázané u hospitalizovaných pacientů (max. 85 %)</v>
      </c>
      <c r="B20" s="230" t="s">
        <v>117</v>
      </c>
      <c r="C20" s="154">
        <v>0.85</v>
      </c>
      <c r="D20" s="154">
        <f>IF(ISERROR(VLOOKUP("Celkem:",'ZV Vykáz.-H'!$A:$S,7,0)),"",VLOOKUP("Celkem:",'ZV Vykáz.-H'!$A:$S,7,0))</f>
        <v>0.80871620212692019</v>
      </c>
      <c r="E20" s="150">
        <f t="shared" si="1"/>
        <v>0.95143082603167084</v>
      </c>
    </row>
    <row r="21" spans="1:5" ht="14.4" customHeight="1" x14ac:dyDescent="0.3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" customHeight="1" thickBot="1" x14ac:dyDescent="0.35">
      <c r="A22" s="173" t="s">
        <v>133</v>
      </c>
      <c r="B22" s="159"/>
      <c r="C22" s="160"/>
      <c r="D22" s="160"/>
      <c r="E22" s="161"/>
    </row>
    <row r="23" spans="1:5" ht="14.4" customHeight="1" thickBot="1" x14ac:dyDescent="0.35">
      <c r="A23" s="174"/>
      <c r="B23" s="175"/>
      <c r="C23" s="176"/>
      <c r="D23" s="176"/>
      <c r="E23" s="177"/>
    </row>
    <row r="24" spans="1:5" ht="14.4" customHeight="1" thickBot="1" x14ac:dyDescent="0.3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2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01" t="s">
        <v>122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ht="14.4" customHeight="1" thickBot="1" x14ac:dyDescent="0.35">
      <c r="A2" s="214" t="s">
        <v>232</v>
      </c>
      <c r="B2" s="97"/>
      <c r="C2" s="97"/>
      <c r="D2" s="97"/>
      <c r="E2" s="97"/>
      <c r="F2" s="97"/>
    </row>
    <row r="3" spans="1:10" ht="14.4" customHeight="1" x14ac:dyDescent="0.3">
      <c r="A3" s="292"/>
      <c r="B3" s="93">
        <v>2015</v>
      </c>
      <c r="C3" s="40">
        <v>2018</v>
      </c>
      <c r="D3" s="7"/>
      <c r="E3" s="296">
        <v>2019</v>
      </c>
      <c r="F3" s="297"/>
      <c r="G3" s="297"/>
      <c r="H3" s="298"/>
      <c r="I3" s="299">
        <v>2017</v>
      </c>
      <c r="J3" s="300"/>
    </row>
    <row r="4" spans="1:10" ht="14.4" customHeight="1" thickBot="1" x14ac:dyDescent="0.35">
      <c r="A4" s="293"/>
      <c r="B4" s="294" t="s">
        <v>69</v>
      </c>
      <c r="C4" s="295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3" t="s">
        <v>176</v>
      </c>
      <c r="J4" s="234" t="s">
        <v>177</v>
      </c>
    </row>
    <row r="5" spans="1:10" ht="14.4" customHeight="1" x14ac:dyDescent="0.3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276.10778000000005</v>
      </c>
      <c r="C7" s="31">
        <v>290.57673</v>
      </c>
      <c r="D7" s="8"/>
      <c r="E7" s="104">
        <v>304.47659000000004</v>
      </c>
      <c r="F7" s="30">
        <v>321.62492834472658</v>
      </c>
      <c r="G7" s="105">
        <f>E7-F7</f>
        <v>-17.14833834472654</v>
      </c>
      <c r="H7" s="109">
        <f>IF(F7&lt;0.00000001,"",E7/F7)</f>
        <v>0.94668218526162728</v>
      </c>
    </row>
    <row r="8" spans="1:10" ht="14.4" customHeight="1" thickBot="1" x14ac:dyDescent="0.35">
      <c r="A8" s="1" t="s">
        <v>72</v>
      </c>
      <c r="B8" s="11">
        <v>0.19360000000000355</v>
      </c>
      <c r="C8" s="33">
        <v>0.38720000000006394</v>
      </c>
      <c r="D8" s="8"/>
      <c r="E8" s="106">
        <v>0</v>
      </c>
      <c r="F8" s="32">
        <v>0.38860760498045011</v>
      </c>
      <c r="G8" s="107">
        <f>E8-F8</f>
        <v>-0.38860760498045011</v>
      </c>
      <c r="H8" s="110">
        <f>IF(F8&lt;0.00000001,"",E8/F8)</f>
        <v>0</v>
      </c>
    </row>
    <row r="9" spans="1:10" ht="14.4" customHeight="1" thickBot="1" x14ac:dyDescent="0.35">
      <c r="A9" s="2" t="s">
        <v>73</v>
      </c>
      <c r="B9" s="3">
        <v>276.30138000000005</v>
      </c>
      <c r="C9" s="35">
        <v>290.96393000000006</v>
      </c>
      <c r="D9" s="8"/>
      <c r="E9" s="3">
        <v>304.47659000000004</v>
      </c>
      <c r="F9" s="34">
        <v>322.01353594970703</v>
      </c>
      <c r="G9" s="34">
        <f>E9-F9</f>
        <v>-17.53694594970699</v>
      </c>
      <c r="H9" s="111">
        <f>IF(F9&lt;0.00000001,"",E9/F9)</f>
        <v>0.94553972429144728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0.35499999999999998</v>
      </c>
      <c r="D11" s="8"/>
      <c r="E11" s="103">
        <f>IF(ISERROR(VLOOKUP("Celkem:",'ZV Vykáz.-A'!A:H,8,0)),0,VLOOKUP("Celkem:",'ZV Vykáz.-A'!A:H,8,0)/1000)</f>
        <v>1.587</v>
      </c>
      <c r="F11" s="28">
        <f>C11</f>
        <v>0.35499999999999998</v>
      </c>
      <c r="G11" s="102">
        <f>E11-F11</f>
        <v>1.232</v>
      </c>
      <c r="H11" s="108">
        <f>IF(F11&lt;0.00000001,"",E11/F11)</f>
        <v>4.4704225352112674</v>
      </c>
      <c r="I11" s="102">
        <f>E11-B11</f>
        <v>1.587</v>
      </c>
      <c r="J11" s="108" t="str">
        <f>IF(B11&lt;0.00000001,"",E11/B11)</f>
        <v/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76</v>
      </c>
      <c r="B13" s="5">
        <f>SUM(B11:B12)</f>
        <v>0</v>
      </c>
      <c r="C13" s="37">
        <f>SUM(C11:C12)</f>
        <v>0.35499999999999998</v>
      </c>
      <c r="D13" s="8"/>
      <c r="E13" s="5">
        <f>SUM(E11:E12)</f>
        <v>1.587</v>
      </c>
      <c r="F13" s="36">
        <f>SUM(F11:F12)</f>
        <v>0.35499999999999998</v>
      </c>
      <c r="G13" s="36">
        <f>E13-F13</f>
        <v>1.232</v>
      </c>
      <c r="H13" s="112">
        <f>IF(F13&lt;0.00000001,"",E13/F13)</f>
        <v>4.4704225352112674</v>
      </c>
      <c r="I13" s="36">
        <f>SUM(I11:I12)</f>
        <v>1.587</v>
      </c>
      <c r="J13" s="112" t="str">
        <f>IF(B13&lt;0.00000001,"",E13/B13)</f>
        <v/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1.2200825030099088E-3</v>
      </c>
      <c r="D15" s="8"/>
      <c r="E15" s="6">
        <f>IF(E9=0,"",E13/E9)</f>
        <v>5.2122233765164007E-3</v>
      </c>
      <c r="F15" s="38">
        <f>IF(F9=0,"",F13/F9)</f>
        <v>1.1024381287358209E-3</v>
      </c>
      <c r="G15" s="38">
        <f>IF(ISERROR(F15-E15),"",E15-F15)</f>
        <v>4.1097852477805803E-3</v>
      </c>
      <c r="H15" s="113">
        <f>IF(ISERROR(F15-E15),"",IF(F15&lt;0.00000001,"",E15/F15))</f>
        <v>4.7279055764275135</v>
      </c>
    </row>
    <row r="17" spans="1:8" ht="14.4" customHeight="1" x14ac:dyDescent="0.3">
      <c r="A17" s="99" t="s">
        <v>137</v>
      </c>
    </row>
    <row r="18" spans="1:8" ht="14.4" customHeight="1" x14ac:dyDescent="0.3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x14ac:dyDescent="0.3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" customHeight="1" x14ac:dyDescent="0.3">
      <c r="A20" s="100" t="s">
        <v>169</v>
      </c>
    </row>
    <row r="21" spans="1:8" ht="14.4" customHeight="1" x14ac:dyDescent="0.3">
      <c r="A21" s="100" t="s">
        <v>138</v>
      </c>
    </row>
    <row r="22" spans="1:8" ht="14.4" customHeight="1" x14ac:dyDescent="0.3">
      <c r="A22" s="101" t="s">
        <v>211</v>
      </c>
    </row>
    <row r="23" spans="1:8" ht="14.4" customHeight="1" x14ac:dyDescent="0.3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4" priority="8" operator="greaterThan">
      <formula>0</formula>
    </cfRule>
  </conditionalFormatting>
  <conditionalFormatting sqref="G11:G13 G15">
    <cfRule type="cellIs" dxfId="23" priority="7" operator="lessThan">
      <formula>0</formula>
    </cfRule>
  </conditionalFormatting>
  <conditionalFormatting sqref="H5:H9">
    <cfRule type="cellIs" dxfId="22" priority="6" operator="greaterThan">
      <formula>1</formula>
    </cfRule>
  </conditionalFormatting>
  <conditionalFormatting sqref="H11:H13 H15">
    <cfRule type="cellIs" dxfId="21" priority="5" operator="lessThan">
      <formula>1</formula>
    </cfRule>
  </conditionalFormatting>
  <conditionalFormatting sqref="I11:I13">
    <cfRule type="cellIs" dxfId="20" priority="4" operator="lessThan">
      <formula>0</formula>
    </cfRule>
  </conditionalFormatting>
  <conditionalFormatting sqref="J11:J13">
    <cfRule type="cellIs" dxfId="1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290" t="s">
        <v>100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 ht="14.4" customHeight="1" x14ac:dyDescent="0.3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" customHeight="1" x14ac:dyDescent="0.3">
      <c r="A4" s="183" t="s">
        <v>77</v>
      </c>
      <c r="B4" s="186">
        <f>(B10+B8)/B6</f>
        <v>5.833903185751806E-3</v>
      </c>
      <c r="C4" s="186">
        <f t="shared" ref="C4:M4" si="0">(C10+C8)/C6</f>
        <v>5.2122233765164016E-3</v>
      </c>
      <c r="D4" s="186">
        <f t="shared" si="0"/>
        <v>5.2122233765164016E-3</v>
      </c>
      <c r="E4" s="186">
        <f t="shared" si="0"/>
        <v>5.2122233765164016E-3</v>
      </c>
      <c r="F4" s="186">
        <f t="shared" si="0"/>
        <v>5.2122233765164016E-3</v>
      </c>
      <c r="G4" s="186">
        <f t="shared" si="0"/>
        <v>5.2122233765164016E-3</v>
      </c>
      <c r="H4" s="186">
        <f t="shared" si="0"/>
        <v>5.2122233765164016E-3</v>
      </c>
      <c r="I4" s="186">
        <f t="shared" si="0"/>
        <v>5.2122233765164016E-3</v>
      </c>
      <c r="J4" s="186">
        <f t="shared" si="0"/>
        <v>5.2122233765164016E-3</v>
      </c>
      <c r="K4" s="186">
        <f t="shared" si="0"/>
        <v>5.2122233765164016E-3</v>
      </c>
      <c r="L4" s="186">
        <f t="shared" si="0"/>
        <v>5.2122233765164016E-3</v>
      </c>
      <c r="M4" s="186">
        <f t="shared" si="0"/>
        <v>5.2122233765164016E-3</v>
      </c>
    </row>
    <row r="5" spans="1:13" ht="14.4" customHeight="1" x14ac:dyDescent="0.3">
      <c r="A5" s="187" t="s">
        <v>50</v>
      </c>
      <c r="B5" s="186">
        <f>IF(ISERROR(VLOOKUP($A5,'Man Tab'!$A:$Q,COLUMN()+2,0)),0,VLOOKUP($A5,'Man Tab'!$A:$Q,COLUMN()+2,0))</f>
        <v>152.04229000000001</v>
      </c>
      <c r="C5" s="186">
        <f>IF(ISERROR(VLOOKUP($A5,'Man Tab'!$A:$Q,COLUMN()+2,0)),0,VLOOKUP($A5,'Man Tab'!$A:$Q,COLUMN()+2,0))</f>
        <v>152.43430000000001</v>
      </c>
      <c r="D5" s="186">
        <f>IF(ISERROR(VLOOKUP($A5,'Man Tab'!$A:$Q,COLUMN()+2,0)),0,VLOOKUP($A5,'Man Tab'!$A:$Q,COLUMN()+2,0))</f>
        <v>0</v>
      </c>
      <c r="E5" s="186">
        <f>IF(ISERROR(VLOOKUP($A5,'Man Tab'!$A:$Q,COLUMN()+2,0)),0,VLOOKUP($A5,'Man Tab'!$A:$Q,COLUMN()+2,0))</f>
        <v>0</v>
      </c>
      <c r="F5" s="186">
        <f>IF(ISERROR(VLOOKUP($A5,'Man Tab'!$A:$Q,COLUMN()+2,0)),0,VLOOKUP($A5,'Man Tab'!$A:$Q,COLUMN()+2,0))</f>
        <v>0</v>
      </c>
      <c r="G5" s="186">
        <f>IF(ISERROR(VLOOKUP($A5,'Man Tab'!$A:$Q,COLUMN()+2,0)),0,VLOOKUP($A5,'Man Tab'!$A:$Q,COLUMN()+2,0))</f>
        <v>0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73</v>
      </c>
      <c r="B6" s="188">
        <f>B5</f>
        <v>152.04229000000001</v>
      </c>
      <c r="C6" s="188">
        <f t="shared" ref="C6:M6" si="1">C5+B6</f>
        <v>304.47658999999999</v>
      </c>
      <c r="D6" s="188">
        <f t="shared" si="1"/>
        <v>304.47658999999999</v>
      </c>
      <c r="E6" s="188">
        <f t="shared" si="1"/>
        <v>304.47658999999999</v>
      </c>
      <c r="F6" s="188">
        <f t="shared" si="1"/>
        <v>304.47658999999999</v>
      </c>
      <c r="G6" s="188">
        <f t="shared" si="1"/>
        <v>304.47658999999999</v>
      </c>
      <c r="H6" s="188">
        <f t="shared" si="1"/>
        <v>304.47658999999999</v>
      </c>
      <c r="I6" s="188">
        <f t="shared" si="1"/>
        <v>304.47658999999999</v>
      </c>
      <c r="J6" s="188">
        <f t="shared" si="1"/>
        <v>304.47658999999999</v>
      </c>
      <c r="K6" s="188">
        <f t="shared" si="1"/>
        <v>304.47658999999999</v>
      </c>
      <c r="L6" s="188">
        <f t="shared" si="1"/>
        <v>304.47658999999999</v>
      </c>
      <c r="M6" s="188">
        <f t="shared" si="1"/>
        <v>304.47658999999999</v>
      </c>
    </row>
    <row r="7" spans="1:13" ht="14.4" customHeight="1" x14ac:dyDescent="0.3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99</v>
      </c>
      <c r="B9" s="187">
        <v>887</v>
      </c>
      <c r="C9" s="187">
        <v>700</v>
      </c>
      <c r="D9" s="187">
        <v>0</v>
      </c>
      <c r="E9" s="187">
        <v>0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75</v>
      </c>
      <c r="B10" s="188">
        <f>B9/1000</f>
        <v>0.88700000000000001</v>
      </c>
      <c r="C10" s="188">
        <f t="shared" ref="C10:M10" si="3">C9/1000+B10</f>
        <v>1.587</v>
      </c>
      <c r="D10" s="188">
        <f t="shared" si="3"/>
        <v>1.587</v>
      </c>
      <c r="E10" s="188">
        <f t="shared" si="3"/>
        <v>1.587</v>
      </c>
      <c r="F10" s="188">
        <f t="shared" si="3"/>
        <v>1.587</v>
      </c>
      <c r="G10" s="188">
        <f t="shared" si="3"/>
        <v>1.587</v>
      </c>
      <c r="H10" s="188">
        <f t="shared" si="3"/>
        <v>1.587</v>
      </c>
      <c r="I10" s="188">
        <f t="shared" si="3"/>
        <v>1.587</v>
      </c>
      <c r="J10" s="188">
        <f t="shared" si="3"/>
        <v>1.587</v>
      </c>
      <c r="K10" s="188">
        <f t="shared" si="3"/>
        <v>1.587</v>
      </c>
      <c r="L10" s="188">
        <f t="shared" si="3"/>
        <v>1.587</v>
      </c>
      <c r="M10" s="188">
        <f t="shared" si="3"/>
        <v>1.587</v>
      </c>
    </row>
    <row r="11" spans="1:13" ht="14.4" customHeight="1" x14ac:dyDescent="0.3">
      <c r="A11" s="183"/>
      <c r="B11" s="183" t="s">
        <v>90</v>
      </c>
      <c r="C11" s="183">
        <f ca="1">IF(MONTH(TODAY())=1,12,MONTH(TODAY())-1)</f>
        <v>2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1.1024381287358209E-3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1.1024381287358209E-3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9" customFormat="1" ht="18.600000000000001" customHeight="1" thickBot="1" x14ac:dyDescent="0.4">
      <c r="A1" s="302" t="s">
        <v>234</v>
      </c>
      <c r="B1" s="302"/>
      <c r="C1" s="302"/>
      <c r="D1" s="302"/>
      <c r="E1" s="302"/>
      <c r="F1" s="302"/>
      <c r="G1" s="302"/>
      <c r="H1" s="290"/>
      <c r="I1" s="290"/>
      <c r="J1" s="290"/>
      <c r="K1" s="290"/>
      <c r="L1" s="290"/>
      <c r="M1" s="290"/>
      <c r="N1" s="290"/>
      <c r="O1" s="290"/>
      <c r="P1" s="290"/>
      <c r="Q1" s="290"/>
    </row>
    <row r="2" spans="1:17" s="189" customFormat="1" ht="14.4" customHeight="1" thickBot="1" x14ac:dyDescent="0.3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7"/>
      <c r="B3" s="303" t="s">
        <v>26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23"/>
      <c r="Q3" s="125"/>
    </row>
    <row r="4" spans="1:17" ht="14.4" customHeight="1" x14ac:dyDescent="0.3">
      <c r="A4" s="68"/>
      <c r="B4" s="20">
        <v>2019</v>
      </c>
      <c r="C4" s="124" t="s">
        <v>27</v>
      </c>
      <c r="D4" s="227" t="s">
        <v>212</v>
      </c>
      <c r="E4" s="227" t="s">
        <v>213</v>
      </c>
      <c r="F4" s="227" t="s">
        <v>214</v>
      </c>
      <c r="G4" s="227" t="s">
        <v>215</v>
      </c>
      <c r="H4" s="227" t="s">
        <v>216</v>
      </c>
      <c r="I4" s="227" t="s">
        <v>217</v>
      </c>
      <c r="J4" s="227" t="s">
        <v>218</v>
      </c>
      <c r="K4" s="227" t="s">
        <v>219</v>
      </c>
      <c r="L4" s="227" t="s">
        <v>220</v>
      </c>
      <c r="M4" s="227" t="s">
        <v>221</v>
      </c>
      <c r="N4" s="227" t="s">
        <v>222</v>
      </c>
      <c r="O4" s="227" t="s">
        <v>223</v>
      </c>
      <c r="P4" s="305" t="s">
        <v>3</v>
      </c>
      <c r="Q4" s="306"/>
    </row>
    <row r="5" spans="1:17" ht="14.4" customHeight="1" thickBot="1" x14ac:dyDescent="0.3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" customHeight="1" x14ac:dyDescent="0.3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" customHeight="1" x14ac:dyDescent="0.3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" customHeight="1" x14ac:dyDescent="0.3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" customHeight="1" x14ac:dyDescent="0.3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" customHeight="1" x14ac:dyDescent="0.3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" customHeight="1" x14ac:dyDescent="0.3">
      <c r="A11" s="15" t="s">
        <v>36</v>
      </c>
      <c r="B11" s="46">
        <v>2.3316455702179999</v>
      </c>
      <c r="C11" s="47">
        <v>0.194303797518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84">
        <v>0</v>
      </c>
    </row>
    <row r="12" spans="1:17" ht="14.4" customHeight="1" x14ac:dyDescent="0.3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" customHeight="1" x14ac:dyDescent="0.3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" customHeight="1" x14ac:dyDescent="0.3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" customHeight="1" x14ac:dyDescent="0.3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" customHeight="1" x14ac:dyDescent="0.3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" customHeight="1" x14ac:dyDescent="0.3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" customHeight="1" x14ac:dyDescent="0.3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" customHeight="1" x14ac:dyDescent="0.3">
      <c r="A19" s="15" t="s">
        <v>44</v>
      </c>
      <c r="B19" s="46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84" t="s">
        <v>233</v>
      </c>
    </row>
    <row r="20" spans="1:17" ht="14.4" customHeight="1" x14ac:dyDescent="0.3">
      <c r="A20" s="15" t="s">
        <v>45</v>
      </c>
      <c r="B20" s="46">
        <v>1821.63254755354</v>
      </c>
      <c r="C20" s="47">
        <v>151.80271229612899</v>
      </c>
      <c r="D20" s="47">
        <v>152.04229000000001</v>
      </c>
      <c r="E20" s="47">
        <v>152.43430000000001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304.47659000000101</v>
      </c>
      <c r="Q20" s="84">
        <v>1.002869400007</v>
      </c>
    </row>
    <row r="21" spans="1:17" ht="14.4" customHeight="1" x14ac:dyDescent="0.3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" customHeight="1" x14ac:dyDescent="0.3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" customHeight="1" x14ac:dyDescent="0.3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" customHeight="1" x14ac:dyDescent="0.3">
      <c r="A24" s="16" t="s">
        <v>49</v>
      </c>
      <c r="B24" s="46">
        <v>0</v>
      </c>
      <c r="C24" s="47">
        <v>-2.8421709430404001E-14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84"/>
    </row>
    <row r="25" spans="1:17" ht="14.4" customHeight="1" x14ac:dyDescent="0.3">
      <c r="A25" s="17" t="s">
        <v>50</v>
      </c>
      <c r="B25" s="49">
        <v>1823.96419312376</v>
      </c>
      <c r="C25" s="50">
        <v>151.99701609364701</v>
      </c>
      <c r="D25" s="50">
        <v>152.04229000000001</v>
      </c>
      <c r="E25" s="50">
        <v>152.43430000000001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304.47659000000101</v>
      </c>
      <c r="Q25" s="85">
        <v>1.0015873923880001</v>
      </c>
    </row>
    <row r="26" spans="1:17" ht="14.4" customHeight="1" x14ac:dyDescent="0.3">
      <c r="A26" s="15" t="s">
        <v>51</v>
      </c>
      <c r="B26" s="46">
        <v>0</v>
      </c>
      <c r="C26" s="47">
        <v>0</v>
      </c>
      <c r="D26" s="47">
        <v>26.94886</v>
      </c>
      <c r="E26" s="47">
        <v>28.123819999999998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55.072679999999998</v>
      </c>
      <c r="Q26" s="84" t="s">
        <v>233</v>
      </c>
    </row>
    <row r="27" spans="1:17" ht="14.4" customHeight="1" x14ac:dyDescent="0.3">
      <c r="A27" s="18" t="s">
        <v>52</v>
      </c>
      <c r="B27" s="49">
        <v>1823.96419312376</v>
      </c>
      <c r="C27" s="50">
        <v>151.99701609364701</v>
      </c>
      <c r="D27" s="50">
        <v>178.99115</v>
      </c>
      <c r="E27" s="50">
        <v>180.55812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359.549270000001</v>
      </c>
      <c r="Q27" s="85">
        <v>1.182751080384</v>
      </c>
    </row>
    <row r="28" spans="1:17" ht="14.4" customHeight="1" x14ac:dyDescent="0.3">
      <c r="A28" s="16" t="s">
        <v>53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" customHeight="1" x14ac:dyDescent="0.3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" customHeight="1" x14ac:dyDescent="0.3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>
        <v>0</v>
      </c>
    </row>
    <row r="31" spans="1:17" ht="14.4" customHeight="1" thickBot="1" x14ac:dyDescent="0.3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55" customFormat="1" ht="18.600000000000001" customHeight="1" thickBot="1" x14ac:dyDescent="0.4">
      <c r="A1" s="302" t="s">
        <v>58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7"/>
      <c r="B3" s="303" t="s">
        <v>59</v>
      </c>
      <c r="C3" s="304"/>
      <c r="D3" s="304"/>
      <c r="E3" s="304"/>
      <c r="F3" s="310" t="s">
        <v>60</v>
      </c>
      <c r="G3" s="304"/>
      <c r="H3" s="304"/>
      <c r="I3" s="304"/>
      <c r="J3" s="304"/>
      <c r="K3" s="311"/>
    </row>
    <row r="4" spans="1:11" ht="14.4" customHeight="1" x14ac:dyDescent="0.3">
      <c r="A4" s="68"/>
      <c r="B4" s="308"/>
      <c r="C4" s="309"/>
      <c r="D4" s="309"/>
      <c r="E4" s="309"/>
      <c r="F4" s="312" t="s">
        <v>228</v>
      </c>
      <c r="G4" s="314" t="s">
        <v>61</v>
      </c>
      <c r="H4" s="126" t="s">
        <v>125</v>
      </c>
      <c r="I4" s="312" t="s">
        <v>62</v>
      </c>
      <c r="J4" s="314" t="s">
        <v>230</v>
      </c>
      <c r="K4" s="315" t="s">
        <v>231</v>
      </c>
    </row>
    <row r="5" spans="1:11" ht="42" thickBot="1" x14ac:dyDescent="0.35">
      <c r="A5" s="69"/>
      <c r="B5" s="24" t="s">
        <v>224</v>
      </c>
      <c r="C5" s="25" t="s">
        <v>225</v>
      </c>
      <c r="D5" s="26" t="s">
        <v>226</v>
      </c>
      <c r="E5" s="26" t="s">
        <v>227</v>
      </c>
      <c r="F5" s="313"/>
      <c r="G5" s="313"/>
      <c r="H5" s="25" t="s">
        <v>229</v>
      </c>
      <c r="I5" s="313"/>
      <c r="J5" s="313"/>
      <c r="K5" s="316"/>
    </row>
    <row r="6" spans="1:11" ht="14.4" customHeight="1" thickBot="1" x14ac:dyDescent="0.35">
      <c r="A6" s="413" t="s">
        <v>235</v>
      </c>
      <c r="B6" s="395">
        <v>1927.24936085426</v>
      </c>
      <c r="C6" s="395">
        <v>1975.1649600000001</v>
      </c>
      <c r="D6" s="396">
        <v>47.915599145740998</v>
      </c>
      <c r="E6" s="397">
        <v>1.0248621689120001</v>
      </c>
      <c r="F6" s="395">
        <v>1823.96419312376</v>
      </c>
      <c r="G6" s="396">
        <v>303.99403218729401</v>
      </c>
      <c r="H6" s="398">
        <v>152.43430000000001</v>
      </c>
      <c r="I6" s="395">
        <v>304.47659000000101</v>
      </c>
      <c r="J6" s="396">
        <v>0.48255781270699999</v>
      </c>
      <c r="K6" s="399">
        <v>0.16693123206400001</v>
      </c>
    </row>
    <row r="7" spans="1:11" ht="14.4" customHeight="1" thickBot="1" x14ac:dyDescent="0.35">
      <c r="A7" s="414" t="s">
        <v>236</v>
      </c>
      <c r="B7" s="395">
        <v>3.9719719435299998</v>
      </c>
      <c r="C7" s="395">
        <v>0.93</v>
      </c>
      <c r="D7" s="396">
        <v>-3.0419719435300001</v>
      </c>
      <c r="E7" s="397">
        <v>0.234140626676</v>
      </c>
      <c r="F7" s="395">
        <v>2.3316455702179999</v>
      </c>
      <c r="G7" s="396">
        <v>0.38860759503600001</v>
      </c>
      <c r="H7" s="398">
        <v>0</v>
      </c>
      <c r="I7" s="395">
        <v>0</v>
      </c>
      <c r="J7" s="396">
        <v>-0.38860759503600001</v>
      </c>
      <c r="K7" s="399">
        <v>0</v>
      </c>
    </row>
    <row r="8" spans="1:11" ht="14.4" customHeight="1" thickBot="1" x14ac:dyDescent="0.35">
      <c r="A8" s="415" t="s">
        <v>237</v>
      </c>
      <c r="B8" s="395">
        <v>3.9719719435299998</v>
      </c>
      <c r="C8" s="395">
        <v>0.93</v>
      </c>
      <c r="D8" s="396">
        <v>-3.0419719435300001</v>
      </c>
      <c r="E8" s="397">
        <v>0.234140626676</v>
      </c>
      <c r="F8" s="395">
        <v>2.3316455702179999</v>
      </c>
      <c r="G8" s="396">
        <v>0.38860759503600001</v>
      </c>
      <c r="H8" s="398">
        <v>0</v>
      </c>
      <c r="I8" s="395">
        <v>0</v>
      </c>
      <c r="J8" s="396">
        <v>-0.38860759503600001</v>
      </c>
      <c r="K8" s="399">
        <v>0</v>
      </c>
    </row>
    <row r="9" spans="1:11" ht="14.4" customHeight="1" thickBot="1" x14ac:dyDescent="0.35">
      <c r="A9" s="416" t="s">
        <v>238</v>
      </c>
      <c r="B9" s="400">
        <v>2.2017867764860002</v>
      </c>
      <c r="C9" s="400">
        <v>0.93</v>
      </c>
      <c r="D9" s="401">
        <v>-1.271786776486</v>
      </c>
      <c r="E9" s="402">
        <v>0.42238422445399998</v>
      </c>
      <c r="F9" s="400">
        <v>2.3316455702179999</v>
      </c>
      <c r="G9" s="401">
        <v>0.38860759503600001</v>
      </c>
      <c r="H9" s="403">
        <v>0</v>
      </c>
      <c r="I9" s="400">
        <v>0</v>
      </c>
      <c r="J9" s="401">
        <v>-0.38860759503600001</v>
      </c>
      <c r="K9" s="404">
        <v>0</v>
      </c>
    </row>
    <row r="10" spans="1:11" ht="14.4" customHeight="1" thickBot="1" x14ac:dyDescent="0.35">
      <c r="A10" s="417" t="s">
        <v>239</v>
      </c>
      <c r="B10" s="395">
        <v>2</v>
      </c>
      <c r="C10" s="395">
        <v>0.54279999999999995</v>
      </c>
      <c r="D10" s="396">
        <v>-1.4572000000000001</v>
      </c>
      <c r="E10" s="397">
        <v>0.27139999999999997</v>
      </c>
      <c r="F10" s="395">
        <v>2</v>
      </c>
      <c r="G10" s="396">
        <v>0.33333333333300003</v>
      </c>
      <c r="H10" s="398">
        <v>0</v>
      </c>
      <c r="I10" s="395">
        <v>0</v>
      </c>
      <c r="J10" s="396">
        <v>-0.33333333333300003</v>
      </c>
      <c r="K10" s="399">
        <v>0</v>
      </c>
    </row>
    <row r="11" spans="1:11" ht="14.4" customHeight="1" thickBot="1" x14ac:dyDescent="0.35">
      <c r="A11" s="417" t="s">
        <v>240</v>
      </c>
      <c r="B11" s="395">
        <v>0.20178677648599999</v>
      </c>
      <c r="C11" s="395">
        <v>0.38719999999999999</v>
      </c>
      <c r="D11" s="396">
        <v>0.18541322351299999</v>
      </c>
      <c r="E11" s="397">
        <v>1.918857155765</v>
      </c>
      <c r="F11" s="395">
        <v>0.33164557021800001</v>
      </c>
      <c r="G11" s="396">
        <v>5.5274261702999997E-2</v>
      </c>
      <c r="H11" s="398">
        <v>0</v>
      </c>
      <c r="I11" s="395">
        <v>0</v>
      </c>
      <c r="J11" s="396">
        <v>-5.5274261702999997E-2</v>
      </c>
      <c r="K11" s="399">
        <v>0</v>
      </c>
    </row>
    <row r="12" spans="1:11" ht="14.4" customHeight="1" thickBot="1" x14ac:dyDescent="0.35">
      <c r="A12" s="416" t="s">
        <v>241</v>
      </c>
      <c r="B12" s="400">
        <v>1.7701851670440001</v>
      </c>
      <c r="C12" s="400">
        <v>0</v>
      </c>
      <c r="D12" s="401">
        <v>-1.7701851670440001</v>
      </c>
      <c r="E12" s="402">
        <v>0</v>
      </c>
      <c r="F12" s="400">
        <v>0</v>
      </c>
      <c r="G12" s="401">
        <v>0</v>
      </c>
      <c r="H12" s="403">
        <v>0</v>
      </c>
      <c r="I12" s="400">
        <v>0</v>
      </c>
      <c r="J12" s="401">
        <v>0</v>
      </c>
      <c r="K12" s="405" t="s">
        <v>233</v>
      </c>
    </row>
    <row r="13" spans="1:11" ht="14.4" customHeight="1" thickBot="1" x14ac:dyDescent="0.35">
      <c r="A13" s="417" t="s">
        <v>242</v>
      </c>
      <c r="B13" s="395">
        <v>1.7701851670440001</v>
      </c>
      <c r="C13" s="395">
        <v>0</v>
      </c>
      <c r="D13" s="396">
        <v>-1.7701851670440001</v>
      </c>
      <c r="E13" s="397">
        <v>0</v>
      </c>
      <c r="F13" s="395">
        <v>0</v>
      </c>
      <c r="G13" s="396">
        <v>0</v>
      </c>
      <c r="H13" s="398">
        <v>0</v>
      </c>
      <c r="I13" s="395">
        <v>0</v>
      </c>
      <c r="J13" s="396">
        <v>0</v>
      </c>
      <c r="K13" s="399">
        <v>2</v>
      </c>
    </row>
    <row r="14" spans="1:11" ht="14.4" customHeight="1" thickBot="1" x14ac:dyDescent="0.35">
      <c r="A14" s="418" t="s">
        <v>243</v>
      </c>
      <c r="B14" s="400">
        <v>3.0975689951000002E-2</v>
      </c>
      <c r="C14" s="400">
        <v>0</v>
      </c>
      <c r="D14" s="401">
        <v>-3.0975689951000002E-2</v>
      </c>
      <c r="E14" s="402">
        <v>0</v>
      </c>
      <c r="F14" s="400">
        <v>0</v>
      </c>
      <c r="G14" s="401">
        <v>0</v>
      </c>
      <c r="H14" s="403">
        <v>0</v>
      </c>
      <c r="I14" s="400">
        <v>0</v>
      </c>
      <c r="J14" s="401">
        <v>0</v>
      </c>
      <c r="K14" s="405" t="s">
        <v>233</v>
      </c>
    </row>
    <row r="15" spans="1:11" ht="14.4" customHeight="1" thickBot="1" x14ac:dyDescent="0.35">
      <c r="A15" s="415" t="s">
        <v>44</v>
      </c>
      <c r="B15" s="395">
        <v>3.0975689951000002E-2</v>
      </c>
      <c r="C15" s="395">
        <v>0</v>
      </c>
      <c r="D15" s="396">
        <v>-3.0975689951000002E-2</v>
      </c>
      <c r="E15" s="397">
        <v>0</v>
      </c>
      <c r="F15" s="395">
        <v>0</v>
      </c>
      <c r="G15" s="396">
        <v>0</v>
      </c>
      <c r="H15" s="398">
        <v>0</v>
      </c>
      <c r="I15" s="395">
        <v>0</v>
      </c>
      <c r="J15" s="396">
        <v>0</v>
      </c>
      <c r="K15" s="406" t="s">
        <v>233</v>
      </c>
    </row>
    <row r="16" spans="1:11" ht="14.4" customHeight="1" thickBot="1" x14ac:dyDescent="0.35">
      <c r="A16" s="416" t="s">
        <v>244</v>
      </c>
      <c r="B16" s="400">
        <v>3.0975689951000002E-2</v>
      </c>
      <c r="C16" s="400">
        <v>0</v>
      </c>
      <c r="D16" s="401">
        <v>-3.0975689951000002E-2</v>
      </c>
      <c r="E16" s="402">
        <v>0</v>
      </c>
      <c r="F16" s="400">
        <v>0</v>
      </c>
      <c r="G16" s="401">
        <v>0</v>
      </c>
      <c r="H16" s="403">
        <v>0</v>
      </c>
      <c r="I16" s="400">
        <v>0</v>
      </c>
      <c r="J16" s="401">
        <v>0</v>
      </c>
      <c r="K16" s="404">
        <v>2</v>
      </c>
    </row>
    <row r="17" spans="1:11" ht="14.4" customHeight="1" thickBot="1" x14ac:dyDescent="0.35">
      <c r="A17" s="417" t="s">
        <v>245</v>
      </c>
      <c r="B17" s="395">
        <v>3.0975689951000002E-2</v>
      </c>
      <c r="C17" s="395">
        <v>0</v>
      </c>
      <c r="D17" s="396">
        <v>-3.0975689951000002E-2</v>
      </c>
      <c r="E17" s="397">
        <v>0</v>
      </c>
      <c r="F17" s="395">
        <v>0</v>
      </c>
      <c r="G17" s="396">
        <v>0</v>
      </c>
      <c r="H17" s="398">
        <v>0</v>
      </c>
      <c r="I17" s="395">
        <v>0</v>
      </c>
      <c r="J17" s="396">
        <v>0</v>
      </c>
      <c r="K17" s="399">
        <v>2</v>
      </c>
    </row>
    <row r="18" spans="1:11" ht="14.4" customHeight="1" thickBot="1" x14ac:dyDescent="0.35">
      <c r="A18" s="414" t="s">
        <v>45</v>
      </c>
      <c r="B18" s="395">
        <v>1915.511</v>
      </c>
      <c r="C18" s="395">
        <v>1965.73496</v>
      </c>
      <c r="D18" s="396">
        <v>50.223960000006997</v>
      </c>
      <c r="E18" s="397">
        <v>1.0262196145039999</v>
      </c>
      <c r="F18" s="395">
        <v>1821.63254755354</v>
      </c>
      <c r="G18" s="396">
        <v>303.60542459225701</v>
      </c>
      <c r="H18" s="398">
        <v>152.43430000000001</v>
      </c>
      <c r="I18" s="395">
        <v>304.47659000000101</v>
      </c>
      <c r="J18" s="396">
        <v>0.871165407743</v>
      </c>
      <c r="K18" s="399">
        <v>0.16714490000099999</v>
      </c>
    </row>
    <row r="19" spans="1:11" ht="14.4" customHeight="1" thickBot="1" x14ac:dyDescent="0.35">
      <c r="A19" s="419" t="s">
        <v>246</v>
      </c>
      <c r="B19" s="400">
        <v>1409.3510000000001</v>
      </c>
      <c r="C19" s="400">
        <v>1446.1659999999999</v>
      </c>
      <c r="D19" s="401">
        <v>36.815000000006002</v>
      </c>
      <c r="E19" s="402">
        <v>1.0261219525859999</v>
      </c>
      <c r="F19" s="400">
        <v>1278.79</v>
      </c>
      <c r="G19" s="401">
        <v>213.131666666667</v>
      </c>
      <c r="H19" s="403">
        <v>112.08199999999999</v>
      </c>
      <c r="I19" s="400">
        <v>223.87700000000001</v>
      </c>
      <c r="J19" s="401">
        <v>10.745333333333001</v>
      </c>
      <c r="K19" s="404">
        <v>0.17506940154299999</v>
      </c>
    </row>
    <row r="20" spans="1:11" ht="14.4" customHeight="1" thickBot="1" x14ac:dyDescent="0.35">
      <c r="A20" s="416" t="s">
        <v>247</v>
      </c>
      <c r="B20" s="400">
        <v>1406</v>
      </c>
      <c r="C20" s="400">
        <v>1421.1659999999999</v>
      </c>
      <c r="D20" s="401">
        <v>15.166000000005999</v>
      </c>
      <c r="E20" s="402">
        <v>1.0107866287339999</v>
      </c>
      <c r="F20" s="400">
        <v>1278.79</v>
      </c>
      <c r="G20" s="401">
        <v>213.131666666667</v>
      </c>
      <c r="H20" s="403">
        <v>112.08199999999999</v>
      </c>
      <c r="I20" s="400">
        <v>223.87700000000001</v>
      </c>
      <c r="J20" s="401">
        <v>10.745333333333001</v>
      </c>
      <c r="K20" s="404">
        <v>0.17506940154299999</v>
      </c>
    </row>
    <row r="21" spans="1:11" ht="14.4" customHeight="1" thickBot="1" x14ac:dyDescent="0.35">
      <c r="A21" s="417" t="s">
        <v>248</v>
      </c>
      <c r="B21" s="395">
        <v>1406</v>
      </c>
      <c r="C21" s="395">
        <v>1421.1659999999999</v>
      </c>
      <c r="D21" s="396">
        <v>15.166000000005999</v>
      </c>
      <c r="E21" s="397">
        <v>1.0107866287339999</v>
      </c>
      <c r="F21" s="395">
        <v>1278.79</v>
      </c>
      <c r="G21" s="396">
        <v>213.131666666667</v>
      </c>
      <c r="H21" s="398">
        <v>112.08199999999999</v>
      </c>
      <c r="I21" s="395">
        <v>223.87700000000001</v>
      </c>
      <c r="J21" s="396">
        <v>10.745333333333001</v>
      </c>
      <c r="K21" s="399">
        <v>0.17506940154299999</v>
      </c>
    </row>
    <row r="22" spans="1:11" ht="14.4" customHeight="1" thickBot="1" x14ac:dyDescent="0.35">
      <c r="A22" s="416" t="s">
        <v>249</v>
      </c>
      <c r="B22" s="400">
        <v>3.351</v>
      </c>
      <c r="C22" s="400">
        <v>0</v>
      </c>
      <c r="D22" s="401">
        <v>-3.351</v>
      </c>
      <c r="E22" s="402">
        <v>0</v>
      </c>
      <c r="F22" s="400">
        <v>0</v>
      </c>
      <c r="G22" s="401">
        <v>0</v>
      </c>
      <c r="H22" s="403">
        <v>0</v>
      </c>
      <c r="I22" s="400">
        <v>0</v>
      </c>
      <c r="J22" s="401">
        <v>0</v>
      </c>
      <c r="K22" s="404">
        <v>2</v>
      </c>
    </row>
    <row r="23" spans="1:11" ht="14.4" customHeight="1" thickBot="1" x14ac:dyDescent="0.35">
      <c r="A23" s="417" t="s">
        <v>250</v>
      </c>
      <c r="B23" s="395">
        <v>3.351</v>
      </c>
      <c r="C23" s="395">
        <v>0</v>
      </c>
      <c r="D23" s="396">
        <v>-3.351</v>
      </c>
      <c r="E23" s="397">
        <v>0</v>
      </c>
      <c r="F23" s="395">
        <v>0</v>
      </c>
      <c r="G23" s="396">
        <v>0</v>
      </c>
      <c r="H23" s="398">
        <v>0</v>
      </c>
      <c r="I23" s="395">
        <v>0</v>
      </c>
      <c r="J23" s="396">
        <v>0</v>
      </c>
      <c r="K23" s="399">
        <v>2</v>
      </c>
    </row>
    <row r="24" spans="1:11" ht="14.4" customHeight="1" thickBot="1" x14ac:dyDescent="0.35">
      <c r="A24" s="420" t="s">
        <v>251</v>
      </c>
      <c r="B24" s="395">
        <v>0</v>
      </c>
      <c r="C24" s="395">
        <v>25</v>
      </c>
      <c r="D24" s="396">
        <v>25</v>
      </c>
      <c r="E24" s="407" t="s">
        <v>233</v>
      </c>
      <c r="F24" s="395">
        <v>0</v>
      </c>
      <c r="G24" s="396">
        <v>0</v>
      </c>
      <c r="H24" s="398">
        <v>0</v>
      </c>
      <c r="I24" s="395">
        <v>0</v>
      </c>
      <c r="J24" s="396">
        <v>0</v>
      </c>
      <c r="K24" s="406" t="s">
        <v>233</v>
      </c>
    </row>
    <row r="25" spans="1:11" ht="14.4" customHeight="1" thickBot="1" x14ac:dyDescent="0.35">
      <c r="A25" s="417" t="s">
        <v>252</v>
      </c>
      <c r="B25" s="395">
        <v>0</v>
      </c>
      <c r="C25" s="395">
        <v>25</v>
      </c>
      <c r="D25" s="396">
        <v>25</v>
      </c>
      <c r="E25" s="407" t="s">
        <v>233</v>
      </c>
      <c r="F25" s="395">
        <v>0</v>
      </c>
      <c r="G25" s="396">
        <v>0</v>
      </c>
      <c r="H25" s="398">
        <v>0</v>
      </c>
      <c r="I25" s="395">
        <v>0</v>
      </c>
      <c r="J25" s="396">
        <v>0</v>
      </c>
      <c r="K25" s="406" t="s">
        <v>233</v>
      </c>
    </row>
    <row r="26" spans="1:11" ht="14.4" customHeight="1" thickBot="1" x14ac:dyDescent="0.35">
      <c r="A26" s="415" t="s">
        <v>253</v>
      </c>
      <c r="B26" s="395">
        <v>478.04</v>
      </c>
      <c r="C26" s="395">
        <v>491.15025000000099</v>
      </c>
      <c r="D26" s="396">
        <v>13.110250000001001</v>
      </c>
      <c r="E26" s="397">
        <v>1.0274250062750001</v>
      </c>
      <c r="F26" s="395">
        <v>512.6</v>
      </c>
      <c r="G26" s="396">
        <v>85.433333333332996</v>
      </c>
      <c r="H26" s="398">
        <v>38.109499999999997</v>
      </c>
      <c r="I26" s="395">
        <v>76.119749999999996</v>
      </c>
      <c r="J26" s="396">
        <v>-9.3135833333329998</v>
      </c>
      <c r="K26" s="399">
        <v>0.14849736636700001</v>
      </c>
    </row>
    <row r="27" spans="1:11" ht="14.4" customHeight="1" thickBot="1" x14ac:dyDescent="0.35">
      <c r="A27" s="416" t="s">
        <v>254</v>
      </c>
      <c r="B27" s="400">
        <v>126.54</v>
      </c>
      <c r="C27" s="400">
        <v>130.1455</v>
      </c>
      <c r="D27" s="401">
        <v>3.6054999999990001</v>
      </c>
      <c r="E27" s="402">
        <v>1.02849296665</v>
      </c>
      <c r="F27" s="400">
        <v>135.69</v>
      </c>
      <c r="G27" s="401">
        <v>22.614999999999998</v>
      </c>
      <c r="H27" s="403">
        <v>10.089</v>
      </c>
      <c r="I27" s="400">
        <v>20.150500000000001</v>
      </c>
      <c r="J27" s="401">
        <v>-2.464499999999</v>
      </c>
      <c r="K27" s="404">
        <v>0.14850394281000001</v>
      </c>
    </row>
    <row r="28" spans="1:11" ht="14.4" customHeight="1" thickBot="1" x14ac:dyDescent="0.35">
      <c r="A28" s="417" t="s">
        <v>255</v>
      </c>
      <c r="B28" s="395">
        <v>126.54</v>
      </c>
      <c r="C28" s="395">
        <v>130.1455</v>
      </c>
      <c r="D28" s="396">
        <v>3.6054999999990001</v>
      </c>
      <c r="E28" s="397">
        <v>1.02849296665</v>
      </c>
      <c r="F28" s="395">
        <v>135.69</v>
      </c>
      <c r="G28" s="396">
        <v>22.614999999999998</v>
      </c>
      <c r="H28" s="398">
        <v>10.089</v>
      </c>
      <c r="I28" s="395">
        <v>20.150500000000001</v>
      </c>
      <c r="J28" s="396">
        <v>-2.464499999999</v>
      </c>
      <c r="K28" s="399">
        <v>0.14850394281000001</v>
      </c>
    </row>
    <row r="29" spans="1:11" ht="14.4" customHeight="1" thickBot="1" x14ac:dyDescent="0.35">
      <c r="A29" s="416" t="s">
        <v>256</v>
      </c>
      <c r="B29" s="400">
        <v>351.5</v>
      </c>
      <c r="C29" s="400">
        <v>361.00475000000102</v>
      </c>
      <c r="D29" s="401">
        <v>9.5047500000009997</v>
      </c>
      <c r="E29" s="402">
        <v>1.02704054054</v>
      </c>
      <c r="F29" s="400">
        <v>376.91</v>
      </c>
      <c r="G29" s="401">
        <v>62.818333333333001</v>
      </c>
      <c r="H29" s="403">
        <v>28.020499999999998</v>
      </c>
      <c r="I29" s="400">
        <v>55.969250000000002</v>
      </c>
      <c r="J29" s="401">
        <v>-6.8490833333329997</v>
      </c>
      <c r="K29" s="404">
        <v>0.14849499880600001</v>
      </c>
    </row>
    <row r="30" spans="1:11" ht="14.4" customHeight="1" thickBot="1" x14ac:dyDescent="0.35">
      <c r="A30" s="417" t="s">
        <v>257</v>
      </c>
      <c r="B30" s="395">
        <v>351.5</v>
      </c>
      <c r="C30" s="395">
        <v>361.00475000000102</v>
      </c>
      <c r="D30" s="396">
        <v>9.5047500000009997</v>
      </c>
      <c r="E30" s="397">
        <v>1.02704054054</v>
      </c>
      <c r="F30" s="395">
        <v>376.91</v>
      </c>
      <c r="G30" s="396">
        <v>62.818333333333001</v>
      </c>
      <c r="H30" s="398">
        <v>28.020499999999998</v>
      </c>
      <c r="I30" s="395">
        <v>55.969250000000002</v>
      </c>
      <c r="J30" s="396">
        <v>-6.8490833333329997</v>
      </c>
      <c r="K30" s="399">
        <v>0.14849499880600001</v>
      </c>
    </row>
    <row r="31" spans="1:11" ht="14.4" customHeight="1" thickBot="1" x14ac:dyDescent="0.35">
      <c r="A31" s="415" t="s">
        <v>258</v>
      </c>
      <c r="B31" s="395">
        <v>28.12</v>
      </c>
      <c r="C31" s="395">
        <v>28.418710000000001</v>
      </c>
      <c r="D31" s="396">
        <v>0.298709999999</v>
      </c>
      <c r="E31" s="397">
        <v>1.010622688477</v>
      </c>
      <c r="F31" s="395">
        <v>30.242547553544</v>
      </c>
      <c r="G31" s="396">
        <v>5.0404245922569997</v>
      </c>
      <c r="H31" s="398">
        <v>2.2427999999999999</v>
      </c>
      <c r="I31" s="395">
        <v>4.4798400000000003</v>
      </c>
      <c r="J31" s="396">
        <v>-0.56058459225699997</v>
      </c>
      <c r="K31" s="399">
        <v>0.14813037797299999</v>
      </c>
    </row>
    <row r="32" spans="1:11" ht="14.4" customHeight="1" thickBot="1" x14ac:dyDescent="0.35">
      <c r="A32" s="416" t="s">
        <v>259</v>
      </c>
      <c r="B32" s="400">
        <v>28.12</v>
      </c>
      <c r="C32" s="400">
        <v>28.418710000000001</v>
      </c>
      <c r="D32" s="401">
        <v>0.298709999999</v>
      </c>
      <c r="E32" s="402">
        <v>1.010622688477</v>
      </c>
      <c r="F32" s="400">
        <v>30.242547553544</v>
      </c>
      <c r="G32" s="401">
        <v>5.0404245922569997</v>
      </c>
      <c r="H32" s="403">
        <v>2.2427999999999999</v>
      </c>
      <c r="I32" s="400">
        <v>4.4798400000000003</v>
      </c>
      <c r="J32" s="401">
        <v>-0.56058459225699997</v>
      </c>
      <c r="K32" s="404">
        <v>0.14813037797299999</v>
      </c>
    </row>
    <row r="33" spans="1:11" ht="14.4" customHeight="1" thickBot="1" x14ac:dyDescent="0.35">
      <c r="A33" s="417" t="s">
        <v>260</v>
      </c>
      <c r="B33" s="395">
        <v>28.12</v>
      </c>
      <c r="C33" s="395">
        <v>28.418710000000001</v>
      </c>
      <c r="D33" s="396">
        <v>0.298709999999</v>
      </c>
      <c r="E33" s="397">
        <v>1.010622688477</v>
      </c>
      <c r="F33" s="395">
        <v>30.242547553544</v>
      </c>
      <c r="G33" s="396">
        <v>5.0404245922569997</v>
      </c>
      <c r="H33" s="398">
        <v>2.2427999999999999</v>
      </c>
      <c r="I33" s="395">
        <v>4.4798400000000003</v>
      </c>
      <c r="J33" s="396">
        <v>-0.56058459225699997</v>
      </c>
      <c r="K33" s="399">
        <v>0.14813037797299999</v>
      </c>
    </row>
    <row r="34" spans="1:11" ht="14.4" customHeight="1" thickBot="1" x14ac:dyDescent="0.35">
      <c r="A34" s="414" t="s">
        <v>261</v>
      </c>
      <c r="B34" s="395">
        <v>7.7354132207830002</v>
      </c>
      <c r="C34" s="395">
        <v>8.5</v>
      </c>
      <c r="D34" s="396">
        <v>0.76458677921600005</v>
      </c>
      <c r="E34" s="397">
        <v>1.0988423963130001</v>
      </c>
      <c r="F34" s="395">
        <v>0</v>
      </c>
      <c r="G34" s="396">
        <v>0</v>
      </c>
      <c r="H34" s="398">
        <v>0</v>
      </c>
      <c r="I34" s="395">
        <v>0</v>
      </c>
      <c r="J34" s="396">
        <v>0</v>
      </c>
      <c r="K34" s="406" t="s">
        <v>233</v>
      </c>
    </row>
    <row r="35" spans="1:11" ht="14.4" customHeight="1" thickBot="1" x14ac:dyDescent="0.35">
      <c r="A35" s="415" t="s">
        <v>262</v>
      </c>
      <c r="B35" s="395">
        <v>7.7354132207830002</v>
      </c>
      <c r="C35" s="395">
        <v>8.5</v>
      </c>
      <c r="D35" s="396">
        <v>0.76458677921600005</v>
      </c>
      <c r="E35" s="397">
        <v>1.0988423963130001</v>
      </c>
      <c r="F35" s="395">
        <v>0</v>
      </c>
      <c r="G35" s="396">
        <v>0</v>
      </c>
      <c r="H35" s="398">
        <v>0</v>
      </c>
      <c r="I35" s="395">
        <v>0</v>
      </c>
      <c r="J35" s="396">
        <v>0</v>
      </c>
      <c r="K35" s="406" t="s">
        <v>233</v>
      </c>
    </row>
    <row r="36" spans="1:11" ht="14.4" customHeight="1" thickBot="1" x14ac:dyDescent="0.35">
      <c r="A36" s="416" t="s">
        <v>263</v>
      </c>
      <c r="B36" s="400">
        <v>0</v>
      </c>
      <c r="C36" s="400">
        <v>8.5</v>
      </c>
      <c r="D36" s="401">
        <v>8.5</v>
      </c>
      <c r="E36" s="408" t="s">
        <v>264</v>
      </c>
      <c r="F36" s="400">
        <v>0</v>
      </c>
      <c r="G36" s="401">
        <v>0</v>
      </c>
      <c r="H36" s="403">
        <v>0</v>
      </c>
      <c r="I36" s="400">
        <v>0</v>
      </c>
      <c r="J36" s="401">
        <v>0</v>
      </c>
      <c r="K36" s="405" t="s">
        <v>233</v>
      </c>
    </row>
    <row r="37" spans="1:11" ht="14.4" customHeight="1" thickBot="1" x14ac:dyDescent="0.35">
      <c r="A37" s="417" t="s">
        <v>265</v>
      </c>
      <c r="B37" s="395">
        <v>0</v>
      </c>
      <c r="C37" s="395">
        <v>8.5</v>
      </c>
      <c r="D37" s="396">
        <v>8.5</v>
      </c>
      <c r="E37" s="407" t="s">
        <v>264</v>
      </c>
      <c r="F37" s="395">
        <v>0</v>
      </c>
      <c r="G37" s="396">
        <v>0</v>
      </c>
      <c r="H37" s="398">
        <v>0</v>
      </c>
      <c r="I37" s="395">
        <v>0</v>
      </c>
      <c r="J37" s="396">
        <v>0</v>
      </c>
      <c r="K37" s="406" t="s">
        <v>233</v>
      </c>
    </row>
    <row r="38" spans="1:11" ht="14.4" customHeight="1" thickBot="1" x14ac:dyDescent="0.35">
      <c r="A38" s="420" t="s">
        <v>266</v>
      </c>
      <c r="B38" s="395">
        <v>7.7354132207830002</v>
      </c>
      <c r="C38" s="395">
        <v>0</v>
      </c>
      <c r="D38" s="396">
        <v>-7.7354132207830002</v>
      </c>
      <c r="E38" s="397">
        <v>0</v>
      </c>
      <c r="F38" s="395">
        <v>0</v>
      </c>
      <c r="G38" s="396">
        <v>0</v>
      </c>
      <c r="H38" s="398">
        <v>0</v>
      </c>
      <c r="I38" s="395">
        <v>0</v>
      </c>
      <c r="J38" s="396">
        <v>0</v>
      </c>
      <c r="K38" s="399">
        <v>2</v>
      </c>
    </row>
    <row r="39" spans="1:11" ht="14.4" customHeight="1" thickBot="1" x14ac:dyDescent="0.35">
      <c r="A39" s="417" t="s">
        <v>267</v>
      </c>
      <c r="B39" s="395">
        <v>7.7354132207830002</v>
      </c>
      <c r="C39" s="395">
        <v>0</v>
      </c>
      <c r="D39" s="396">
        <v>-7.7354132207830002</v>
      </c>
      <c r="E39" s="397">
        <v>0</v>
      </c>
      <c r="F39" s="395">
        <v>0</v>
      </c>
      <c r="G39" s="396">
        <v>0</v>
      </c>
      <c r="H39" s="398">
        <v>0</v>
      </c>
      <c r="I39" s="395">
        <v>0</v>
      </c>
      <c r="J39" s="396">
        <v>0</v>
      </c>
      <c r="K39" s="399">
        <v>2</v>
      </c>
    </row>
    <row r="40" spans="1:11" ht="14.4" customHeight="1" thickBot="1" x14ac:dyDescent="0.35">
      <c r="A40" s="413" t="s">
        <v>268</v>
      </c>
      <c r="B40" s="395">
        <v>60.976339613748998</v>
      </c>
      <c r="C40" s="395">
        <v>128.91973999999999</v>
      </c>
      <c r="D40" s="396">
        <v>67.943400386250005</v>
      </c>
      <c r="E40" s="397">
        <v>2.1142584290330002</v>
      </c>
      <c r="F40" s="395">
        <v>145.53300232259201</v>
      </c>
      <c r="G40" s="396">
        <v>24.255500387097999</v>
      </c>
      <c r="H40" s="398">
        <v>8.6407799999989994</v>
      </c>
      <c r="I40" s="395">
        <v>16.450700000000001</v>
      </c>
      <c r="J40" s="396">
        <v>-7.8048003870980001</v>
      </c>
      <c r="K40" s="399">
        <v>0.113037591044</v>
      </c>
    </row>
    <row r="41" spans="1:11" ht="14.4" customHeight="1" thickBot="1" x14ac:dyDescent="0.35">
      <c r="A41" s="414" t="s">
        <v>269</v>
      </c>
      <c r="B41" s="395">
        <v>60.976339613748998</v>
      </c>
      <c r="C41" s="395">
        <v>101.02719</v>
      </c>
      <c r="D41" s="396">
        <v>40.050850386249998</v>
      </c>
      <c r="E41" s="397">
        <v>1.6568260843460001</v>
      </c>
      <c r="F41" s="395">
        <v>117.843472113423</v>
      </c>
      <c r="G41" s="396">
        <v>19.640578685569999</v>
      </c>
      <c r="H41" s="398">
        <v>8.6407799999989994</v>
      </c>
      <c r="I41" s="395">
        <v>16.450700000000001</v>
      </c>
      <c r="J41" s="396">
        <v>-3.1898786855700001</v>
      </c>
      <c r="K41" s="399">
        <v>0.13959788951300001</v>
      </c>
    </row>
    <row r="42" spans="1:11" ht="14.4" customHeight="1" thickBot="1" x14ac:dyDescent="0.35">
      <c r="A42" s="415" t="s">
        <v>270</v>
      </c>
      <c r="B42" s="395">
        <v>60.976339613748998</v>
      </c>
      <c r="C42" s="395">
        <v>101.02719</v>
      </c>
      <c r="D42" s="396">
        <v>40.050850386249998</v>
      </c>
      <c r="E42" s="397">
        <v>1.6568260843460001</v>
      </c>
      <c r="F42" s="395">
        <v>117.843472113423</v>
      </c>
      <c r="G42" s="396">
        <v>19.640578685569999</v>
      </c>
      <c r="H42" s="398">
        <v>8.6407799999989994</v>
      </c>
      <c r="I42" s="395">
        <v>16.450700000000001</v>
      </c>
      <c r="J42" s="396">
        <v>-3.1898786855700001</v>
      </c>
      <c r="K42" s="399">
        <v>0.13959788951300001</v>
      </c>
    </row>
    <row r="43" spans="1:11" ht="14.4" customHeight="1" thickBot="1" x14ac:dyDescent="0.35">
      <c r="A43" s="416" t="s">
        <v>271</v>
      </c>
      <c r="B43" s="400">
        <v>1.274917889605</v>
      </c>
      <c r="C43" s="400">
        <v>1.7194799999999999</v>
      </c>
      <c r="D43" s="401">
        <v>0.44456211039400001</v>
      </c>
      <c r="E43" s="402">
        <v>1.348698621314</v>
      </c>
      <c r="F43" s="400">
        <v>0</v>
      </c>
      <c r="G43" s="401">
        <v>0</v>
      </c>
      <c r="H43" s="403">
        <v>0</v>
      </c>
      <c r="I43" s="400">
        <v>0</v>
      </c>
      <c r="J43" s="401">
        <v>0</v>
      </c>
      <c r="K43" s="405" t="s">
        <v>233</v>
      </c>
    </row>
    <row r="44" spans="1:11" ht="14.4" customHeight="1" thickBot="1" x14ac:dyDescent="0.35">
      <c r="A44" s="417" t="s">
        <v>272</v>
      </c>
      <c r="B44" s="395">
        <v>1.274917889605</v>
      </c>
      <c r="C44" s="395">
        <v>1.7194799999999999</v>
      </c>
      <c r="D44" s="396">
        <v>0.44456211039400001</v>
      </c>
      <c r="E44" s="397">
        <v>1.348698621314</v>
      </c>
      <c r="F44" s="395">
        <v>0</v>
      </c>
      <c r="G44" s="396">
        <v>0</v>
      </c>
      <c r="H44" s="398">
        <v>0</v>
      </c>
      <c r="I44" s="395">
        <v>0</v>
      </c>
      <c r="J44" s="396">
        <v>0</v>
      </c>
      <c r="K44" s="406" t="s">
        <v>233</v>
      </c>
    </row>
    <row r="45" spans="1:11" ht="14.4" customHeight="1" thickBot="1" x14ac:dyDescent="0.35">
      <c r="A45" s="420" t="s">
        <v>273</v>
      </c>
      <c r="B45" s="395">
        <v>0.39765726080000002</v>
      </c>
      <c r="C45" s="395">
        <v>1.4679199999999999</v>
      </c>
      <c r="D45" s="396">
        <v>1.0702627391990001</v>
      </c>
      <c r="E45" s="397">
        <v>3.6914200863470001</v>
      </c>
      <c r="F45" s="395">
        <v>0.41854240621299998</v>
      </c>
      <c r="G45" s="396">
        <v>6.9757067702000006E-2</v>
      </c>
      <c r="H45" s="398">
        <v>0</v>
      </c>
      <c r="I45" s="395">
        <v>0.12748999999999999</v>
      </c>
      <c r="J45" s="396">
        <v>5.7732932297000002E-2</v>
      </c>
      <c r="K45" s="399">
        <v>0.304604738032</v>
      </c>
    </row>
    <row r="46" spans="1:11" ht="14.4" customHeight="1" thickBot="1" x14ac:dyDescent="0.35">
      <c r="A46" s="417" t="s">
        <v>274</v>
      </c>
      <c r="B46" s="395">
        <v>0</v>
      </c>
      <c r="C46" s="395">
        <v>0</v>
      </c>
      <c r="D46" s="396">
        <v>0</v>
      </c>
      <c r="E46" s="397">
        <v>1</v>
      </c>
      <c r="F46" s="395">
        <v>0.41854240621299998</v>
      </c>
      <c r="G46" s="396">
        <v>6.9757067702000006E-2</v>
      </c>
      <c r="H46" s="398">
        <v>0</v>
      </c>
      <c r="I46" s="395">
        <v>0.12748999999999999</v>
      </c>
      <c r="J46" s="396">
        <v>5.7732932297000002E-2</v>
      </c>
      <c r="K46" s="399">
        <v>0.304604738032</v>
      </c>
    </row>
    <row r="47" spans="1:11" ht="14.4" customHeight="1" thickBot="1" x14ac:dyDescent="0.35">
      <c r="A47" s="417" t="s">
        <v>275</v>
      </c>
      <c r="B47" s="395">
        <v>0.39765726080000002</v>
      </c>
      <c r="C47" s="395">
        <v>1.4679199999999999</v>
      </c>
      <c r="D47" s="396">
        <v>1.0702627391990001</v>
      </c>
      <c r="E47" s="397">
        <v>3.6914200863470001</v>
      </c>
      <c r="F47" s="395">
        <v>0</v>
      </c>
      <c r="G47" s="396">
        <v>0</v>
      </c>
      <c r="H47" s="398">
        <v>0</v>
      </c>
      <c r="I47" s="395">
        <v>0</v>
      </c>
      <c r="J47" s="396">
        <v>0</v>
      </c>
      <c r="K47" s="406" t="s">
        <v>233</v>
      </c>
    </row>
    <row r="48" spans="1:11" ht="14.4" customHeight="1" thickBot="1" x14ac:dyDescent="0.35">
      <c r="A48" s="416" t="s">
        <v>276</v>
      </c>
      <c r="B48" s="400">
        <v>59.303764463341999</v>
      </c>
      <c r="C48" s="400">
        <v>95.451859999999996</v>
      </c>
      <c r="D48" s="401">
        <v>36.148095536657003</v>
      </c>
      <c r="E48" s="402">
        <v>1.609541331208</v>
      </c>
      <c r="F48" s="400">
        <v>117.424929707209</v>
      </c>
      <c r="G48" s="401">
        <v>19.570821617867999</v>
      </c>
      <c r="H48" s="403">
        <v>7.4294599999989996</v>
      </c>
      <c r="I48" s="400">
        <v>14.815289999999999</v>
      </c>
      <c r="J48" s="401">
        <v>-4.7555316178679998</v>
      </c>
      <c r="K48" s="404">
        <v>0.126168182829</v>
      </c>
    </row>
    <row r="49" spans="1:11" ht="14.4" customHeight="1" thickBot="1" x14ac:dyDescent="0.35">
      <c r="A49" s="417" t="s">
        <v>277</v>
      </c>
      <c r="B49" s="395">
        <v>24.835623740237999</v>
      </c>
      <c r="C49" s="395">
        <v>39.414760000000001</v>
      </c>
      <c r="D49" s="396">
        <v>14.579136259761</v>
      </c>
      <c r="E49" s="397">
        <v>1.5870251704659999</v>
      </c>
      <c r="F49" s="395">
        <v>0</v>
      </c>
      <c r="G49" s="396">
        <v>0</v>
      </c>
      <c r="H49" s="398">
        <v>0</v>
      </c>
      <c r="I49" s="395">
        <v>0</v>
      </c>
      <c r="J49" s="396">
        <v>0</v>
      </c>
      <c r="K49" s="406" t="s">
        <v>233</v>
      </c>
    </row>
    <row r="50" spans="1:11" ht="14.4" customHeight="1" thickBot="1" x14ac:dyDescent="0.35">
      <c r="A50" s="417" t="s">
        <v>278</v>
      </c>
      <c r="B50" s="395">
        <v>34.468140723104</v>
      </c>
      <c r="C50" s="395">
        <v>56.037100000000002</v>
      </c>
      <c r="D50" s="396">
        <v>21.568959276895001</v>
      </c>
      <c r="E50" s="397">
        <v>1.6257650927609999</v>
      </c>
      <c r="F50" s="395">
        <v>117.424929707209</v>
      </c>
      <c r="G50" s="396">
        <v>19.570821617867999</v>
      </c>
      <c r="H50" s="398">
        <v>7.4294599999989996</v>
      </c>
      <c r="I50" s="395">
        <v>14.815289999999999</v>
      </c>
      <c r="J50" s="396">
        <v>-4.7555316178679998</v>
      </c>
      <c r="K50" s="399">
        <v>0.126168182829</v>
      </c>
    </row>
    <row r="51" spans="1:11" ht="14.4" customHeight="1" thickBot="1" x14ac:dyDescent="0.35">
      <c r="A51" s="416" t="s">
        <v>279</v>
      </c>
      <c r="B51" s="400">
        <v>0</v>
      </c>
      <c r="C51" s="400">
        <v>2.3879299999999999</v>
      </c>
      <c r="D51" s="401">
        <v>2.3879299999999999</v>
      </c>
      <c r="E51" s="408" t="s">
        <v>233</v>
      </c>
      <c r="F51" s="400">
        <v>0</v>
      </c>
      <c r="G51" s="401">
        <v>0</v>
      </c>
      <c r="H51" s="403">
        <v>1.21132</v>
      </c>
      <c r="I51" s="400">
        <v>1.5079199999999999</v>
      </c>
      <c r="J51" s="401">
        <v>1.5079199999999999</v>
      </c>
      <c r="K51" s="405" t="s">
        <v>233</v>
      </c>
    </row>
    <row r="52" spans="1:11" ht="14.4" customHeight="1" thickBot="1" x14ac:dyDescent="0.35">
      <c r="A52" s="417" t="s">
        <v>280</v>
      </c>
      <c r="B52" s="395">
        <v>0</v>
      </c>
      <c r="C52" s="395">
        <v>1.03813</v>
      </c>
      <c r="D52" s="396">
        <v>1.03813</v>
      </c>
      <c r="E52" s="407" t="s">
        <v>233</v>
      </c>
      <c r="F52" s="395">
        <v>0</v>
      </c>
      <c r="G52" s="396">
        <v>0</v>
      </c>
      <c r="H52" s="398">
        <v>0</v>
      </c>
      <c r="I52" s="395">
        <v>0</v>
      </c>
      <c r="J52" s="396">
        <v>0</v>
      </c>
      <c r="K52" s="406" t="s">
        <v>233</v>
      </c>
    </row>
    <row r="53" spans="1:11" ht="14.4" customHeight="1" thickBot="1" x14ac:dyDescent="0.35">
      <c r="A53" s="417" t="s">
        <v>281</v>
      </c>
      <c r="B53" s="395">
        <v>0</v>
      </c>
      <c r="C53" s="395">
        <v>1.3498000000000001</v>
      </c>
      <c r="D53" s="396">
        <v>1.3498000000000001</v>
      </c>
      <c r="E53" s="407" t="s">
        <v>233</v>
      </c>
      <c r="F53" s="395">
        <v>0</v>
      </c>
      <c r="G53" s="396">
        <v>0</v>
      </c>
      <c r="H53" s="398">
        <v>1.21132</v>
      </c>
      <c r="I53" s="395">
        <v>1.5079199999999999</v>
      </c>
      <c r="J53" s="396">
        <v>1.5079199999999999</v>
      </c>
      <c r="K53" s="406" t="s">
        <v>233</v>
      </c>
    </row>
    <row r="54" spans="1:11" ht="14.4" customHeight="1" thickBot="1" x14ac:dyDescent="0.35">
      <c r="A54" s="414" t="s">
        <v>282</v>
      </c>
      <c r="B54" s="395">
        <v>0</v>
      </c>
      <c r="C54" s="395">
        <v>27.89255</v>
      </c>
      <c r="D54" s="396">
        <v>27.89255</v>
      </c>
      <c r="E54" s="407" t="s">
        <v>233</v>
      </c>
      <c r="F54" s="395">
        <v>27.689530209169</v>
      </c>
      <c r="G54" s="396">
        <v>4.614921701528</v>
      </c>
      <c r="H54" s="398">
        <v>0</v>
      </c>
      <c r="I54" s="395">
        <v>0</v>
      </c>
      <c r="J54" s="396">
        <v>-4.614921701528</v>
      </c>
      <c r="K54" s="399">
        <v>0</v>
      </c>
    </row>
    <row r="55" spans="1:11" ht="14.4" customHeight="1" thickBot="1" x14ac:dyDescent="0.35">
      <c r="A55" s="415" t="s">
        <v>283</v>
      </c>
      <c r="B55" s="395">
        <v>0</v>
      </c>
      <c r="C55" s="395">
        <v>25</v>
      </c>
      <c r="D55" s="396">
        <v>25</v>
      </c>
      <c r="E55" s="407" t="s">
        <v>233</v>
      </c>
      <c r="F55" s="395">
        <v>27.689582339714999</v>
      </c>
      <c r="G55" s="396">
        <v>4.6149303899519998</v>
      </c>
      <c r="H55" s="398">
        <v>0</v>
      </c>
      <c r="I55" s="395">
        <v>0</v>
      </c>
      <c r="J55" s="396">
        <v>-4.6149303899519998</v>
      </c>
      <c r="K55" s="399">
        <v>0</v>
      </c>
    </row>
    <row r="56" spans="1:11" ht="14.4" customHeight="1" thickBot="1" x14ac:dyDescent="0.35">
      <c r="A56" s="416" t="s">
        <v>284</v>
      </c>
      <c r="B56" s="400">
        <v>0</v>
      </c>
      <c r="C56" s="400">
        <v>25</v>
      </c>
      <c r="D56" s="401">
        <v>25</v>
      </c>
      <c r="E56" s="408" t="s">
        <v>233</v>
      </c>
      <c r="F56" s="400">
        <v>27.689582339714999</v>
      </c>
      <c r="G56" s="401">
        <v>4.6149303899519998</v>
      </c>
      <c r="H56" s="403">
        <v>0</v>
      </c>
      <c r="I56" s="400">
        <v>0</v>
      </c>
      <c r="J56" s="401">
        <v>-4.6149303899519998</v>
      </c>
      <c r="K56" s="404">
        <v>0</v>
      </c>
    </row>
    <row r="57" spans="1:11" ht="14.4" customHeight="1" thickBot="1" x14ac:dyDescent="0.35">
      <c r="A57" s="417" t="s">
        <v>285</v>
      </c>
      <c r="B57" s="395">
        <v>0</v>
      </c>
      <c r="C57" s="395">
        <v>25</v>
      </c>
      <c r="D57" s="396">
        <v>25</v>
      </c>
      <c r="E57" s="407" t="s">
        <v>233</v>
      </c>
      <c r="F57" s="395">
        <v>27.689582339714999</v>
      </c>
      <c r="G57" s="396">
        <v>4.6149303899519998</v>
      </c>
      <c r="H57" s="398">
        <v>0</v>
      </c>
      <c r="I57" s="395">
        <v>0</v>
      </c>
      <c r="J57" s="396">
        <v>-4.6149303899519998</v>
      </c>
      <c r="K57" s="399">
        <v>0</v>
      </c>
    </row>
    <row r="58" spans="1:11" ht="14.4" customHeight="1" thickBot="1" x14ac:dyDescent="0.35">
      <c r="A58" s="419" t="s">
        <v>286</v>
      </c>
      <c r="B58" s="400">
        <v>0</v>
      </c>
      <c r="C58" s="400">
        <v>2.89255</v>
      </c>
      <c r="D58" s="401">
        <v>2.89255</v>
      </c>
      <c r="E58" s="408" t="s">
        <v>233</v>
      </c>
      <c r="F58" s="400">
        <v>-5.2130545634981503E-5</v>
      </c>
      <c r="G58" s="401">
        <v>-8.68842427249692E-6</v>
      </c>
      <c r="H58" s="403">
        <v>0</v>
      </c>
      <c r="I58" s="400">
        <v>0</v>
      </c>
      <c r="J58" s="401">
        <v>8.68842427249692E-6</v>
      </c>
      <c r="K58" s="404">
        <v>0</v>
      </c>
    </row>
    <row r="59" spans="1:11" ht="14.4" customHeight="1" thickBot="1" x14ac:dyDescent="0.35">
      <c r="A59" s="416" t="s">
        <v>287</v>
      </c>
      <c r="B59" s="400">
        <v>0</v>
      </c>
      <c r="C59" s="400">
        <v>-5.0000000000000002E-5</v>
      </c>
      <c r="D59" s="401">
        <v>-5.0000000000000002E-5</v>
      </c>
      <c r="E59" s="408" t="s">
        <v>233</v>
      </c>
      <c r="F59" s="400">
        <v>-5.2130545634981503E-5</v>
      </c>
      <c r="G59" s="401">
        <v>-8.68842427249692E-6</v>
      </c>
      <c r="H59" s="403">
        <v>0</v>
      </c>
      <c r="I59" s="400">
        <v>0</v>
      </c>
      <c r="J59" s="401">
        <v>8.68842427249692E-6</v>
      </c>
      <c r="K59" s="404">
        <v>0</v>
      </c>
    </row>
    <row r="60" spans="1:11" ht="14.4" customHeight="1" thickBot="1" x14ac:dyDescent="0.35">
      <c r="A60" s="417" t="s">
        <v>288</v>
      </c>
      <c r="B60" s="395">
        <v>0</v>
      </c>
      <c r="C60" s="395">
        <v>-5.0000000000000002E-5</v>
      </c>
      <c r="D60" s="396">
        <v>-5.0000000000000002E-5</v>
      </c>
      <c r="E60" s="407" t="s">
        <v>264</v>
      </c>
      <c r="F60" s="395">
        <v>-5.2130545634981503E-5</v>
      </c>
      <c r="G60" s="396">
        <v>-8.68842427249692E-6</v>
      </c>
      <c r="H60" s="398">
        <v>0</v>
      </c>
      <c r="I60" s="395">
        <v>0</v>
      </c>
      <c r="J60" s="396">
        <v>8.68842427249692E-6</v>
      </c>
      <c r="K60" s="399">
        <v>0</v>
      </c>
    </row>
    <row r="61" spans="1:11" ht="14.4" customHeight="1" thickBot="1" x14ac:dyDescent="0.35">
      <c r="A61" s="416" t="s">
        <v>289</v>
      </c>
      <c r="B61" s="400">
        <v>0</v>
      </c>
      <c r="C61" s="400">
        <v>2.8925999999999998</v>
      </c>
      <c r="D61" s="401">
        <v>2.8925999999999998</v>
      </c>
      <c r="E61" s="408" t="s">
        <v>264</v>
      </c>
      <c r="F61" s="400">
        <v>0</v>
      </c>
      <c r="G61" s="401">
        <v>0</v>
      </c>
      <c r="H61" s="403">
        <v>0</v>
      </c>
      <c r="I61" s="400">
        <v>0</v>
      </c>
      <c r="J61" s="401">
        <v>0</v>
      </c>
      <c r="K61" s="405" t="s">
        <v>233</v>
      </c>
    </row>
    <row r="62" spans="1:11" ht="14.4" customHeight="1" thickBot="1" x14ac:dyDescent="0.35">
      <c r="A62" s="417" t="s">
        <v>290</v>
      </c>
      <c r="B62" s="395">
        <v>0</v>
      </c>
      <c r="C62" s="395">
        <v>2.8925999999999998</v>
      </c>
      <c r="D62" s="396">
        <v>2.8925999999999998</v>
      </c>
      <c r="E62" s="407" t="s">
        <v>264</v>
      </c>
      <c r="F62" s="395">
        <v>0</v>
      </c>
      <c r="G62" s="396">
        <v>0</v>
      </c>
      <c r="H62" s="398">
        <v>0</v>
      </c>
      <c r="I62" s="395">
        <v>0</v>
      </c>
      <c r="J62" s="396">
        <v>0</v>
      </c>
      <c r="K62" s="406" t="s">
        <v>233</v>
      </c>
    </row>
    <row r="63" spans="1:11" ht="14.4" customHeight="1" thickBot="1" x14ac:dyDescent="0.35">
      <c r="A63" s="413" t="s">
        <v>291</v>
      </c>
      <c r="B63" s="395">
        <v>305.65539494870097</v>
      </c>
      <c r="C63" s="395">
        <v>316.08514000000002</v>
      </c>
      <c r="D63" s="396">
        <v>10.429745051298999</v>
      </c>
      <c r="E63" s="397">
        <v>1.0341225616280001</v>
      </c>
      <c r="F63" s="395">
        <v>0</v>
      </c>
      <c r="G63" s="396">
        <v>0</v>
      </c>
      <c r="H63" s="398">
        <v>28.123819999999998</v>
      </c>
      <c r="I63" s="395">
        <v>55.072679999999998</v>
      </c>
      <c r="J63" s="396">
        <v>55.072679999999998</v>
      </c>
      <c r="K63" s="406" t="s">
        <v>264</v>
      </c>
    </row>
    <row r="64" spans="1:11" ht="14.4" customHeight="1" thickBot="1" x14ac:dyDescent="0.35">
      <c r="A64" s="418" t="s">
        <v>292</v>
      </c>
      <c r="B64" s="400">
        <v>305.65539494870097</v>
      </c>
      <c r="C64" s="400">
        <v>316.08514000000002</v>
      </c>
      <c r="D64" s="401">
        <v>10.429745051298999</v>
      </c>
      <c r="E64" s="402">
        <v>1.0341225616280001</v>
      </c>
      <c r="F64" s="400">
        <v>0</v>
      </c>
      <c r="G64" s="401">
        <v>0</v>
      </c>
      <c r="H64" s="403">
        <v>28.123819999999998</v>
      </c>
      <c r="I64" s="400">
        <v>55.072679999999998</v>
      </c>
      <c r="J64" s="401">
        <v>55.072679999999998</v>
      </c>
      <c r="K64" s="405" t="s">
        <v>264</v>
      </c>
    </row>
    <row r="65" spans="1:11" ht="14.4" customHeight="1" thickBot="1" x14ac:dyDescent="0.35">
      <c r="A65" s="419" t="s">
        <v>51</v>
      </c>
      <c r="B65" s="400">
        <v>305.65539494870097</v>
      </c>
      <c r="C65" s="400">
        <v>316.08514000000002</v>
      </c>
      <c r="D65" s="401">
        <v>10.429745051298999</v>
      </c>
      <c r="E65" s="402">
        <v>1.0341225616280001</v>
      </c>
      <c r="F65" s="400">
        <v>0</v>
      </c>
      <c r="G65" s="401">
        <v>0</v>
      </c>
      <c r="H65" s="403">
        <v>28.123819999999998</v>
      </c>
      <c r="I65" s="400">
        <v>55.072679999999998</v>
      </c>
      <c r="J65" s="401">
        <v>55.072679999999998</v>
      </c>
      <c r="K65" s="405" t="s">
        <v>264</v>
      </c>
    </row>
    <row r="66" spans="1:11" ht="14.4" customHeight="1" thickBot="1" x14ac:dyDescent="0.35">
      <c r="A66" s="416" t="s">
        <v>293</v>
      </c>
      <c r="B66" s="400">
        <v>133.88959628331199</v>
      </c>
      <c r="C66" s="400">
        <v>112.13939000000001</v>
      </c>
      <c r="D66" s="401">
        <v>-21.750206283312</v>
      </c>
      <c r="E66" s="402">
        <v>0.83755118480299995</v>
      </c>
      <c r="F66" s="400">
        <v>0</v>
      </c>
      <c r="G66" s="401">
        <v>0</v>
      </c>
      <c r="H66" s="403">
        <v>10.795249999999999</v>
      </c>
      <c r="I66" s="400">
        <v>24.075780000000002</v>
      </c>
      <c r="J66" s="401">
        <v>24.075780000000002</v>
      </c>
      <c r="K66" s="405" t="s">
        <v>264</v>
      </c>
    </row>
    <row r="67" spans="1:11" ht="14.4" customHeight="1" thickBot="1" x14ac:dyDescent="0.35">
      <c r="A67" s="417" t="s">
        <v>294</v>
      </c>
      <c r="B67" s="395">
        <v>133.88959628331199</v>
      </c>
      <c r="C67" s="395">
        <v>112.13939000000001</v>
      </c>
      <c r="D67" s="396">
        <v>-21.750206283312</v>
      </c>
      <c r="E67" s="397">
        <v>0.83755118480299995</v>
      </c>
      <c r="F67" s="395">
        <v>0</v>
      </c>
      <c r="G67" s="396">
        <v>0</v>
      </c>
      <c r="H67" s="398">
        <v>10.795249999999999</v>
      </c>
      <c r="I67" s="395">
        <v>24.075780000000002</v>
      </c>
      <c r="J67" s="396">
        <v>24.075780000000002</v>
      </c>
      <c r="K67" s="406" t="s">
        <v>264</v>
      </c>
    </row>
    <row r="68" spans="1:11" ht="14.4" customHeight="1" thickBot="1" x14ac:dyDescent="0.35">
      <c r="A68" s="416" t="s">
        <v>295</v>
      </c>
      <c r="B68" s="400">
        <v>171.76579866538799</v>
      </c>
      <c r="C68" s="400">
        <v>203.94575</v>
      </c>
      <c r="D68" s="401">
        <v>32.179951334610998</v>
      </c>
      <c r="E68" s="402">
        <v>1.187347839818</v>
      </c>
      <c r="F68" s="400">
        <v>0</v>
      </c>
      <c r="G68" s="401">
        <v>0</v>
      </c>
      <c r="H68" s="403">
        <v>17.328569999999999</v>
      </c>
      <c r="I68" s="400">
        <v>30.9969</v>
      </c>
      <c r="J68" s="401">
        <v>30.9969</v>
      </c>
      <c r="K68" s="405" t="s">
        <v>264</v>
      </c>
    </row>
    <row r="69" spans="1:11" ht="14.4" customHeight="1" thickBot="1" x14ac:dyDescent="0.35">
      <c r="A69" s="417" t="s">
        <v>296</v>
      </c>
      <c r="B69" s="395">
        <v>171.76579866538799</v>
      </c>
      <c r="C69" s="395">
        <v>203.94575</v>
      </c>
      <c r="D69" s="396">
        <v>32.179951334610998</v>
      </c>
      <c r="E69" s="397">
        <v>1.187347839818</v>
      </c>
      <c r="F69" s="395">
        <v>0</v>
      </c>
      <c r="G69" s="396">
        <v>0</v>
      </c>
      <c r="H69" s="398">
        <v>17.328569999999999</v>
      </c>
      <c r="I69" s="395">
        <v>30.9969</v>
      </c>
      <c r="J69" s="396">
        <v>30.9969</v>
      </c>
      <c r="K69" s="406" t="s">
        <v>264</v>
      </c>
    </row>
    <row r="70" spans="1:11" ht="14.4" customHeight="1" thickBot="1" x14ac:dyDescent="0.35">
      <c r="A70" s="421"/>
      <c r="B70" s="395">
        <v>-2171.9284161892101</v>
      </c>
      <c r="C70" s="395">
        <v>-2162.3303599999999</v>
      </c>
      <c r="D70" s="396">
        <v>9.5980561892090002</v>
      </c>
      <c r="E70" s="397">
        <v>0.99558085979300004</v>
      </c>
      <c r="F70" s="395">
        <v>-1678.43119080117</v>
      </c>
      <c r="G70" s="396">
        <v>-279.73853180019501</v>
      </c>
      <c r="H70" s="398">
        <v>-171.91734</v>
      </c>
      <c r="I70" s="395">
        <v>-343.09857000000102</v>
      </c>
      <c r="J70" s="396">
        <v>-63.360038199804997</v>
      </c>
      <c r="K70" s="399">
        <v>0.20441622622300001</v>
      </c>
    </row>
    <row r="71" spans="1:11" ht="14.4" customHeight="1" thickBot="1" x14ac:dyDescent="0.35">
      <c r="A71" s="422" t="s">
        <v>63</v>
      </c>
      <c r="B71" s="409">
        <v>-2171.9284161892101</v>
      </c>
      <c r="C71" s="409">
        <v>-2162.3303599999999</v>
      </c>
      <c r="D71" s="410">
        <v>9.5980561892090002</v>
      </c>
      <c r="E71" s="411">
        <v>5.5273698491999999E-2</v>
      </c>
      <c r="F71" s="409">
        <v>-1678.43119080117</v>
      </c>
      <c r="G71" s="410">
        <v>-279.73853180019501</v>
      </c>
      <c r="H71" s="409">
        <v>-171.91734</v>
      </c>
      <c r="I71" s="409">
        <v>-343.09857000000102</v>
      </c>
      <c r="J71" s="410">
        <v>-63.360038199804997</v>
      </c>
      <c r="K71" s="412">
        <v>0.20441622622300001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5" customWidth="1"/>
    <col min="2" max="2" width="34.21875" style="115" customWidth="1"/>
    <col min="3" max="3" width="11.109375" style="115" bestFit="1" customWidth="1"/>
    <col min="4" max="4" width="7.33203125" style="115" bestFit="1" customWidth="1"/>
    <col min="5" max="5" width="11.109375" style="115" bestFit="1" customWidth="1"/>
    <col min="6" max="6" width="5.33203125" style="115" customWidth="1"/>
    <col min="7" max="7" width="7.33203125" style="115" bestFit="1" customWidth="1"/>
    <col min="8" max="8" width="5.33203125" style="115" customWidth="1"/>
    <col min="9" max="9" width="11.109375" style="115" customWidth="1"/>
    <col min="10" max="10" width="5.33203125" style="115" customWidth="1"/>
    <col min="11" max="11" width="7.33203125" style="115" customWidth="1"/>
    <col min="12" max="12" width="5.33203125" style="115" customWidth="1"/>
    <col min="13" max="13" width="0" style="115" hidden="1" customWidth="1"/>
    <col min="14" max="16384" width="8.88671875" style="115"/>
  </cols>
  <sheetData>
    <row r="1" spans="1:14" ht="18.600000000000001" customHeight="1" thickBot="1" x14ac:dyDescent="0.4">
      <c r="A1" s="319" t="s">
        <v>123</v>
      </c>
      <c r="B1" s="319"/>
      <c r="C1" s="319"/>
      <c r="D1" s="319"/>
      <c r="E1" s="319"/>
      <c r="F1" s="319"/>
      <c r="G1" s="319"/>
      <c r="H1" s="319"/>
      <c r="I1" s="291"/>
      <c r="J1" s="291"/>
      <c r="K1" s="291"/>
      <c r="L1" s="291"/>
    </row>
    <row r="2" spans="1:14" ht="14.4" customHeight="1" thickBot="1" x14ac:dyDescent="0.3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" customHeight="1" thickBot="1" x14ac:dyDescent="0.35">
      <c r="A3" s="128"/>
      <c r="B3" s="128"/>
      <c r="C3" s="321" t="s">
        <v>12</v>
      </c>
      <c r="D3" s="320"/>
      <c r="E3" s="320" t="s">
        <v>13</v>
      </c>
      <c r="F3" s="320"/>
      <c r="G3" s="320"/>
      <c r="H3" s="320"/>
      <c r="I3" s="320" t="s">
        <v>126</v>
      </c>
      <c r="J3" s="320"/>
      <c r="K3" s="320"/>
      <c r="L3" s="322"/>
    </row>
    <row r="4" spans="1:14" ht="14.4" customHeight="1" thickBot="1" x14ac:dyDescent="0.3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" customHeight="1" x14ac:dyDescent="0.3">
      <c r="A5" s="423">
        <v>43</v>
      </c>
      <c r="B5" s="424" t="s">
        <v>297</v>
      </c>
      <c r="C5" s="425">
        <v>0</v>
      </c>
      <c r="D5" s="425">
        <v>1</v>
      </c>
      <c r="E5" s="425">
        <v>0</v>
      </c>
      <c r="F5" s="426" t="s">
        <v>298</v>
      </c>
      <c r="G5" s="425">
        <v>1</v>
      </c>
      <c r="H5" s="426">
        <v>1</v>
      </c>
      <c r="I5" s="425" t="s">
        <v>298</v>
      </c>
      <c r="J5" s="426" t="s">
        <v>298</v>
      </c>
      <c r="K5" s="425" t="s">
        <v>298</v>
      </c>
      <c r="L5" s="426">
        <v>0</v>
      </c>
      <c r="M5" s="425" t="s">
        <v>65</v>
      </c>
      <c r="N5" s="135"/>
    </row>
    <row r="6" spans="1:14" ht="14.4" customHeight="1" x14ac:dyDescent="0.3">
      <c r="A6" s="423">
        <v>43</v>
      </c>
      <c r="B6" s="424" t="s">
        <v>299</v>
      </c>
      <c r="C6" s="425">
        <v>0</v>
      </c>
      <c r="D6" s="425">
        <v>1</v>
      </c>
      <c r="E6" s="425">
        <v>0</v>
      </c>
      <c r="F6" s="426" t="s">
        <v>298</v>
      </c>
      <c r="G6" s="425">
        <v>1</v>
      </c>
      <c r="H6" s="426">
        <v>1</v>
      </c>
      <c r="I6" s="425" t="s">
        <v>298</v>
      </c>
      <c r="J6" s="426" t="s">
        <v>298</v>
      </c>
      <c r="K6" s="425" t="s">
        <v>298</v>
      </c>
      <c r="L6" s="426">
        <v>0</v>
      </c>
      <c r="M6" s="425" t="s">
        <v>1</v>
      </c>
      <c r="N6" s="135"/>
    </row>
    <row r="7" spans="1:14" ht="14.4" customHeight="1" x14ac:dyDescent="0.3">
      <c r="A7" s="423" t="s">
        <v>300</v>
      </c>
      <c r="B7" s="424" t="s">
        <v>3</v>
      </c>
      <c r="C7" s="425">
        <v>0</v>
      </c>
      <c r="D7" s="425">
        <v>1</v>
      </c>
      <c r="E7" s="425">
        <v>0</v>
      </c>
      <c r="F7" s="426" t="s">
        <v>298</v>
      </c>
      <c r="G7" s="425">
        <v>1</v>
      </c>
      <c r="H7" s="426">
        <v>1</v>
      </c>
      <c r="I7" s="425" t="s">
        <v>298</v>
      </c>
      <c r="J7" s="426" t="s">
        <v>298</v>
      </c>
      <c r="K7" s="425" t="s">
        <v>298</v>
      </c>
      <c r="L7" s="426">
        <v>0</v>
      </c>
      <c r="M7" s="425" t="s">
        <v>301</v>
      </c>
      <c r="N7" s="135"/>
    </row>
    <row r="9" spans="1:14" ht="14.4" customHeight="1" x14ac:dyDescent="0.3">
      <c r="A9" s="423">
        <v>43</v>
      </c>
      <c r="B9" s="424" t="s">
        <v>297</v>
      </c>
      <c r="C9" s="425" t="s">
        <v>298</v>
      </c>
      <c r="D9" s="425" t="s">
        <v>298</v>
      </c>
      <c r="E9" s="425" t="s">
        <v>298</v>
      </c>
      <c r="F9" s="426" t="s">
        <v>298</v>
      </c>
      <c r="G9" s="425" t="s">
        <v>298</v>
      </c>
      <c r="H9" s="426" t="s">
        <v>298</v>
      </c>
      <c r="I9" s="425" t="s">
        <v>298</v>
      </c>
      <c r="J9" s="426" t="s">
        <v>298</v>
      </c>
      <c r="K9" s="425" t="s">
        <v>298</v>
      </c>
      <c r="L9" s="426" t="s">
        <v>298</v>
      </c>
      <c r="M9" s="425" t="s">
        <v>65</v>
      </c>
      <c r="N9" s="135"/>
    </row>
    <row r="10" spans="1:14" ht="14.4" customHeight="1" x14ac:dyDescent="0.3">
      <c r="A10" s="423" t="s">
        <v>302</v>
      </c>
      <c r="B10" s="424" t="s">
        <v>299</v>
      </c>
      <c r="C10" s="425">
        <v>0</v>
      </c>
      <c r="D10" s="425">
        <v>1</v>
      </c>
      <c r="E10" s="425">
        <v>0</v>
      </c>
      <c r="F10" s="426" t="s">
        <v>298</v>
      </c>
      <c r="G10" s="425">
        <v>1</v>
      </c>
      <c r="H10" s="426">
        <v>1</v>
      </c>
      <c r="I10" s="425" t="s">
        <v>298</v>
      </c>
      <c r="J10" s="426" t="s">
        <v>298</v>
      </c>
      <c r="K10" s="425" t="s">
        <v>298</v>
      </c>
      <c r="L10" s="426">
        <v>0</v>
      </c>
      <c r="M10" s="425" t="s">
        <v>1</v>
      </c>
      <c r="N10" s="135"/>
    </row>
    <row r="11" spans="1:14" ht="14.4" customHeight="1" x14ac:dyDescent="0.3">
      <c r="A11" s="423" t="s">
        <v>302</v>
      </c>
      <c r="B11" s="424" t="s">
        <v>303</v>
      </c>
      <c r="C11" s="425">
        <v>0</v>
      </c>
      <c r="D11" s="425">
        <v>1</v>
      </c>
      <c r="E11" s="425">
        <v>0</v>
      </c>
      <c r="F11" s="426" t="s">
        <v>298</v>
      </c>
      <c r="G11" s="425">
        <v>1</v>
      </c>
      <c r="H11" s="426">
        <v>1</v>
      </c>
      <c r="I11" s="425" t="s">
        <v>298</v>
      </c>
      <c r="J11" s="426" t="s">
        <v>298</v>
      </c>
      <c r="K11" s="425" t="s">
        <v>298</v>
      </c>
      <c r="L11" s="426">
        <v>0</v>
      </c>
      <c r="M11" s="425" t="s">
        <v>304</v>
      </c>
      <c r="N11" s="135"/>
    </row>
    <row r="12" spans="1:14" ht="14.4" customHeight="1" x14ac:dyDescent="0.3">
      <c r="A12" s="423" t="s">
        <v>298</v>
      </c>
      <c r="B12" s="424" t="s">
        <v>298</v>
      </c>
      <c r="C12" s="425" t="s">
        <v>298</v>
      </c>
      <c r="D12" s="425" t="s">
        <v>298</v>
      </c>
      <c r="E12" s="425" t="s">
        <v>298</v>
      </c>
      <c r="F12" s="426" t="s">
        <v>298</v>
      </c>
      <c r="G12" s="425" t="s">
        <v>298</v>
      </c>
      <c r="H12" s="426" t="s">
        <v>298</v>
      </c>
      <c r="I12" s="425" t="s">
        <v>298</v>
      </c>
      <c r="J12" s="426" t="s">
        <v>298</v>
      </c>
      <c r="K12" s="425" t="s">
        <v>298</v>
      </c>
      <c r="L12" s="426" t="s">
        <v>298</v>
      </c>
      <c r="M12" s="425" t="s">
        <v>305</v>
      </c>
      <c r="N12" s="135"/>
    </row>
    <row r="13" spans="1:14" ht="14.4" customHeight="1" x14ac:dyDescent="0.3">
      <c r="A13" s="423" t="s">
        <v>300</v>
      </c>
      <c r="B13" s="424" t="s">
        <v>306</v>
      </c>
      <c r="C13" s="425">
        <v>0</v>
      </c>
      <c r="D13" s="425">
        <v>1</v>
      </c>
      <c r="E13" s="425">
        <v>0</v>
      </c>
      <c r="F13" s="426" t="s">
        <v>298</v>
      </c>
      <c r="G13" s="425">
        <v>1</v>
      </c>
      <c r="H13" s="426">
        <v>1</v>
      </c>
      <c r="I13" s="425" t="s">
        <v>298</v>
      </c>
      <c r="J13" s="426" t="s">
        <v>298</v>
      </c>
      <c r="K13" s="425" t="s">
        <v>298</v>
      </c>
      <c r="L13" s="426">
        <v>0</v>
      </c>
      <c r="M13" s="425" t="s">
        <v>301</v>
      </c>
      <c r="N13" s="135"/>
    </row>
    <row r="14" spans="1:14" ht="14.4" customHeight="1" x14ac:dyDescent="0.3">
      <c r="A14" s="427" t="s">
        <v>209</v>
      </c>
    </row>
    <row r="15" spans="1:14" ht="14.4" customHeight="1" x14ac:dyDescent="0.3">
      <c r="A15" s="428" t="s">
        <v>307</v>
      </c>
    </row>
    <row r="16" spans="1:14" ht="14.4" customHeight="1" x14ac:dyDescent="0.3">
      <c r="A16" s="427" t="s">
        <v>308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18" priority="15" stopIfTrue="1" operator="lessThan">
      <formula>0.6</formula>
    </cfRule>
  </conditionalFormatting>
  <conditionalFormatting sqref="B5:B7">
    <cfRule type="expression" dxfId="17" priority="10">
      <formula>AND(LEFT(M5,6)&lt;&gt;"mezera",M5&lt;&gt;"")</formula>
    </cfRule>
  </conditionalFormatting>
  <conditionalFormatting sqref="A5:A7">
    <cfRule type="expression" dxfId="16" priority="8">
      <formula>AND(M5&lt;&gt;"",M5&lt;&gt;"mezeraKL")</formula>
    </cfRule>
  </conditionalFormatting>
  <conditionalFormatting sqref="F5:F7">
    <cfRule type="cellIs" dxfId="15" priority="7" operator="lessThan">
      <formula>0.6</formula>
    </cfRule>
  </conditionalFormatting>
  <conditionalFormatting sqref="B5:L7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7">
    <cfRule type="expression" dxfId="12" priority="12">
      <formula>$M5&lt;&gt;""</formula>
    </cfRule>
  </conditionalFormatting>
  <conditionalFormatting sqref="B9:B13">
    <cfRule type="expression" dxfId="11" priority="4">
      <formula>AND(LEFT(M9,6)&lt;&gt;"mezera",M9&lt;&gt;"")</formula>
    </cfRule>
  </conditionalFormatting>
  <conditionalFormatting sqref="A9:A13">
    <cfRule type="expression" dxfId="10" priority="2">
      <formula>AND(M9&lt;&gt;"",M9&lt;&gt;"mezeraKL")</formula>
    </cfRule>
  </conditionalFormatting>
  <conditionalFormatting sqref="F9:F13">
    <cfRule type="cellIs" dxfId="9" priority="1" operator="lessThan">
      <formula>0.6</formula>
    </cfRule>
  </conditionalFormatting>
  <conditionalFormatting sqref="B9:L13">
    <cfRule type="expression" dxfId="8" priority="3">
      <formula>OR($M9="KL",$M9="SumaKL")</formula>
    </cfRule>
    <cfRule type="expression" dxfId="7" priority="5">
      <formula>$M9="SumaNS"</formula>
    </cfRule>
  </conditionalFormatting>
  <conditionalFormatting sqref="A9:L13">
    <cfRule type="expression" dxfId="6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5" customWidth="1"/>
    <col min="2" max="2" width="11.109375" style="192" bestFit="1" customWidth="1"/>
    <col min="3" max="3" width="11.109375" style="115" hidden="1" customWidth="1"/>
    <col min="4" max="4" width="7.33203125" style="192" bestFit="1" customWidth="1"/>
    <col min="5" max="5" width="7.33203125" style="115" hidden="1" customWidth="1"/>
    <col min="6" max="6" width="11.109375" style="192" bestFit="1" customWidth="1"/>
    <col min="7" max="7" width="5.33203125" style="195" customWidth="1"/>
    <col min="8" max="8" width="7.33203125" style="192" bestFit="1" customWidth="1"/>
    <col min="9" max="9" width="5.33203125" style="195" customWidth="1"/>
    <col min="10" max="10" width="11.109375" style="192" customWidth="1"/>
    <col min="11" max="11" width="5.33203125" style="195" customWidth="1"/>
    <col min="12" max="12" width="7.33203125" style="192" customWidth="1"/>
    <col min="13" max="13" width="5.33203125" style="195" customWidth="1"/>
    <col min="14" max="14" width="0" style="115" hidden="1" customWidth="1"/>
    <col min="15" max="16384" width="8.88671875" style="115"/>
  </cols>
  <sheetData>
    <row r="1" spans="1:13" ht="18.600000000000001" customHeight="1" thickBot="1" x14ac:dyDescent="0.4">
      <c r="A1" s="319" t="s">
        <v>127</v>
      </c>
      <c r="B1" s="319"/>
      <c r="C1" s="319"/>
      <c r="D1" s="319"/>
      <c r="E1" s="319"/>
      <c r="F1" s="319"/>
      <c r="G1" s="319"/>
      <c r="H1" s="319"/>
      <c r="I1" s="319"/>
      <c r="J1" s="291"/>
      <c r="K1" s="291"/>
      <c r="L1" s="291"/>
      <c r="M1" s="291"/>
    </row>
    <row r="2" spans="1:13" ht="14.4" customHeight="1" thickBot="1" x14ac:dyDescent="0.3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" customHeight="1" thickBot="1" x14ac:dyDescent="0.35">
      <c r="A3" s="128"/>
      <c r="B3" s="321" t="s">
        <v>12</v>
      </c>
      <c r="C3" s="323"/>
      <c r="D3" s="320"/>
      <c r="E3" s="127"/>
      <c r="F3" s="320" t="s">
        <v>13</v>
      </c>
      <c r="G3" s="320"/>
      <c r="H3" s="320"/>
      <c r="I3" s="320"/>
      <c r="J3" s="320" t="s">
        <v>126</v>
      </c>
      <c r="K3" s="320"/>
      <c r="L3" s="320"/>
      <c r="M3" s="322"/>
    </row>
    <row r="4" spans="1:13" ht="14.4" customHeight="1" thickBot="1" x14ac:dyDescent="0.35">
      <c r="A4" s="429" t="s">
        <v>121</v>
      </c>
      <c r="B4" s="432" t="s">
        <v>16</v>
      </c>
      <c r="C4" s="433"/>
      <c r="D4" s="432" t="s">
        <v>17</v>
      </c>
      <c r="E4" s="433"/>
      <c r="F4" s="432" t="s">
        <v>16</v>
      </c>
      <c r="G4" s="438" t="s">
        <v>2</v>
      </c>
      <c r="H4" s="432" t="s">
        <v>17</v>
      </c>
      <c r="I4" s="438" t="s">
        <v>2</v>
      </c>
      <c r="J4" s="432" t="s">
        <v>16</v>
      </c>
      <c r="K4" s="438" t="s">
        <v>2</v>
      </c>
      <c r="L4" s="432" t="s">
        <v>17</v>
      </c>
      <c r="M4" s="439" t="s">
        <v>2</v>
      </c>
    </row>
    <row r="5" spans="1:13" ht="14.4" customHeight="1" thickBot="1" x14ac:dyDescent="0.35">
      <c r="A5" s="431" t="s">
        <v>309</v>
      </c>
      <c r="B5" s="434">
        <v>0</v>
      </c>
      <c r="C5" s="435"/>
      <c r="D5" s="437">
        <v>1</v>
      </c>
      <c r="E5" s="430" t="s">
        <v>309</v>
      </c>
      <c r="F5" s="434">
        <v>0</v>
      </c>
      <c r="G5" s="440"/>
      <c r="H5" s="436">
        <v>1</v>
      </c>
      <c r="I5" s="441">
        <v>1</v>
      </c>
      <c r="J5" s="442"/>
      <c r="K5" s="440"/>
      <c r="L5" s="436"/>
      <c r="M5" s="44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5" hidden="1" customWidth="1" outlineLevel="1"/>
    <col min="2" max="2" width="28.33203125" style="115" hidden="1" customWidth="1" outlineLevel="1"/>
    <col min="3" max="3" width="9" style="115" customWidth="1" collapsed="1"/>
    <col min="4" max="4" width="18.77734375" style="200" customWidth="1"/>
    <col min="5" max="5" width="13.5546875" style="193" customWidth="1"/>
    <col min="6" max="6" width="6" style="115" bestFit="1" customWidth="1"/>
    <col min="7" max="7" width="8.77734375" style="115" customWidth="1"/>
    <col min="8" max="8" width="5" style="115" bestFit="1" customWidth="1"/>
    <col min="9" max="9" width="8.5546875" style="115" hidden="1" customWidth="1" outlineLevel="1"/>
    <col min="10" max="10" width="25.77734375" style="115" customWidth="1" collapsed="1"/>
    <col min="11" max="11" width="8.77734375" style="115" customWidth="1"/>
    <col min="12" max="12" width="7.77734375" style="194" customWidth="1"/>
    <col min="13" max="13" width="11.109375" style="194" customWidth="1"/>
    <col min="14" max="14" width="7.77734375" style="115" customWidth="1"/>
    <col min="15" max="15" width="7.77734375" style="201" customWidth="1"/>
    <col min="16" max="16" width="11.109375" style="194" customWidth="1"/>
    <col min="17" max="17" width="5.44140625" style="195" bestFit="1" customWidth="1"/>
    <col min="18" max="18" width="7.77734375" style="115" customWidth="1"/>
    <col min="19" max="19" width="5.44140625" style="195" bestFit="1" customWidth="1"/>
    <col min="20" max="20" width="7.77734375" style="201" customWidth="1"/>
    <col min="21" max="21" width="5.44140625" style="195" bestFit="1" customWidth="1"/>
    <col min="22" max="16384" width="8.88671875" style="115"/>
  </cols>
  <sheetData>
    <row r="1" spans="1:21" ht="18.600000000000001" customHeight="1" thickBot="1" x14ac:dyDescent="0.4">
      <c r="A1" s="317" t="s">
        <v>315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</row>
    <row r="2" spans="1:21" ht="14.4" customHeight="1" thickBot="1" x14ac:dyDescent="0.3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" customHeight="1" thickBot="1" x14ac:dyDescent="0.35">
      <c r="A3" s="327"/>
      <c r="B3" s="328"/>
      <c r="C3" s="328"/>
      <c r="D3" s="328"/>
      <c r="E3" s="328"/>
      <c r="F3" s="328"/>
      <c r="G3" s="328"/>
      <c r="H3" s="328"/>
      <c r="I3" s="328"/>
      <c r="J3" s="328"/>
      <c r="K3" s="329" t="s">
        <v>120</v>
      </c>
      <c r="L3" s="330"/>
      <c r="M3" s="57">
        <f>SUBTOTAL(9,M7:M1048576)</f>
        <v>0</v>
      </c>
      <c r="N3" s="57">
        <f>SUBTOTAL(9,N7:N1048576)</f>
        <v>1</v>
      </c>
      <c r="O3" s="57">
        <f>SUBTOTAL(9,O7:O1048576)</f>
        <v>1</v>
      </c>
      <c r="P3" s="57">
        <f>SUBTOTAL(9,P7:P1048576)</f>
        <v>0</v>
      </c>
      <c r="Q3" s="58">
        <f>IF(M3=0,0,P3/M3)</f>
        <v>0</v>
      </c>
      <c r="R3" s="57">
        <f>SUBTOTAL(9,R7:R1048576)</f>
        <v>1</v>
      </c>
      <c r="S3" s="58">
        <f>IF(N3=0,0,R3/N3)</f>
        <v>1</v>
      </c>
      <c r="T3" s="57">
        <f>SUBTOTAL(9,T7:T1048576)</f>
        <v>1</v>
      </c>
      <c r="U3" s="59">
        <f>IF(O3=0,0,T3/O3)</f>
        <v>1</v>
      </c>
    </row>
    <row r="4" spans="1:21" ht="14.4" customHeight="1" x14ac:dyDescent="0.3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31" t="s">
        <v>12</v>
      </c>
      <c r="N4" s="332"/>
      <c r="O4" s="332"/>
      <c r="P4" s="333" t="s">
        <v>18</v>
      </c>
      <c r="Q4" s="332"/>
      <c r="R4" s="332"/>
      <c r="S4" s="332"/>
      <c r="T4" s="332"/>
      <c r="U4" s="334"/>
    </row>
    <row r="5" spans="1:21" ht="14.4" customHeight="1" thickBot="1" x14ac:dyDescent="0.3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4" t="s">
        <v>19</v>
      </c>
      <c r="Q5" s="325"/>
      <c r="R5" s="324" t="s">
        <v>10</v>
      </c>
      <c r="S5" s="325"/>
      <c r="T5" s="324" t="s">
        <v>17</v>
      </c>
      <c r="U5" s="326"/>
    </row>
    <row r="6" spans="1:21" s="193" customFormat="1" ht="14.4" customHeight="1" thickBot="1" x14ac:dyDescent="0.35">
      <c r="A6" s="443" t="s">
        <v>20</v>
      </c>
      <c r="B6" s="444" t="s">
        <v>4</v>
      </c>
      <c r="C6" s="443" t="s">
        <v>21</v>
      </c>
      <c r="D6" s="444" t="s">
        <v>5</v>
      </c>
      <c r="E6" s="444" t="s">
        <v>129</v>
      </c>
      <c r="F6" s="444" t="s">
        <v>22</v>
      </c>
      <c r="G6" s="444" t="s">
        <v>23</v>
      </c>
      <c r="H6" s="444" t="s">
        <v>6</v>
      </c>
      <c r="I6" s="444" t="s">
        <v>7</v>
      </c>
      <c r="J6" s="444" t="s">
        <v>8</v>
      </c>
      <c r="K6" s="444" t="s">
        <v>9</v>
      </c>
      <c r="L6" s="444" t="s">
        <v>24</v>
      </c>
      <c r="M6" s="445" t="s">
        <v>11</v>
      </c>
      <c r="N6" s="446" t="s">
        <v>25</v>
      </c>
      <c r="O6" s="446" t="s">
        <v>25</v>
      </c>
      <c r="P6" s="446" t="s">
        <v>11</v>
      </c>
      <c r="Q6" s="446" t="s">
        <v>2</v>
      </c>
      <c r="R6" s="446" t="s">
        <v>25</v>
      </c>
      <c r="S6" s="446" t="s">
        <v>2</v>
      </c>
      <c r="T6" s="446" t="s">
        <v>25</v>
      </c>
      <c r="U6" s="447" t="s">
        <v>2</v>
      </c>
    </row>
    <row r="7" spans="1:21" ht="14.4" customHeight="1" thickBot="1" x14ac:dyDescent="0.35">
      <c r="A7" s="448">
        <v>43</v>
      </c>
      <c r="B7" s="449" t="s">
        <v>297</v>
      </c>
      <c r="C7" s="449" t="s">
        <v>302</v>
      </c>
      <c r="D7" s="450" t="s">
        <v>314</v>
      </c>
      <c r="E7" s="451" t="s">
        <v>309</v>
      </c>
      <c r="F7" s="449" t="s">
        <v>299</v>
      </c>
      <c r="G7" s="449" t="s">
        <v>310</v>
      </c>
      <c r="H7" s="449" t="s">
        <v>298</v>
      </c>
      <c r="I7" s="449" t="s">
        <v>311</v>
      </c>
      <c r="J7" s="449" t="s">
        <v>312</v>
      </c>
      <c r="K7" s="449" t="s">
        <v>313</v>
      </c>
      <c r="L7" s="452">
        <v>0</v>
      </c>
      <c r="M7" s="452">
        <v>0</v>
      </c>
      <c r="N7" s="449">
        <v>1</v>
      </c>
      <c r="O7" s="453">
        <v>1</v>
      </c>
      <c r="P7" s="452">
        <v>0</v>
      </c>
      <c r="Q7" s="220"/>
      <c r="R7" s="449">
        <v>1</v>
      </c>
      <c r="S7" s="220">
        <v>1</v>
      </c>
      <c r="T7" s="453">
        <v>1</v>
      </c>
      <c r="U7" s="22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2019-03-22T10:56:41Z</dcterms:modified>
</cp:coreProperties>
</file>