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84C4E12C-8ED9-49AA-A2C1-29561EBCF2ED}" xr6:coauthVersionLast="41" xr6:coauthVersionMax="41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31" l="1"/>
  <c r="D10" i="431"/>
  <c r="E11" i="431"/>
  <c r="F12" i="431"/>
  <c r="G13" i="431"/>
  <c r="H14" i="431"/>
  <c r="I15" i="431"/>
  <c r="K9" i="431"/>
  <c r="L10" i="431"/>
  <c r="M11" i="431"/>
  <c r="N12" i="431"/>
  <c r="O13" i="431"/>
  <c r="C10" i="431"/>
  <c r="D11" i="431"/>
  <c r="E12" i="431"/>
  <c r="F13" i="431"/>
  <c r="G14" i="431"/>
  <c r="H15" i="431"/>
  <c r="J9" i="431"/>
  <c r="K10" i="431"/>
  <c r="L11" i="431"/>
  <c r="M12" i="431"/>
  <c r="N13" i="431"/>
  <c r="O14" i="431"/>
  <c r="P15" i="431"/>
  <c r="J12" i="431"/>
  <c r="P10" i="431"/>
  <c r="H12" i="431"/>
  <c r="Q13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I11" i="431"/>
  <c r="Q11" i="431"/>
  <c r="I13" i="431"/>
  <c r="P12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E15" i="431"/>
  <c r="G9" i="431"/>
  <c r="H10" i="431"/>
  <c r="M15" i="431"/>
  <c r="F10" i="431"/>
  <c r="J14" i="431"/>
  <c r="O11" i="431"/>
  <c r="C13" i="431"/>
  <c r="D14" i="431"/>
  <c r="L14" i="431"/>
  <c r="M9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C15" i="431"/>
  <c r="E9" i="431"/>
  <c r="K15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P14" i="431"/>
  <c r="Q15" i="431"/>
  <c r="K13" i="431"/>
  <c r="O9" i="431"/>
  <c r="G11" i="431"/>
  <c r="N10" i="431"/>
  <c r="O8" i="431"/>
  <c r="M8" i="431"/>
  <c r="J8" i="431"/>
  <c r="G8" i="431"/>
  <c r="P8" i="431"/>
  <c r="N8" i="431"/>
  <c r="I8" i="431"/>
  <c r="Q8" i="431"/>
  <c r="H8" i="431"/>
  <c r="C8" i="431"/>
  <c r="E8" i="431"/>
  <c r="L8" i="431"/>
  <c r="F8" i="431"/>
  <c r="K8" i="431"/>
  <c r="D8" i="431"/>
  <c r="R15" i="431" l="1"/>
  <c r="S15" i="431"/>
  <c r="R14" i="431"/>
  <c r="S14" i="431"/>
  <c r="S12" i="431"/>
  <c r="R12" i="431"/>
  <c r="S10" i="431"/>
  <c r="R10" i="431"/>
  <c r="S11" i="431"/>
  <c r="R11" i="431"/>
  <c r="R9" i="431"/>
  <c r="S9" i="431"/>
  <c r="R13" i="431"/>
  <c r="S13" i="431"/>
  <c r="C6" i="43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Q3" i="345" s="1"/>
  <c r="K3" i="345"/>
  <c r="H3" i="345"/>
  <c r="G3" i="345"/>
  <c r="T3" i="347"/>
  <c r="R3" i="347"/>
  <c r="P3" i="347"/>
  <c r="O3" i="347"/>
  <c r="N3" i="347"/>
  <c r="M3" i="347"/>
  <c r="D21" i="414"/>
  <c r="C21" i="414"/>
  <c r="R3" i="345" l="1"/>
  <c r="S3" i="347"/>
  <c r="Q3" i="347"/>
  <c r="U3" i="34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F15" i="339"/>
  <c r="J13" i="339"/>
  <c r="B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<sst xmlns="http://schemas.openxmlformats.org/spreadsheetml/2006/main" count="983" uniqueCount="419">
  <si>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</si>
  <si>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</si>
  <si>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</si>
  <si>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</si>
  <si>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</si>
  <si>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</si>
  <si>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</si>
  <si>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</si>
  <si>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</si>
  <si>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</si>
  <si>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</si>
  <si>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</si>
  <si>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</si>
  <si>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</si>
  <si>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</si>
  <si>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</si>
  <si>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</si>
  <si>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</si>
  <si>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</si>
  <si>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</si>
  <si>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</si>
  <si>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</si>
  <si>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</si>
  <si>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</si>
  <si>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</si>
  <si>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</si>
  <si>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</si>
  <si>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</si>
  <si>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</si>
  <si>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</si>
  <si>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</si>
  <si>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</si>
  <si>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</si>
  <si>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</si>
  <si>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</si>
  <si>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</si>
  <si>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</si>
  <si>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</si>
  <si>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</si>
  <si>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</si>
  <si>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</si>
  <si>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</si>
  <si>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</si>
  <si>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</si>
  <si>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</si>
  <si>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</si>
  <si>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</si>
  <si>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</si>
  <si>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</si>
  <si>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</si>
  <si>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</si>
  <si>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</si>
  <si>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</si>
  <si>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</si>
  <si>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</si>
  <si>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</si>
  <si>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</si>
  <si>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</si>
  <si>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</si>
  <si>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</si>
  <si>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</si>
  <si>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</si>
  <si>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</si>
  <si>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</si>
  <si>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</si>
  <si>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</si>
  <si>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</si>
  <si>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</si>
  <si>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</si>
  <si>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</si>
  <si>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</si>
  <si>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</si>
  <si>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</si>
  <si>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</si>
  <si>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</si>
  <si>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</si>
  <si>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</si>
  <si>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</si>
  <si>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</si>
  <si>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</si>
  <si>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</si>
  <si>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</si>
  <si>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</si>
  <si>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</si>
  <si>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</si>
  <si>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</si>
  <si>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</si>
  <si>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</si>
  <si>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</si>
  <si>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</si>
  <si>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</si>
  <si>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</si>
  <si>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</si>
  <si>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</si>
  <si>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</si>
  <si>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</si>
  <si>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</si>
  <si>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</si>
  <si>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</si>
  <si>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</si>
  <si>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</si>
  <si>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</si>
  <si>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</si>
  <si>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</si>
  <si>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</si>
  <si>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</si>
  <si>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</si>
  <si>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</si>
  <si>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</si>
  <si>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</si>
  <si>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</si>
  <si>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</si>
  <si>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</si>
  <si>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</si>
  <si>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</si>
  <si>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</si>
  <si>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</si>
  <si>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</si>
  <si>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</si>
  <si>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</si>
  <si>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</si>
  <si>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</si>
  <si>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</si>
  <si>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</si>
  <si>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</si>
  <si>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</si>
  <si>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</si>
  <si>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</si>
  <si>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</si>
  <si>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</si>
  <si>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</si>
  <si>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</si>
  <si>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</si>
  <si>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</si>
  <si>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</si>
  <si>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</si>
  <si>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</si>
  <si>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</si>
  <si>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</si>
  <si>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</si>
  <si>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</si>
  <si>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</si>
  <si>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</si>
  <si>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</si>
  <si>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</si>
  <si>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</si>
  <si>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</si>
  <si>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</si>
  <si>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</si>
  <si>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</si>
  <si>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</si>
  <si>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</si>
  <si>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</si>
  <si>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</si>
  <si>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</si>
  <si>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</si>
  <si>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</si>
  <si>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</si>
  <si>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</si>
  <si>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</si>
  <si>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</si>
  <si>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</si>
  <si>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</si>
  <si>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</si>
  <si>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</si>
  <si>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</si>
  <si>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</si>
  <si>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</si>
  <si>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</si>
  <si>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</si>
  <si>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</si>
  <si>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</si>
  <si>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</si>
  <si>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</si>
  <si>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</si>
  <si>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</si>
  <si>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</si>
  <si>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</si>
  <si>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</si>
  <si>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</si>
  <si>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</si>
  <si>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</si>
  <si>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</si>
  <si>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</si>
  <si>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</si>
  <si>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</si>
  <si>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</si>
  <si>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</si>
  <si>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</si>
  <si>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</si>
  <si>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</si>
  <si>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</si>
  <si>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</si>
  <si>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</si>
  <si>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</si>
  <si>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</si>
  <si>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</si>
  <si>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</si>
  <si>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</si>
  <si>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</si>
  <si>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</si>
  <si>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</si>
  <si>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</si>
  <si>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</si>
  <si>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</si>
  <si>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</si>
  <si>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</si>
  <si>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</si>
  <si>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</si>
  <si>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</si>
  <si>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</si>
  <si>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</si>
  <si>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</si>
  <si>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</si>
  <si>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</si>
  <si>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</si>
  <si>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</si>
  <si>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</si>
  <si>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</si>
  <si>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</si>
  <si>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</si>
  <si>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</si>
  <si>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</si>
  <si>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</si>
  <si>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</si>
  <si>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</si>
  <si>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</si>
  <si>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</si>
  <si>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</si>
  <si>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</si>
  <si>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</si>
  <si>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</si>
  <si>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farmakologie</t>
    </r>
  </si>
  <si>
    <t>/0</t>
  </si>
  <si>
    <t>--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</si>
  <si>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</si>
  <si>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</si>
  <si>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</si>
  <si>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</si>
  <si>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</si>
  <si>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</si>
  <si>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50117007     údržbový materiál ostatní - sklady (sk.T17)</t>
  </si>
  <si>
    <t>50117015     IT - spotřební materiál (sk. P37, 38, 48)</t>
  </si>
  <si>
    <t>50119     DDHM a textil</t>
  </si>
  <si>
    <t>50119077     OOPP a prádlo pro zaměstnance (sk.T14)</t>
  </si>
  <si>
    <t>51     Služby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</si>
  <si>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</si>
  <si>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</si>
  <si>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</si>
  <si>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</si>
  <si>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</si>
  <si>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</si>
  <si>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</si>
  <si>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</si>
  <si>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</si>
  <si>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</si>
  <si>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</si>
  <si>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</si>
  <si>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</si>
  <si>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</si>
  <si>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525     Jiné sociální pojištění</t>
  </si>
  <si>
    <t>52510     Jiné sociální pojištění</t>
  </si>
  <si>
    <t>52510000     pojištění zaměstnanců (čtvrtletně)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</si>
  <si>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</si>
  <si>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</si>
  <si>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</si>
  <si>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</si>
  <si>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</si>
  <si>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</si>
  <si>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</si>
  <si>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</si>
  <si>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</si>
  <si>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</si>
  <si>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</si>
  <si>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</si>
  <si>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</si>
  <si>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60210354     zdr.služby - cizinci</t>
  </si>
  <si>
    <t>60228     Zdr. výkony - VZP sledov.položky    OZPI</t>
  </si>
  <si>
    <t>60228190     výkony pojištěncům EHS</t>
  </si>
  <si>
    <t>60229     Zdr. výkony - ZP sled.položky  OZPI</t>
  </si>
  <si>
    <t>60229202     výkony pojišť.EHS, výkony za cizinci (mimo EHS)</t>
  </si>
  <si>
    <t>60229290     výkony pojištěncům EHS</t>
  </si>
  <si>
    <t>60245     Fakturace ZP - běžný rok (paušál)   OZPI</t>
  </si>
  <si>
    <t>60245400     tržby VZP za zdrav.péči - paušál</t>
  </si>
  <si>
    <t>60245401     tržby ZP za zdrav.péči - paušál</t>
  </si>
  <si>
    <t>60246     Dorovnání péče ZP - min.let         OZPI</t>
  </si>
  <si>
    <t>60246400     tržby VZP za zdrav.péči - dorovnání min.let</t>
  </si>
  <si>
    <t>60246401     tržby 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</si>
  <si>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</si>
  <si>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</si>
  <si>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</si>
  <si>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</si>
  <si>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</si>
  <si>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</si>
  <si>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</si>
  <si>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</si>
  <si>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</si>
  <si>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</si>
  <si>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</si>
  <si>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</si>
  <si>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</si>
  <si>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</si>
  <si>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</si>
  <si>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Ústav farmakologie</t>
  </si>
  <si>
    <t>HVLP</t>
  </si>
  <si>
    <t>IPLP</t>
  </si>
  <si>
    <t/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</si>
  <si>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</si>
  <si>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</si>
  <si>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</si>
  <si>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</si>
  <si>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</si>
  <si>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</si>
  <si>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</si>
  <si>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</si>
  <si>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</si>
  <si>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Matalová Petra</t>
  </si>
  <si>
    <t>Strojil Jan</t>
  </si>
  <si>
    <t>MEFENOXALON</t>
  </si>
  <si>
    <t>85656</t>
  </si>
  <si>
    <t>DORSIFLEX</t>
  </si>
  <si>
    <t>200MG TBL NOB 30</t>
  </si>
  <si>
    <t>PŘÍPRAVKY PRO LÉČBU BRADAVIC A KUŘÍCH OK</t>
  </si>
  <si>
    <t>60890</t>
  </si>
  <si>
    <t>VERRUMAL</t>
  </si>
  <si>
    <t>5MG/G+100MG/G DRM SOL 13ML</t>
  </si>
  <si>
    <t>Jiná</t>
  </si>
  <si>
    <t>*3014</t>
  </si>
  <si>
    <t>Jiný</t>
  </si>
  <si>
    <t>LEVOCETIRIZIN</t>
  </si>
  <si>
    <t>124346</t>
  </si>
  <si>
    <t>CEZERA</t>
  </si>
  <si>
    <t>5MG TBL FLM 90 I</t>
  </si>
  <si>
    <t>OMEPRAZOL</t>
  </si>
  <si>
    <t>115318</t>
  </si>
  <si>
    <t>HELICID 20 ZENTIVA</t>
  </si>
  <si>
    <t>20MG CPS ETD 90 II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</si>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</sst>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23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4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7" xfId="0" applyNumberFormat="1" applyFont="1" applyFill="1" applyBorder="1"/>
    <xf numFmtId="3" fontId="0" fillId="7" borderId="72" xfId="0" applyNumberFormat="1" applyFont="1" applyFill="1" applyBorder="1"/>
    <xf numFmtId="0" fontId="0" fillId="0" borderId="108" xfId="0" applyNumberFormat="1" applyFont="1" applyBorder="1"/>
    <xf numFmtId="3" fontId="0" fillId="0" borderId="109" xfId="0" applyNumberFormat="1" applyFont="1" applyBorder="1"/>
    <xf numFmtId="0" fontId="0" fillId="7" borderId="108" xfId="0" applyNumberFormat="1" applyFont="1" applyFill="1" applyBorder="1"/>
    <xf numFmtId="3" fontId="0" fillId="7" borderId="109" xfId="0" applyNumberFormat="1" applyFont="1" applyFill="1" applyBorder="1"/>
    <xf numFmtId="0" fontId="53" fillId="8" borderId="108" xfId="0" applyNumberFormat="1" applyFont="1" applyFill="1" applyBorder="1"/>
    <xf numFmtId="3" fontId="53" fillId="8" borderId="109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9" borderId="106" xfId="0" applyFont="1" applyFill="1" applyBorder="1" applyAlignment="1">
      <alignment horizontal="center"/>
    </xf>
    <xf numFmtId="0" fontId="55" fillId="9" borderId="105" xfId="0" applyFont="1" applyFill="1" applyBorder="1" applyAlignment="1">
      <alignment horizontal="center"/>
    </xf>
    <xf numFmtId="0" fontId="55" fillId="9" borderId="85" xfId="0" applyFont="1" applyFill="1" applyBorder="1" applyAlignment="1">
      <alignment horizontal="center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3" fontId="34" fillId="10" borderId="111" xfId="0" applyNumberFormat="1" applyFont="1" applyFill="1" applyBorder="1" applyAlignment="1">
      <alignment horizontal="right" vertical="top"/>
    </xf>
    <xf numFmtId="3" fontId="34" fillId="10" borderId="112" xfId="0" applyNumberFormat="1" applyFont="1" applyFill="1" applyBorder="1" applyAlignment="1">
      <alignment horizontal="right" vertical="top"/>
    </xf>
    <xf numFmtId="177" fontId="34" fillId="10" borderId="113" xfId="0" applyNumberFormat="1" applyFont="1" applyFill="1" applyBorder="1" applyAlignment="1">
      <alignment horizontal="right" vertical="top"/>
    </xf>
    <xf numFmtId="3" fontId="34" fillId="0" borderId="111" xfId="0" applyNumberFormat="1" applyFont="1" applyBorder="1" applyAlignment="1">
      <alignment horizontal="right" vertical="top"/>
    </xf>
    <xf numFmtId="177" fontId="34" fillId="10" borderId="114" xfId="0" applyNumberFormat="1" applyFont="1" applyFill="1" applyBorder="1" applyAlignment="1">
      <alignment horizontal="right" vertical="top"/>
    </xf>
    <xf numFmtId="3" fontId="36" fillId="10" borderId="116" xfId="0" applyNumberFormat="1" applyFont="1" applyFill="1" applyBorder="1" applyAlignment="1">
      <alignment horizontal="right" vertical="top"/>
    </xf>
    <xf numFmtId="3" fontId="36" fillId="10" borderId="117" xfId="0" applyNumberFormat="1" applyFont="1" applyFill="1" applyBorder="1" applyAlignment="1">
      <alignment horizontal="right" vertical="top"/>
    </xf>
    <xf numFmtId="177" fontId="36" fillId="10" borderId="118" xfId="0" applyNumberFormat="1" applyFont="1" applyFill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177" fontId="36" fillId="10" borderId="119" xfId="0" applyNumberFormat="1" applyFont="1" applyFill="1" applyBorder="1" applyAlignment="1">
      <alignment horizontal="right" vertical="top"/>
    </xf>
    <xf numFmtId="0" fontId="34" fillId="10" borderId="114" xfId="0" applyFont="1" applyFill="1" applyBorder="1" applyAlignment="1">
      <alignment horizontal="right" vertical="top"/>
    </xf>
    <xf numFmtId="0" fontId="36" fillId="10" borderId="119" xfId="0" applyFont="1" applyFill="1" applyBorder="1" applyAlignment="1">
      <alignment horizontal="right" vertical="top"/>
    </xf>
    <xf numFmtId="0" fontId="34" fillId="10" borderId="113" xfId="0" applyFont="1" applyFill="1" applyBorder="1" applyAlignment="1">
      <alignment horizontal="right" vertical="top"/>
    </xf>
    <xf numFmtId="0" fontId="36" fillId="10" borderId="118" xfId="0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3" fontId="36" fillId="0" borderId="121" xfId="0" applyNumberFormat="1" applyFont="1" applyBorder="1" applyAlignment="1">
      <alignment horizontal="right" vertical="top"/>
    </xf>
    <xf numFmtId="3" fontId="36" fillId="0" borderId="122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0" fontId="38" fillId="11" borderId="110" xfId="0" applyFont="1" applyFill="1" applyBorder="1" applyAlignment="1">
      <alignment vertical="top"/>
    </xf>
    <xf numFmtId="0" fontId="38" fillId="11" borderId="110" xfId="0" applyFont="1" applyFill="1" applyBorder="1" applyAlignment="1">
      <alignment vertical="top" indent="2"/>
    </xf>
    <xf numFmtId="0" fontId="38" fillId="11" borderId="110" xfId="0" applyFont="1" applyFill="1" applyBorder="1" applyAlignment="1">
      <alignment vertical="top" indent="4"/>
    </xf>
    <xf numFmtId="0" fontId="39" fillId="11" borderId="115" xfId="0" applyFont="1" applyFill="1" applyBorder="1" applyAlignment="1">
      <alignment vertical="top" indent="6"/>
    </xf>
    <xf numFmtId="0" fontId="38" fillId="11" borderId="110" xfId="0" applyFont="1" applyFill="1" applyBorder="1" applyAlignment="1">
      <alignment vertical="top" indent="8"/>
    </xf>
    <xf numFmtId="0" fontId="39" fillId="11" borderId="115" xfId="0" applyFont="1" applyFill="1" applyBorder="1" applyAlignment="1">
      <alignment vertical="top" indent="2"/>
    </xf>
    <xf numFmtId="0" fontId="39" fillId="11" borderId="115" xfId="0" applyFont="1" applyFill="1" applyBorder="1" applyAlignment="1">
      <alignment vertical="top" indent="4"/>
    </xf>
    <xf numFmtId="0" fontId="38" fillId="11" borderId="110" xfId="0" applyFont="1" applyFill="1" applyBorder="1" applyAlignment="1">
      <alignment vertical="top" indent="6"/>
    </xf>
    <xf numFmtId="0" fontId="33" fillId="11" borderId="110" xfId="0" applyFont="1" applyFill="1" applyBorder="1"/>
    <xf numFmtId="0" fontId="39" fillId="11" borderId="18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" fillId="2" borderId="100" xfId="79" applyFont="1" applyFill="1" applyBorder="1" applyAlignment="1">
      <alignment horizontal="left"/>
    </xf>
    <xf numFmtId="0" fontId="40" fillId="11" borderId="93" xfId="0" applyFont="1" applyFill="1" applyBorder="1"/>
    <xf numFmtId="0" fontId="40" fillId="11" borderId="9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78" xfId="0" applyNumberFormat="1" applyFont="1" applyFill="1" applyBorder="1"/>
    <xf numFmtId="0" fontId="33" fillId="0" borderId="79" xfId="0" applyFont="1" applyFill="1" applyBorder="1"/>
    <xf numFmtId="3" fontId="33" fillId="0" borderId="79" xfId="0" applyNumberFormat="1" applyFont="1" applyFill="1" applyBorder="1"/>
    <xf numFmtId="3" fontId="33" fillId="0" borderId="124" xfId="0" applyNumberFormat="1" applyFont="1" applyFill="1" applyBorder="1"/>
    <xf numFmtId="3" fontId="33" fillId="0" borderId="102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33" fillId="0" borderId="93" xfId="0" applyFont="1" applyFill="1" applyBorder="1"/>
    <xf numFmtId="0" fontId="33" fillId="0" borderId="92" xfId="0" applyFont="1" applyFill="1" applyBorder="1"/>
    <xf numFmtId="3" fontId="33" fillId="0" borderId="125" xfId="0" applyNumberFormat="1" applyFont="1" applyFill="1" applyBorder="1"/>
    <xf numFmtId="3" fontId="33" fillId="0" borderId="88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130" xfId="0" applyFont="1" applyFill="1" applyBorder="1"/>
    <xf numFmtId="0" fontId="33" fillId="0" borderId="131" xfId="0" applyFont="1" applyFill="1" applyBorder="1"/>
    <xf numFmtId="0" fontId="33" fillId="0" borderId="131" xfId="0" applyFont="1" applyFill="1" applyBorder="1" applyAlignment="1">
      <alignment horizontal="right"/>
    </xf>
    <xf numFmtId="0" fontId="33" fillId="0" borderId="131" xfId="0" applyFont="1" applyFill="1" applyBorder="1" applyAlignment="1">
      <alignment horizontal="left"/>
    </xf>
    <xf numFmtId="164" fontId="33" fillId="0" borderId="131" xfId="0" applyNumberFormat="1" applyFont="1" applyFill="1" applyBorder="1"/>
    <xf numFmtId="165" fontId="33" fillId="0" borderId="131" xfId="0" applyNumberFormat="1" applyFont="1" applyFill="1" applyBorder="1"/>
    <xf numFmtId="9" fontId="33" fillId="0" borderId="131" xfId="0" applyNumberFormat="1" applyFont="1" applyFill="1" applyBorder="1"/>
    <xf numFmtId="9" fontId="33" fillId="0" borderId="132" xfId="0" applyNumberFormat="1" applyFont="1" applyFill="1" applyBorder="1"/>
    <xf numFmtId="0" fontId="33" fillId="0" borderId="133" xfId="0" applyFont="1" applyFill="1" applyBorder="1"/>
    <xf numFmtId="0" fontId="33" fillId="0" borderId="134" xfId="0" applyFont="1" applyFill="1" applyBorder="1"/>
    <xf numFmtId="0" fontId="33" fillId="0" borderId="134" xfId="0" applyFont="1" applyFill="1" applyBorder="1" applyAlignment="1">
      <alignment horizontal="right"/>
    </xf>
    <xf numFmtId="0" fontId="33" fillId="0" borderId="134" xfId="0" applyFont="1" applyFill="1" applyBorder="1" applyAlignment="1">
      <alignment horizontal="left"/>
    </xf>
    <xf numFmtId="164" fontId="33" fillId="0" borderId="134" xfId="0" applyNumberFormat="1" applyFont="1" applyFill="1" applyBorder="1"/>
    <xf numFmtId="165" fontId="33" fillId="0" borderId="134" xfId="0" applyNumberFormat="1" applyFont="1" applyFill="1" applyBorder="1"/>
    <xf numFmtId="9" fontId="33" fillId="0" borderId="134" xfId="0" applyNumberFormat="1" applyFont="1" applyFill="1" applyBorder="1"/>
    <xf numFmtId="9" fontId="33" fillId="0" borderId="135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31" xfId="0" applyNumberFormat="1" applyBorder="1"/>
    <xf numFmtId="9" fontId="0" fillId="0" borderId="131" xfId="0" applyNumberFormat="1" applyBorder="1"/>
    <xf numFmtId="9" fontId="0" fillId="0" borderId="132" xfId="0" applyNumberFormat="1" applyBorder="1"/>
    <xf numFmtId="0" fontId="59" fillId="0" borderId="130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3" fontId="33" fillId="0" borderId="134" xfId="0" applyNumberFormat="1" applyFont="1" applyFill="1" applyBorder="1"/>
    <xf numFmtId="169" fontId="33" fillId="0" borderId="134" xfId="0" applyNumberFormat="1" applyFont="1" applyFill="1" applyBorder="1"/>
    <xf numFmtId="169" fontId="33" fillId="0" borderId="135" xfId="0" applyNumberFormat="1" applyFont="1" applyFill="1" applyBorder="1"/>
    <xf numFmtId="3" fontId="33" fillId="0" borderId="131" xfId="0" applyNumberFormat="1" applyFont="1" applyFill="1" applyBorder="1"/>
    <xf numFmtId="169" fontId="33" fillId="0" borderId="131" xfId="0" applyNumberFormat="1" applyFont="1" applyFill="1" applyBorder="1"/>
    <xf numFmtId="169" fontId="33" fillId="0" borderId="132" xfId="0" applyNumberFormat="1" applyFont="1" applyFill="1" applyBorder="1"/>
    <xf numFmtId="0" fontId="40" fillId="0" borderId="24" xfId="0" applyFont="1" applyFill="1" applyBorder="1"/>
    <xf numFmtId="0" fontId="40" fillId="0" borderId="133" xfId="0" applyFont="1" applyFill="1" applyBorder="1"/>
    <xf numFmtId="0" fontId="40" fillId="0" borderId="130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25" xfId="0" applyNumberFormat="1" applyFont="1" applyFill="1" applyBorder="1"/>
    <xf numFmtId="3" fontId="33" fillId="0" borderId="135" xfId="0" applyNumberFormat="1" applyFont="1" applyFill="1" applyBorder="1"/>
    <xf numFmtId="3" fontId="33" fillId="0" borderId="132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7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 10" xfId="83" xr:uid="{00000000-0005-0000-0000-000055000000}"/>
    <cellStyle name="Procenta 11" xfId="84" xr:uid="{00000000-0005-0000-0000-000056000000}"/>
    <cellStyle name="Procenta 2" xfId="85" xr:uid="{00000000-0005-0000-0000-000057000000}"/>
    <cellStyle name="Procenta 2 2" xfId="86" xr:uid="{00000000-0005-0000-0000-000058000000}"/>
    <cellStyle name="Procenta 2 2 2" xfId="87" xr:uid="{00000000-0005-0000-0000-000059000000}"/>
    <cellStyle name="Procenta 2 3" xfId="88" xr:uid="{00000000-0005-0000-0000-00005A000000}"/>
    <cellStyle name="Procenta 3" xfId="89" xr:uid="{00000000-0005-0000-0000-00005B000000}"/>
    <cellStyle name="Procenta 3 2" xfId="90" xr:uid="{00000000-0005-0000-0000-00005C000000}"/>
    <cellStyle name="Procenta 4" xfId="91" xr:uid="{00000000-0005-0000-0000-00005D000000}"/>
    <cellStyle name="Procenta 5" xfId="92" xr:uid="{00000000-0005-0000-0000-00005E000000}"/>
    <cellStyle name="Procenta 6" xfId="93" xr:uid="{00000000-0005-0000-0000-00005F000000}"/>
    <cellStyle name="Procenta 7" xfId="94" xr:uid="{00000000-0005-0000-0000-000060000000}"/>
    <cellStyle name="Procenta 8" xfId="95" xr:uid="{00000000-0005-0000-0000-000061000000}"/>
    <cellStyle name="Procenta 9" xfId="96" xr:uid="{00000000-0005-0000-0000-000062000000}"/>
  </cellStyles>
  <dxfs count="68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67"/>
      <tableStyleElement type="headerRow" dxfId="66"/>
      <tableStyleElement type="totalRow" dxfId="65"/>
      <tableStyleElement type="firstColumn" dxfId="64"/>
      <tableStyleElement type="lastColumn" dxfId="63"/>
      <tableStyleElement type="firstRowStripe" dxfId="62"/>
      <tableStyleElement type="firstColumnStripe" dxfId="61"/>
    </tableStyle>
    <tableStyle name="TableStyleMedium2 2" pivot="0" count="7" xr9:uid="{00000000-0011-0000-FFFF-FFFF01000000}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5.833903185751806E-3</c:v>
                </c:pt>
                <c:pt idx="1">
                  <c:v>5.2122233765164016E-3</c:v>
                </c:pt>
                <c:pt idx="2">
                  <c:v>5.0502516602012257E-3</c:v>
                </c:pt>
                <c:pt idx="3">
                  <c:v>4.2972488335055381E-3</c:v>
                </c:pt>
                <c:pt idx="4">
                  <c:v>3.8328554732213827E-3</c:v>
                </c:pt>
                <c:pt idx="5">
                  <c:v>3.905717233281248E-3</c:v>
                </c:pt>
                <c:pt idx="6">
                  <c:v>3.2230467812611107E-3</c:v>
                </c:pt>
                <c:pt idx="7">
                  <c:v>2.8843691628292179E-3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8.2682106697191786E-4</c:v>
                </c:pt>
                <c:pt idx="1">
                  <c:v>8.2682106697191786E-4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3" tableBorderDxfId="52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1"/>
    <tableColumn id="2" xr3:uid="{00000000-0010-0000-0000-000002000000}" name="popis" dataDxfId="50"/>
    <tableColumn id="3" xr3:uid="{00000000-0010-0000-0000-000003000000}" name="01 uv_sk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3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3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3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4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3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75" totalsRowShown="0">
  <autoFilter ref="C3:S7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2" hidden="1" customWidth="1"/>
    <col min="4" max="16384" width="8.85546875" style="115"/>
  </cols>
  <sheetData>
    <row r="1" spans="1:3" ht="18.600000000000001" customHeight="1" thickBot="1" x14ac:dyDescent="0.35">
      <c r="A1" s="288" t="s">
        <v>104</v>
      </c>
      <c r="B1" s="288"/>
    </row>
    <row r="2" spans="1:3" ht="14.45" customHeight="1" thickBot="1" x14ac:dyDescent="0.25">
      <c r="A2" s="214" t="s">
        <v>232</v>
      </c>
      <c r="B2" s="41"/>
    </row>
    <row r="3" spans="1:3" ht="14.45" customHeight="1" thickBot="1" x14ac:dyDescent="0.25">
      <c r="A3" s="284" t="s">
        <v>124</v>
      </c>
      <c r="B3" s="285"/>
    </row>
    <row r="4" spans="1:3" ht="14.45" customHeight="1" x14ac:dyDescent="0.2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5" customHeight="1" x14ac:dyDescent="0.2">
      <c r="A5" s="130" t="str">
        <f t="shared" si="0"/>
        <v>HI</v>
      </c>
      <c r="B5" s="78" t="s">
        <v>122</v>
      </c>
      <c r="C5" s="42" t="s">
        <v>107</v>
      </c>
    </row>
    <row r="6" spans="1:3" ht="14.45" customHeight="1" x14ac:dyDescent="0.2">
      <c r="A6" s="131" t="str">
        <f t="shared" si="0"/>
        <v>HI Graf</v>
      </c>
      <c r="B6" s="79" t="s">
        <v>100</v>
      </c>
      <c r="C6" s="42" t="s">
        <v>108</v>
      </c>
    </row>
    <row r="7" spans="1:3" ht="14.45" customHeight="1" x14ac:dyDescent="0.2">
      <c r="A7" s="131" t="str">
        <f t="shared" si="0"/>
        <v>Man Tab</v>
      </c>
      <c r="B7" s="79" t="s">
        <v>235</v>
      </c>
      <c r="C7" s="42" t="s">
        <v>109</v>
      </c>
    </row>
    <row r="8" spans="1:3" ht="14.45" customHeight="1" thickBot="1" x14ac:dyDescent="0.25">
      <c r="A8" s="132" t="str">
        <f t="shared" si="0"/>
        <v>HV</v>
      </c>
      <c r="B8" s="80" t="s">
        <v>58</v>
      </c>
      <c r="C8" s="42" t="s">
        <v>63</v>
      </c>
    </row>
    <row r="9" spans="1:3" ht="14.45" customHeight="1" thickBot="1" x14ac:dyDescent="0.25">
      <c r="A9" s="81"/>
      <c r="B9" s="81"/>
    </row>
    <row r="10" spans="1:3" ht="14.45" customHeight="1" thickBot="1" x14ac:dyDescent="0.25">
      <c r="A10" s="286" t="s">
        <v>105</v>
      </c>
      <c r="B10" s="285"/>
    </row>
    <row r="11" spans="1:3" ht="14.45" customHeight="1" x14ac:dyDescent="0.2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5" customHeight="1" x14ac:dyDescent="0.2">
      <c r="A12" s="131" t="str">
        <f t="shared" si="1"/>
        <v>LRp Lékaři</v>
      </c>
      <c r="B12" s="79" t="s">
        <v>127</v>
      </c>
      <c r="C12" s="42" t="s">
        <v>128</v>
      </c>
    </row>
    <row r="13" spans="1:3" ht="14.45" customHeight="1" x14ac:dyDescent="0.2">
      <c r="A13" s="131" t="str">
        <f t="shared" si="1"/>
        <v>LRp Detail</v>
      </c>
      <c r="B13" s="79" t="s">
        <v>338</v>
      </c>
      <c r="C13" s="42" t="s">
        <v>111</v>
      </c>
    </row>
    <row r="14" spans="1:3" ht="14.45" customHeight="1" thickBot="1" x14ac:dyDescent="0.2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5" customHeight="1" thickBot="1" x14ac:dyDescent="0.25">
      <c r="A15" s="82"/>
      <c r="B15" s="82"/>
    </row>
    <row r="16" spans="1:3" ht="14.45" customHeight="1" thickBot="1" x14ac:dyDescent="0.25">
      <c r="A16" s="287" t="s">
        <v>106</v>
      </c>
      <c r="B16" s="285"/>
    </row>
    <row r="17" spans="1:3" ht="14.45" customHeight="1" x14ac:dyDescent="0.2">
      <c r="A17" s="134" t="str">
        <f t="shared" ref="A17:A22" si="2">HYPERLINK("#'"&amp;C17&amp;"'!A1",C17)</f>
        <v>ZV Vykáz.-A</v>
      </c>
      <c r="B17" s="78" t="s">
        <v>357</v>
      </c>
      <c r="C17" s="42" t="s">
        <v>115</v>
      </c>
    </row>
    <row r="18" spans="1:3" ht="14.45" customHeight="1" x14ac:dyDescent="0.2">
      <c r="A18" s="131" t="str">
        <f t="shared" ref="A18" si="3">HYPERLINK("#'"&amp;C18&amp;"'!A1",C18)</f>
        <v>ZV Vykáz.-A Lékaři</v>
      </c>
      <c r="B18" s="79" t="s">
        <v>363</v>
      </c>
      <c r="C18" s="42" t="s">
        <v>171</v>
      </c>
    </row>
    <row r="19" spans="1:3" ht="14.45" customHeight="1" x14ac:dyDescent="0.2">
      <c r="A19" s="131" t="str">
        <f t="shared" si="2"/>
        <v>ZV Vykáz.-A Detail</v>
      </c>
      <c r="B19" s="79" t="s">
        <v>373</v>
      </c>
      <c r="C19" s="42" t="s">
        <v>116</v>
      </c>
    </row>
    <row r="20" spans="1:3" ht="14.45" customHeight="1" x14ac:dyDescent="0.25">
      <c r="A20" s="230" t="str">
        <f>HYPERLINK("#'"&amp;C20&amp;"'!A1",C20)</f>
        <v>ZV Vykáz.-A Det.Lék.</v>
      </c>
      <c r="B20" s="79" t="s">
        <v>374</v>
      </c>
      <c r="C20" s="42" t="s">
        <v>175</v>
      </c>
    </row>
    <row r="21" spans="1:3" ht="14.45" customHeight="1" x14ac:dyDescent="0.2">
      <c r="A21" s="131" t="str">
        <f t="shared" si="2"/>
        <v>ZV Vykáz.-H</v>
      </c>
      <c r="B21" s="79" t="s">
        <v>119</v>
      </c>
      <c r="C21" s="42" t="s">
        <v>117</v>
      </c>
    </row>
    <row r="22" spans="1:3" ht="14.45" customHeight="1" x14ac:dyDescent="0.2">
      <c r="A22" s="131" t="str">
        <f t="shared" si="2"/>
        <v>ZV Vykáz.-H Detail</v>
      </c>
      <c r="B22" s="79" t="s">
        <v>418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022E1E98-0C69-4692-BFA3-1920D081C8FA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3" customWidth="1"/>
    <col min="18" max="18" width="7.28515625" style="235" customWidth="1"/>
    <col min="19" max="19" width="8" style="213" customWidth="1"/>
    <col min="21" max="21" width="11.28515625" bestFit="1" customWidth="1"/>
  </cols>
  <sheetData>
    <row r="1" spans="1:19" ht="19.5" thickBot="1" x14ac:dyDescent="0.35">
      <c r="A1" s="349" t="s">
        <v>102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5.75" thickBot="1" x14ac:dyDescent="0.3">
      <c r="A2" s="214" t="s">
        <v>232</v>
      </c>
      <c r="B2" s="215"/>
    </row>
    <row r="3" spans="1:19" x14ac:dyDescent="0.25">
      <c r="A3" s="361" t="s">
        <v>165</v>
      </c>
      <c r="B3" s="362"/>
      <c r="C3" s="363" t="s">
        <v>154</v>
      </c>
      <c r="D3" s="364"/>
      <c r="E3" s="364"/>
      <c r="F3" s="365"/>
      <c r="G3" s="366" t="s">
        <v>155</v>
      </c>
      <c r="H3" s="367"/>
      <c r="I3" s="367"/>
      <c r="J3" s="368"/>
      <c r="K3" s="369" t="s">
        <v>164</v>
      </c>
      <c r="L3" s="370"/>
      <c r="M3" s="370"/>
      <c r="N3" s="370"/>
      <c r="O3" s="371"/>
      <c r="P3" s="367" t="s">
        <v>207</v>
      </c>
      <c r="Q3" s="367"/>
      <c r="R3" s="367"/>
      <c r="S3" s="368"/>
    </row>
    <row r="4" spans="1:19" ht="15.75" thickBot="1" x14ac:dyDescent="0.3">
      <c r="A4" s="341">
        <v>2019</v>
      </c>
      <c r="B4" s="342"/>
      <c r="C4" s="343" t="s">
        <v>206</v>
      </c>
      <c r="D4" s="345" t="s">
        <v>103</v>
      </c>
      <c r="E4" s="345" t="s">
        <v>71</v>
      </c>
      <c r="F4" s="347" t="s">
        <v>64</v>
      </c>
      <c r="G4" s="335" t="s">
        <v>156</v>
      </c>
      <c r="H4" s="337" t="s">
        <v>160</v>
      </c>
      <c r="I4" s="337" t="s">
        <v>205</v>
      </c>
      <c r="J4" s="339" t="s">
        <v>157</v>
      </c>
      <c r="K4" s="358" t="s">
        <v>204</v>
      </c>
      <c r="L4" s="359"/>
      <c r="M4" s="359"/>
      <c r="N4" s="360"/>
      <c r="O4" s="347" t="s">
        <v>203</v>
      </c>
      <c r="P4" s="350" t="s">
        <v>202</v>
      </c>
      <c r="Q4" s="350" t="s">
        <v>167</v>
      </c>
      <c r="R4" s="352" t="s">
        <v>71</v>
      </c>
      <c r="S4" s="354" t="s">
        <v>166</v>
      </c>
    </row>
    <row r="5" spans="1:19" s="270" customFormat="1" ht="19.149999999999999" customHeight="1" x14ac:dyDescent="0.25">
      <c r="A5" s="356" t="s">
        <v>201</v>
      </c>
      <c r="B5" s="357"/>
      <c r="C5" s="344"/>
      <c r="D5" s="346"/>
      <c r="E5" s="346"/>
      <c r="F5" s="348"/>
      <c r="G5" s="336"/>
      <c r="H5" s="338"/>
      <c r="I5" s="338"/>
      <c r="J5" s="340"/>
      <c r="K5" s="273" t="s">
        <v>158</v>
      </c>
      <c r="L5" s="272" t="s">
        <v>159</v>
      </c>
      <c r="M5" s="272" t="s">
        <v>200</v>
      </c>
      <c r="N5" s="271" t="s">
        <v>3</v>
      </c>
      <c r="O5" s="348"/>
      <c r="P5" s="351"/>
      <c r="Q5" s="351"/>
      <c r="R5" s="353"/>
      <c r="S5" s="355"/>
    </row>
    <row r="6" spans="1:19" ht="15.75" thickBot="1" x14ac:dyDescent="0.3">
      <c r="A6" s="333" t="s">
        <v>153</v>
      </c>
      <c r="B6" s="334"/>
      <c r="C6" s="269">
        <f ca="1">SUM(Tabulka[01 uv_sk])/2</f>
        <v>2.5374999999999996</v>
      </c>
      <c r="D6" s="267"/>
      <c r="E6" s="267"/>
      <c r="F6" s="266"/>
      <c r="G6" s="268">
        <f ca="1">SUM(Tabulka[05 h_vram])/2</f>
        <v>3097.5999999999995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117356</v>
      </c>
      <c r="N6" s="267">
        <f ca="1">SUM(Tabulka[12 m_oc])/2</f>
        <v>117356</v>
      </c>
      <c r="O6" s="266">
        <f ca="1">SUM(Tabulka[13 m_sk])/2</f>
        <v>1031637</v>
      </c>
      <c r="P6" s="265">
        <f ca="1">SUM(Tabulka[14_vzsk])/2</f>
        <v>0</v>
      </c>
      <c r="Q6" s="265">
        <f ca="1">SUM(Tabulka[15_vzpl])/2</f>
        <v>4740.9579667644184</v>
      </c>
      <c r="R6" s="264">
        <f ca="1">IF(Q6=0,0,P6/Q6)</f>
        <v>0</v>
      </c>
      <c r="S6" s="263">
        <f ca="1">Q6-P6</f>
        <v>4740.9579667644184</v>
      </c>
    </row>
    <row r="7" spans="1:19" hidden="1" x14ac:dyDescent="0.25">
      <c r="A7" s="262" t="s">
        <v>199</v>
      </c>
      <c r="B7" s="261" t="s">
        <v>198</v>
      </c>
      <c r="C7" s="260" t="s">
        <v>197</v>
      </c>
      <c r="D7" s="259" t="s">
        <v>196</v>
      </c>
      <c r="E7" s="258" t="s">
        <v>195</v>
      </c>
      <c r="F7" s="257" t="s">
        <v>194</v>
      </c>
      <c r="G7" s="256" t="s">
        <v>193</v>
      </c>
      <c r="H7" s="254" t="s">
        <v>192</v>
      </c>
      <c r="I7" s="254" t="s">
        <v>191</v>
      </c>
      <c r="J7" s="253" t="s">
        <v>190</v>
      </c>
      <c r="K7" s="255" t="s">
        <v>189</v>
      </c>
      <c r="L7" s="254" t="s">
        <v>188</v>
      </c>
      <c r="M7" s="254" t="s">
        <v>187</v>
      </c>
      <c r="N7" s="253" t="s">
        <v>186</v>
      </c>
      <c r="O7" s="252" t="s">
        <v>185</v>
      </c>
      <c r="P7" s="251" t="s">
        <v>184</v>
      </c>
      <c r="Q7" s="250" t="s">
        <v>183</v>
      </c>
      <c r="R7" s="249" t="s">
        <v>182</v>
      </c>
      <c r="S7" s="248" t="s">
        <v>181</v>
      </c>
    </row>
    <row r="8" spans="1:19" x14ac:dyDescent="0.25">
      <c r="A8" s="245" t="s">
        <v>180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1.6999999999999997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2066.3999999999996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112898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112898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870366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4740.9579667644184</v>
      </c>
      <c r="R8" s="247">
        <f ca="1">IF(Tabulka[[#This Row],[15_vzpl]]=0,"",Tabulka[[#This Row],[14_vzsk]]/Tabulka[[#This Row],[15_vzpl]])</f>
        <v>0</v>
      </c>
      <c r="S8" s="246">
        <f ca="1">IF(Tabulka[[#This Row],[15_vzpl]]-Tabulka[[#This Row],[14_vzsk]]=0,"",Tabulka[[#This Row],[15_vzpl]]-Tabulka[[#This Row],[14_vzsk]])</f>
        <v>4740.9579667644184</v>
      </c>
    </row>
    <row r="9" spans="1:19" x14ac:dyDescent="0.25">
      <c r="A9" s="245">
        <v>99</v>
      </c>
      <c r="B9" s="244" t="s">
        <v>350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4740.9579667644184</v>
      </c>
      <c r="R9" s="247">
        <f ca="1">IF(Tabulka[[#This Row],[15_vzpl]]=0,"",Tabulka[[#This Row],[14_vzsk]]/Tabulka[[#This Row],[15_vzpl]])</f>
        <v>0</v>
      </c>
      <c r="S9" s="246">
        <f ca="1">IF(Tabulka[[#This Row],[15_vzpl]]-Tabulka[[#This Row],[14_vzsk]]=0,"",Tabulka[[#This Row],[15_vzpl]]-Tabulka[[#This Row],[14_vzsk]])</f>
        <v>4740.9579667644184</v>
      </c>
    </row>
    <row r="10" spans="1:19" x14ac:dyDescent="0.25">
      <c r="A10" s="245">
        <v>101</v>
      </c>
      <c r="B10" s="244" t="s">
        <v>351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1804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112898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112898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826909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25">
      <c r="A11" s="245">
        <v>203</v>
      </c>
      <c r="B11" s="244" t="s">
        <v>352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262.40000000000003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43457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25">
      <c r="A12" s="245" t="s">
        <v>339</v>
      </c>
      <c r="B12" s="244"/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58.400000000000006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22536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7" t="str">
        <f ca="1">IF(Tabulka[[#This Row],[15_vzpl]]=0,"",Tabulka[[#This Row],[14_vzsk]]/Tabulka[[#This Row],[15_vzpl]])</f>
        <v/>
      </c>
      <c r="S12" s="246" t="str">
        <f ca="1">IF(Tabulka[[#This Row],[15_vzpl]]-Tabulka[[#This Row],[14_vzsk]]=0,"",Tabulka[[#This Row],[15_vzpl]]-Tabulka[[#This Row],[14_vzsk]])</f>
        <v/>
      </c>
    </row>
    <row r="13" spans="1:19" x14ac:dyDescent="0.25">
      <c r="A13" s="245">
        <v>526</v>
      </c>
      <c r="B13" s="244" t="s">
        <v>353</v>
      </c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58.400000000000006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505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22536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25">
      <c r="A14" s="245" t="s">
        <v>340</v>
      </c>
      <c r="B14" s="244"/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0.78749999999999987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972.8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3953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3953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138735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25">
      <c r="A15" s="245">
        <v>30</v>
      </c>
      <c r="B15" s="244" t="s">
        <v>354</v>
      </c>
      <c r="C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0.78749999999999987</v>
      </c>
      <c r="D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972.8</v>
      </c>
      <c r="H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3953</v>
      </c>
      <c r="N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3953</v>
      </c>
      <c r="O15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138735</v>
      </c>
      <c r="P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7" t="str">
        <f ca="1">IF(Tabulka[[#This Row],[15_vzpl]]=0,"",Tabulka[[#This Row],[14_vzsk]]/Tabulka[[#This Row],[15_vzpl]])</f>
        <v/>
      </c>
      <c r="S15" s="24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209</v>
      </c>
    </row>
    <row r="17" spans="1:1" x14ac:dyDescent="0.25">
      <c r="A17" s="99" t="s">
        <v>137</v>
      </c>
    </row>
    <row r="18" spans="1:1" x14ac:dyDescent="0.25">
      <c r="A18" s="100" t="s">
        <v>179</v>
      </c>
    </row>
    <row r="19" spans="1:1" x14ac:dyDescent="0.25">
      <c r="A19" s="237" t="s">
        <v>178</v>
      </c>
    </row>
    <row r="20" spans="1:1" x14ac:dyDescent="0.25">
      <c r="A20" s="217" t="s">
        <v>163</v>
      </c>
    </row>
    <row r="21" spans="1:1" x14ac:dyDescent="0.25">
      <c r="A21" s="219" t="s">
        <v>168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D98C09ED-0676-4ED9-A6E0-8DFDCE9A693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7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349</v>
      </c>
    </row>
    <row r="2" spans="1:19" x14ac:dyDescent="0.25">
      <c r="A2" s="214" t="s">
        <v>232</v>
      </c>
    </row>
    <row r="3" spans="1:19" x14ac:dyDescent="0.25">
      <c r="A3" s="283" t="s">
        <v>140</v>
      </c>
      <c r="B3" s="282">
        <v>2019</v>
      </c>
      <c r="C3" t="s">
        <v>208</v>
      </c>
      <c r="D3" t="s">
        <v>199</v>
      </c>
      <c r="E3" t="s">
        <v>197</v>
      </c>
      <c r="F3" t="s">
        <v>196</v>
      </c>
      <c r="G3" t="s">
        <v>195</v>
      </c>
      <c r="H3" t="s">
        <v>194</v>
      </c>
      <c r="I3" t="s">
        <v>193</v>
      </c>
      <c r="J3" t="s">
        <v>192</v>
      </c>
      <c r="K3" t="s">
        <v>191</v>
      </c>
      <c r="L3" t="s">
        <v>190</v>
      </c>
      <c r="M3" t="s">
        <v>189</v>
      </c>
      <c r="N3" t="s">
        <v>188</v>
      </c>
      <c r="O3" t="s">
        <v>187</v>
      </c>
      <c r="P3" t="s">
        <v>186</v>
      </c>
      <c r="Q3" t="s">
        <v>185</v>
      </c>
      <c r="R3" t="s">
        <v>184</v>
      </c>
      <c r="S3" t="s">
        <v>183</v>
      </c>
    </row>
    <row r="4" spans="1:19" x14ac:dyDescent="0.25">
      <c r="A4" s="281" t="s">
        <v>141</v>
      </c>
      <c r="B4" s="280">
        <v>1</v>
      </c>
      <c r="C4" s="275">
        <v>1</v>
      </c>
      <c r="D4" s="275" t="s">
        <v>180</v>
      </c>
      <c r="E4" s="274">
        <v>1.7</v>
      </c>
      <c r="F4" s="274"/>
      <c r="G4" s="274"/>
      <c r="H4" s="274"/>
      <c r="I4" s="274">
        <v>272.8</v>
      </c>
      <c r="J4" s="274"/>
      <c r="K4" s="274"/>
      <c r="L4" s="274"/>
      <c r="M4" s="274"/>
      <c r="N4" s="274"/>
      <c r="O4" s="274"/>
      <c r="P4" s="274"/>
      <c r="Q4" s="274">
        <v>97191</v>
      </c>
      <c r="R4" s="274"/>
      <c r="S4" s="274">
        <v>592.6197458455523</v>
      </c>
    </row>
    <row r="5" spans="1:19" x14ac:dyDescent="0.25">
      <c r="A5" s="279" t="s">
        <v>142</v>
      </c>
      <c r="B5" s="278">
        <v>2</v>
      </c>
      <c r="C5">
        <v>1</v>
      </c>
      <c r="D5">
        <v>99</v>
      </c>
      <c r="S5">
        <v>592.6197458455523</v>
      </c>
    </row>
    <row r="6" spans="1:19" x14ac:dyDescent="0.25">
      <c r="A6" s="281" t="s">
        <v>143</v>
      </c>
      <c r="B6" s="280">
        <v>3</v>
      </c>
      <c r="C6">
        <v>1</v>
      </c>
      <c r="D6">
        <v>101</v>
      </c>
      <c r="E6">
        <v>1.5</v>
      </c>
      <c r="I6">
        <v>236</v>
      </c>
      <c r="Q6">
        <v>91795</v>
      </c>
    </row>
    <row r="7" spans="1:19" x14ac:dyDescent="0.25">
      <c r="A7" s="279" t="s">
        <v>144</v>
      </c>
      <c r="B7" s="278">
        <v>4</v>
      </c>
      <c r="C7">
        <v>1</v>
      </c>
      <c r="D7">
        <v>203</v>
      </c>
      <c r="E7">
        <v>0.2</v>
      </c>
      <c r="I7">
        <v>36.799999999999997</v>
      </c>
      <c r="Q7">
        <v>5396</v>
      </c>
    </row>
    <row r="8" spans="1:19" x14ac:dyDescent="0.25">
      <c r="A8" s="281" t="s">
        <v>145</v>
      </c>
      <c r="B8" s="280">
        <v>5</v>
      </c>
      <c r="C8">
        <v>1</v>
      </c>
      <c r="D8" t="s">
        <v>339</v>
      </c>
      <c r="E8">
        <v>0.05</v>
      </c>
      <c r="I8">
        <v>7.2</v>
      </c>
      <c r="Q8">
        <v>2776</v>
      </c>
    </row>
    <row r="9" spans="1:19" x14ac:dyDescent="0.25">
      <c r="A9" s="279" t="s">
        <v>146</v>
      </c>
      <c r="B9" s="278">
        <v>6</v>
      </c>
      <c r="C9">
        <v>1</v>
      </c>
      <c r="D9">
        <v>526</v>
      </c>
      <c r="E9">
        <v>0.05</v>
      </c>
      <c r="I9">
        <v>7.2</v>
      </c>
      <c r="Q9">
        <v>2776</v>
      </c>
    </row>
    <row r="10" spans="1:19" x14ac:dyDescent="0.25">
      <c r="A10" s="281" t="s">
        <v>147</v>
      </c>
      <c r="B10" s="280">
        <v>7</v>
      </c>
      <c r="C10">
        <v>1</v>
      </c>
      <c r="D10" t="s">
        <v>340</v>
      </c>
      <c r="E10">
        <v>0.6</v>
      </c>
      <c r="I10">
        <v>106.4</v>
      </c>
      <c r="Q10">
        <v>11828</v>
      </c>
    </row>
    <row r="11" spans="1:19" x14ac:dyDescent="0.25">
      <c r="A11" s="279" t="s">
        <v>148</v>
      </c>
      <c r="B11" s="278">
        <v>8</v>
      </c>
      <c r="C11">
        <v>1</v>
      </c>
      <c r="D11">
        <v>30</v>
      </c>
      <c r="E11">
        <v>0.6</v>
      </c>
      <c r="I11">
        <v>106.4</v>
      </c>
      <c r="Q11">
        <v>11828</v>
      </c>
    </row>
    <row r="12" spans="1:19" x14ac:dyDescent="0.25">
      <c r="A12" s="281" t="s">
        <v>149</v>
      </c>
      <c r="B12" s="280">
        <v>9</v>
      </c>
      <c r="C12" t="s">
        <v>341</v>
      </c>
      <c r="E12">
        <v>2.35</v>
      </c>
      <c r="I12">
        <v>386.4</v>
      </c>
      <c r="Q12">
        <v>111795</v>
      </c>
      <c r="S12">
        <v>592.6197458455523</v>
      </c>
    </row>
    <row r="13" spans="1:19" x14ac:dyDescent="0.25">
      <c r="A13" s="279" t="s">
        <v>150</v>
      </c>
      <c r="B13" s="278">
        <v>10</v>
      </c>
      <c r="C13">
        <v>2</v>
      </c>
      <c r="D13" t="s">
        <v>180</v>
      </c>
      <c r="E13">
        <v>1.7</v>
      </c>
      <c r="I13">
        <v>260</v>
      </c>
      <c r="Q13">
        <v>96028</v>
      </c>
      <c r="S13">
        <v>592.6197458455523</v>
      </c>
    </row>
    <row r="14" spans="1:19" x14ac:dyDescent="0.25">
      <c r="A14" s="281" t="s">
        <v>151</v>
      </c>
      <c r="B14" s="280">
        <v>11</v>
      </c>
      <c r="C14">
        <v>2</v>
      </c>
      <c r="D14">
        <v>99</v>
      </c>
      <c r="S14">
        <v>592.6197458455523</v>
      </c>
    </row>
    <row r="15" spans="1:19" x14ac:dyDescent="0.25">
      <c r="A15" s="279" t="s">
        <v>152</v>
      </c>
      <c r="B15" s="278">
        <v>12</v>
      </c>
      <c r="C15">
        <v>2</v>
      </c>
      <c r="D15">
        <v>101</v>
      </c>
      <c r="E15">
        <v>1.5</v>
      </c>
      <c r="I15">
        <v>228</v>
      </c>
      <c r="Q15">
        <v>90632</v>
      </c>
    </row>
    <row r="16" spans="1:19" x14ac:dyDescent="0.25">
      <c r="A16" s="277" t="s">
        <v>140</v>
      </c>
      <c r="B16" s="276">
        <v>2019</v>
      </c>
      <c r="C16">
        <v>2</v>
      </c>
      <c r="D16">
        <v>203</v>
      </c>
      <c r="E16">
        <v>0.2</v>
      </c>
      <c r="I16">
        <v>32</v>
      </c>
      <c r="Q16">
        <v>5396</v>
      </c>
    </row>
    <row r="17" spans="3:19" x14ac:dyDescent="0.25">
      <c r="C17">
        <v>2</v>
      </c>
      <c r="D17" t="s">
        <v>339</v>
      </c>
      <c r="E17">
        <v>0.05</v>
      </c>
      <c r="I17">
        <v>7.6</v>
      </c>
      <c r="Q17">
        <v>2729</v>
      </c>
    </row>
    <row r="18" spans="3:19" x14ac:dyDescent="0.25">
      <c r="C18">
        <v>2</v>
      </c>
      <c r="D18">
        <v>526</v>
      </c>
      <c r="E18">
        <v>0.05</v>
      </c>
      <c r="I18">
        <v>7.6</v>
      </c>
      <c r="Q18">
        <v>2729</v>
      </c>
    </row>
    <row r="19" spans="3:19" x14ac:dyDescent="0.25">
      <c r="C19">
        <v>2</v>
      </c>
      <c r="D19" t="s">
        <v>340</v>
      </c>
      <c r="E19">
        <v>0.6</v>
      </c>
      <c r="I19">
        <v>96</v>
      </c>
      <c r="Q19">
        <v>13325</v>
      </c>
    </row>
    <row r="20" spans="3:19" x14ac:dyDescent="0.25">
      <c r="C20">
        <v>2</v>
      </c>
      <c r="D20">
        <v>30</v>
      </c>
      <c r="E20">
        <v>0.6</v>
      </c>
      <c r="I20">
        <v>96</v>
      </c>
      <c r="Q20">
        <v>13325</v>
      </c>
    </row>
    <row r="21" spans="3:19" x14ac:dyDescent="0.25">
      <c r="C21" t="s">
        <v>342</v>
      </c>
      <c r="E21">
        <v>2.35</v>
      </c>
      <c r="I21">
        <v>363.6</v>
      </c>
      <c r="Q21">
        <v>112082</v>
      </c>
      <c r="S21">
        <v>592.6197458455523</v>
      </c>
    </row>
    <row r="22" spans="3:19" x14ac:dyDescent="0.25">
      <c r="C22">
        <v>3</v>
      </c>
      <c r="D22" t="s">
        <v>180</v>
      </c>
      <c r="E22">
        <v>1.7</v>
      </c>
      <c r="I22">
        <v>269.60000000000002</v>
      </c>
      <c r="Q22">
        <v>93014</v>
      </c>
      <c r="S22">
        <v>592.6197458455523</v>
      </c>
    </row>
    <row r="23" spans="3:19" x14ac:dyDescent="0.25">
      <c r="C23">
        <v>3</v>
      </c>
      <c r="D23">
        <v>99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236</v>
      </c>
      <c r="Q24">
        <v>87618</v>
      </c>
    </row>
    <row r="25" spans="3:19" x14ac:dyDescent="0.25">
      <c r="C25">
        <v>3</v>
      </c>
      <c r="D25">
        <v>203</v>
      </c>
      <c r="E25">
        <v>0.2</v>
      </c>
      <c r="I25">
        <v>33.6</v>
      </c>
      <c r="Q25">
        <v>5396</v>
      </c>
    </row>
    <row r="26" spans="3:19" x14ac:dyDescent="0.25">
      <c r="C26">
        <v>3</v>
      </c>
      <c r="D26" t="s">
        <v>339</v>
      </c>
      <c r="E26">
        <v>0.05</v>
      </c>
      <c r="I26">
        <v>8.4</v>
      </c>
      <c r="Q26">
        <v>2738</v>
      </c>
    </row>
    <row r="27" spans="3:19" x14ac:dyDescent="0.25">
      <c r="C27">
        <v>3</v>
      </c>
      <c r="D27">
        <v>526</v>
      </c>
      <c r="E27">
        <v>0.05</v>
      </c>
      <c r="I27">
        <v>8.4</v>
      </c>
      <c r="Q27">
        <v>2738</v>
      </c>
    </row>
    <row r="28" spans="3:19" x14ac:dyDescent="0.25">
      <c r="C28">
        <v>3</v>
      </c>
      <c r="D28" t="s">
        <v>340</v>
      </c>
      <c r="E28">
        <v>0.6</v>
      </c>
      <c r="I28">
        <v>100.8</v>
      </c>
      <c r="Q28">
        <v>13325</v>
      </c>
    </row>
    <row r="29" spans="3:19" x14ac:dyDescent="0.25">
      <c r="C29">
        <v>3</v>
      </c>
      <c r="D29">
        <v>30</v>
      </c>
      <c r="E29">
        <v>0.6</v>
      </c>
      <c r="I29">
        <v>100.8</v>
      </c>
      <c r="Q29">
        <v>13325</v>
      </c>
    </row>
    <row r="30" spans="3:19" x14ac:dyDescent="0.25">
      <c r="C30" t="s">
        <v>343</v>
      </c>
      <c r="E30">
        <v>2.35</v>
      </c>
      <c r="I30">
        <v>378.8</v>
      </c>
      <c r="Q30">
        <v>109077</v>
      </c>
      <c r="S30">
        <v>592.6197458455523</v>
      </c>
    </row>
    <row r="31" spans="3:19" x14ac:dyDescent="0.25">
      <c r="C31">
        <v>4</v>
      </c>
      <c r="D31" t="s">
        <v>180</v>
      </c>
      <c r="E31">
        <v>1.7</v>
      </c>
      <c r="I31">
        <v>299.2</v>
      </c>
      <c r="Q31">
        <v>93186</v>
      </c>
      <c r="S31">
        <v>592.6197458455523</v>
      </c>
    </row>
    <row r="32" spans="3:19" x14ac:dyDescent="0.25">
      <c r="C32">
        <v>4</v>
      </c>
      <c r="D32">
        <v>99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264</v>
      </c>
      <c r="Q33">
        <v>87790</v>
      </c>
    </row>
    <row r="34" spans="3:19" x14ac:dyDescent="0.25">
      <c r="C34">
        <v>4</v>
      </c>
      <c r="D34">
        <v>203</v>
      </c>
      <c r="E34">
        <v>0.2</v>
      </c>
      <c r="I34">
        <v>35.200000000000003</v>
      </c>
      <c r="Q34">
        <v>5396</v>
      </c>
    </row>
    <row r="35" spans="3:19" x14ac:dyDescent="0.25">
      <c r="C35">
        <v>4</v>
      </c>
      <c r="D35" t="s">
        <v>339</v>
      </c>
      <c r="E35">
        <v>0.05</v>
      </c>
      <c r="I35">
        <v>8.8000000000000007</v>
      </c>
      <c r="Q35">
        <v>2738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2738</v>
      </c>
    </row>
    <row r="37" spans="3:19" x14ac:dyDescent="0.25">
      <c r="C37">
        <v>4</v>
      </c>
      <c r="D37" t="s">
        <v>340</v>
      </c>
      <c r="E37">
        <v>1.1000000000000001</v>
      </c>
      <c r="I37">
        <v>193.6</v>
      </c>
      <c r="Q37">
        <v>22310</v>
      </c>
    </row>
    <row r="38" spans="3:19" x14ac:dyDescent="0.25">
      <c r="C38">
        <v>4</v>
      </c>
      <c r="D38">
        <v>30</v>
      </c>
      <c r="E38">
        <v>1.1000000000000001</v>
      </c>
      <c r="I38">
        <v>193.6</v>
      </c>
      <c r="Q38">
        <v>22310</v>
      </c>
    </row>
    <row r="39" spans="3:19" x14ac:dyDescent="0.25">
      <c r="C39" t="s">
        <v>344</v>
      </c>
      <c r="E39">
        <v>2.85</v>
      </c>
      <c r="I39">
        <v>501.6</v>
      </c>
      <c r="Q39">
        <v>118234</v>
      </c>
      <c r="S39">
        <v>592.6197458455523</v>
      </c>
    </row>
    <row r="40" spans="3:19" x14ac:dyDescent="0.25">
      <c r="C40">
        <v>5</v>
      </c>
      <c r="D40" t="s">
        <v>180</v>
      </c>
      <c r="E40">
        <v>1.7</v>
      </c>
      <c r="I40">
        <v>292.8</v>
      </c>
      <c r="Q40">
        <v>95730</v>
      </c>
      <c r="S40">
        <v>592.6197458455523</v>
      </c>
    </row>
    <row r="41" spans="3:19" x14ac:dyDescent="0.25">
      <c r="C41">
        <v>5</v>
      </c>
      <c r="D41">
        <v>99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256</v>
      </c>
      <c r="Q42">
        <v>90334</v>
      </c>
    </row>
    <row r="43" spans="3:19" x14ac:dyDescent="0.25">
      <c r="C43">
        <v>5</v>
      </c>
      <c r="D43">
        <v>203</v>
      </c>
      <c r="E43">
        <v>0.2</v>
      </c>
      <c r="I43">
        <v>36.799999999999997</v>
      </c>
      <c r="Q43">
        <v>5396</v>
      </c>
    </row>
    <row r="44" spans="3:19" x14ac:dyDescent="0.25">
      <c r="C44">
        <v>5</v>
      </c>
      <c r="D44" t="s">
        <v>339</v>
      </c>
      <c r="E44">
        <v>0.05</v>
      </c>
      <c r="I44">
        <v>9.1999999999999993</v>
      </c>
      <c r="Q44">
        <v>2738</v>
      </c>
    </row>
    <row r="45" spans="3:19" x14ac:dyDescent="0.25">
      <c r="C45">
        <v>5</v>
      </c>
      <c r="D45">
        <v>526</v>
      </c>
      <c r="E45">
        <v>0.05</v>
      </c>
      <c r="I45">
        <v>9.1999999999999993</v>
      </c>
      <c r="Q45">
        <v>2738</v>
      </c>
    </row>
    <row r="46" spans="3:19" x14ac:dyDescent="0.25">
      <c r="C46">
        <v>5</v>
      </c>
      <c r="D46" t="s">
        <v>340</v>
      </c>
      <c r="E46">
        <v>1.1000000000000001</v>
      </c>
      <c r="I46">
        <v>158.4</v>
      </c>
      <c r="Q46">
        <v>23198</v>
      </c>
    </row>
    <row r="47" spans="3:19" x14ac:dyDescent="0.25">
      <c r="C47">
        <v>5</v>
      </c>
      <c r="D47">
        <v>30</v>
      </c>
      <c r="E47">
        <v>1.1000000000000001</v>
      </c>
      <c r="I47">
        <v>158.4</v>
      </c>
      <c r="Q47">
        <v>23198</v>
      </c>
    </row>
    <row r="48" spans="3:19" x14ac:dyDescent="0.25">
      <c r="C48" t="s">
        <v>345</v>
      </c>
      <c r="E48">
        <v>2.85</v>
      </c>
      <c r="I48">
        <v>460.4</v>
      </c>
      <c r="Q48">
        <v>121666</v>
      </c>
      <c r="S48">
        <v>592.6197458455523</v>
      </c>
    </row>
    <row r="49" spans="3:19" x14ac:dyDescent="0.25">
      <c r="C49">
        <v>6</v>
      </c>
      <c r="D49" t="s">
        <v>180</v>
      </c>
      <c r="E49">
        <v>1.7</v>
      </c>
      <c r="I49">
        <v>272</v>
      </c>
      <c r="Q49">
        <v>93186</v>
      </c>
      <c r="S49">
        <v>592.6197458455523</v>
      </c>
    </row>
    <row r="50" spans="3:19" x14ac:dyDescent="0.25">
      <c r="C50">
        <v>6</v>
      </c>
      <c r="D50">
        <v>99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240</v>
      </c>
      <c r="Q51">
        <v>87790</v>
      </c>
    </row>
    <row r="52" spans="3:19" x14ac:dyDescent="0.25">
      <c r="C52">
        <v>6</v>
      </c>
      <c r="D52">
        <v>203</v>
      </c>
      <c r="E52">
        <v>0.2</v>
      </c>
      <c r="I52">
        <v>32</v>
      </c>
      <c r="Q52">
        <v>5396</v>
      </c>
    </row>
    <row r="53" spans="3:19" x14ac:dyDescent="0.25">
      <c r="C53">
        <v>6</v>
      </c>
      <c r="D53" t="s">
        <v>339</v>
      </c>
      <c r="E53">
        <v>0.05</v>
      </c>
      <c r="I53">
        <v>8</v>
      </c>
      <c r="Q53">
        <v>2738</v>
      </c>
    </row>
    <row r="54" spans="3:19" x14ac:dyDescent="0.25">
      <c r="C54">
        <v>6</v>
      </c>
      <c r="D54">
        <v>526</v>
      </c>
      <c r="E54">
        <v>0.05</v>
      </c>
      <c r="I54">
        <v>8</v>
      </c>
      <c r="Q54">
        <v>2738</v>
      </c>
    </row>
    <row r="55" spans="3:19" x14ac:dyDescent="0.25">
      <c r="C55">
        <v>6</v>
      </c>
      <c r="D55" t="s">
        <v>340</v>
      </c>
      <c r="E55">
        <v>1.1000000000000001</v>
      </c>
      <c r="I55">
        <v>164</v>
      </c>
      <c r="Q55">
        <v>26821</v>
      </c>
    </row>
    <row r="56" spans="3:19" x14ac:dyDescent="0.25">
      <c r="C56">
        <v>6</v>
      </c>
      <c r="D56">
        <v>30</v>
      </c>
      <c r="E56">
        <v>1.1000000000000001</v>
      </c>
      <c r="I56">
        <v>164</v>
      </c>
      <c r="Q56">
        <v>26821</v>
      </c>
    </row>
    <row r="57" spans="3:19" x14ac:dyDescent="0.25">
      <c r="C57" t="s">
        <v>346</v>
      </c>
      <c r="E57">
        <v>2.85</v>
      </c>
      <c r="I57">
        <v>444</v>
      </c>
      <c r="Q57">
        <v>122745</v>
      </c>
      <c r="S57">
        <v>592.6197458455523</v>
      </c>
    </row>
    <row r="58" spans="3:19" x14ac:dyDescent="0.25">
      <c r="C58">
        <v>7</v>
      </c>
      <c r="D58" t="s">
        <v>180</v>
      </c>
      <c r="E58">
        <v>1.7</v>
      </c>
      <c r="I58">
        <v>224.8</v>
      </c>
      <c r="O58">
        <v>112898</v>
      </c>
      <c r="P58">
        <v>112898</v>
      </c>
      <c r="Q58">
        <v>208248</v>
      </c>
      <c r="S58">
        <v>592.6197458455523</v>
      </c>
    </row>
    <row r="59" spans="3:19" x14ac:dyDescent="0.25">
      <c r="C59">
        <v>7</v>
      </c>
      <c r="D59">
        <v>99</v>
      </c>
      <c r="S59">
        <v>592.6197458455523</v>
      </c>
    </row>
    <row r="60" spans="3:19" x14ac:dyDescent="0.25">
      <c r="C60">
        <v>7</v>
      </c>
      <c r="D60">
        <v>101</v>
      </c>
      <c r="E60">
        <v>1.5</v>
      </c>
      <c r="I60">
        <v>188</v>
      </c>
      <c r="O60">
        <v>112898</v>
      </c>
      <c r="P60">
        <v>112898</v>
      </c>
      <c r="Q60">
        <v>202602</v>
      </c>
    </row>
    <row r="61" spans="3:19" x14ac:dyDescent="0.25">
      <c r="C61">
        <v>7</v>
      </c>
      <c r="D61">
        <v>203</v>
      </c>
      <c r="E61">
        <v>0.2</v>
      </c>
      <c r="I61">
        <v>36.799999999999997</v>
      </c>
      <c r="Q61">
        <v>5646</v>
      </c>
    </row>
    <row r="62" spans="3:19" x14ac:dyDescent="0.25">
      <c r="C62">
        <v>7</v>
      </c>
      <c r="D62" t="s">
        <v>339</v>
      </c>
      <c r="E62">
        <v>0.05</v>
      </c>
      <c r="I62">
        <v>5.2</v>
      </c>
      <c r="O62">
        <v>505</v>
      </c>
      <c r="P62">
        <v>505</v>
      </c>
      <c r="Q62">
        <v>3317</v>
      </c>
    </row>
    <row r="63" spans="3:19" x14ac:dyDescent="0.25">
      <c r="C63">
        <v>7</v>
      </c>
      <c r="D63">
        <v>526</v>
      </c>
      <c r="E63">
        <v>0.05</v>
      </c>
      <c r="I63">
        <v>5.2</v>
      </c>
      <c r="O63">
        <v>505</v>
      </c>
      <c r="P63">
        <v>505</v>
      </c>
      <c r="Q63">
        <v>3317</v>
      </c>
    </row>
    <row r="64" spans="3:19" x14ac:dyDescent="0.25">
      <c r="C64">
        <v>7</v>
      </c>
      <c r="D64" t="s">
        <v>340</v>
      </c>
      <c r="E64">
        <v>0.6</v>
      </c>
      <c r="I64">
        <v>94.4</v>
      </c>
      <c r="O64">
        <v>3953</v>
      </c>
      <c r="P64">
        <v>3953</v>
      </c>
      <c r="Q64">
        <v>15958</v>
      </c>
    </row>
    <row r="65" spans="3:19" x14ac:dyDescent="0.25">
      <c r="C65">
        <v>7</v>
      </c>
      <c r="D65">
        <v>30</v>
      </c>
      <c r="E65">
        <v>0.6</v>
      </c>
      <c r="I65">
        <v>94.4</v>
      </c>
      <c r="O65">
        <v>3953</v>
      </c>
      <c r="P65">
        <v>3953</v>
      </c>
      <c r="Q65">
        <v>15958</v>
      </c>
    </row>
    <row r="66" spans="3:19" x14ac:dyDescent="0.25">
      <c r="C66" t="s">
        <v>347</v>
      </c>
      <c r="E66">
        <v>2.35</v>
      </c>
      <c r="I66">
        <v>324.39999999999998</v>
      </c>
      <c r="O66">
        <v>117356</v>
      </c>
      <c r="P66">
        <v>117356</v>
      </c>
      <c r="Q66">
        <v>227523</v>
      </c>
      <c r="S66">
        <v>592.6197458455523</v>
      </c>
    </row>
    <row r="67" spans="3:19" x14ac:dyDescent="0.25">
      <c r="C67">
        <v>8</v>
      </c>
      <c r="D67" t="s">
        <v>180</v>
      </c>
      <c r="E67">
        <v>1.7</v>
      </c>
      <c r="I67">
        <v>175.2</v>
      </c>
      <c r="Q67">
        <v>93783</v>
      </c>
      <c r="S67">
        <v>592.6197458455523</v>
      </c>
    </row>
    <row r="68" spans="3:19" x14ac:dyDescent="0.25">
      <c r="C68">
        <v>8</v>
      </c>
      <c r="D68">
        <v>99</v>
      </c>
      <c r="S68">
        <v>592.6197458455523</v>
      </c>
    </row>
    <row r="69" spans="3:19" x14ac:dyDescent="0.25">
      <c r="C69">
        <v>8</v>
      </c>
      <c r="D69">
        <v>101</v>
      </c>
      <c r="E69">
        <v>1.5</v>
      </c>
      <c r="I69">
        <v>156</v>
      </c>
      <c r="Q69">
        <v>88348</v>
      </c>
    </row>
    <row r="70" spans="3:19" x14ac:dyDescent="0.25">
      <c r="C70">
        <v>8</v>
      </c>
      <c r="D70">
        <v>203</v>
      </c>
      <c r="E70">
        <v>0.2</v>
      </c>
      <c r="I70">
        <v>19.2</v>
      </c>
      <c r="Q70">
        <v>5435</v>
      </c>
    </row>
    <row r="71" spans="3:19" x14ac:dyDescent="0.25">
      <c r="C71">
        <v>8</v>
      </c>
      <c r="D71" t="s">
        <v>339</v>
      </c>
      <c r="E71">
        <v>0.05</v>
      </c>
      <c r="I71">
        <v>4</v>
      </c>
      <c r="Q71">
        <v>2762</v>
      </c>
    </row>
    <row r="72" spans="3:19" x14ac:dyDescent="0.25">
      <c r="C72">
        <v>8</v>
      </c>
      <c r="D72">
        <v>526</v>
      </c>
      <c r="E72">
        <v>0.05</v>
      </c>
      <c r="I72">
        <v>4</v>
      </c>
      <c r="Q72">
        <v>2762</v>
      </c>
    </row>
    <row r="73" spans="3:19" x14ac:dyDescent="0.25">
      <c r="C73">
        <v>8</v>
      </c>
      <c r="D73" t="s">
        <v>340</v>
      </c>
      <c r="E73">
        <v>0.6</v>
      </c>
      <c r="I73">
        <v>59.2</v>
      </c>
      <c r="Q73">
        <v>11970</v>
      </c>
    </row>
    <row r="74" spans="3:19" x14ac:dyDescent="0.25">
      <c r="C74">
        <v>8</v>
      </c>
      <c r="D74">
        <v>30</v>
      </c>
      <c r="E74">
        <v>0.6</v>
      </c>
      <c r="I74">
        <v>59.2</v>
      </c>
      <c r="Q74">
        <v>11970</v>
      </c>
    </row>
    <row r="75" spans="3:19" x14ac:dyDescent="0.25">
      <c r="C75" t="s">
        <v>348</v>
      </c>
      <c r="E75">
        <v>2.35</v>
      </c>
      <c r="I75">
        <v>238.39999999999998</v>
      </c>
      <c r="Q75">
        <v>108515</v>
      </c>
      <c r="S75">
        <v>592.6197458455523</v>
      </c>
    </row>
  </sheetData>
  <hyperlinks>
    <hyperlink ref="A2" location="Obsah!A1" display="Zpět na Obsah  KL 01  1.-4.měsíc" xr:uid="{F3434311-0253-48F9-A889-6C4161A40485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5" hidden="1" customWidth="1" outlineLevel="1"/>
    <col min="10" max="10" width="7.7109375" style="195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5" hidden="1" customWidth="1" outlineLevel="1"/>
    <col min="19" max="19" width="7.7109375" style="195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5" hidden="1" customWidth="1" outlineLevel="1"/>
    <col min="28" max="28" width="7.7109375" style="195" customWidth="1" collapsed="1"/>
    <col min="29" max="16384" width="8.85546875" style="115"/>
  </cols>
  <sheetData>
    <row r="1" spans="1:28" ht="18.600000000000001" customHeight="1" thickBot="1" x14ac:dyDescent="0.35">
      <c r="A1" s="372" t="s">
        <v>357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5" customHeight="1" thickBot="1" x14ac:dyDescent="0.25">
      <c r="A3" s="202" t="s">
        <v>120</v>
      </c>
      <c r="B3" s="203">
        <f>SUBTOTAL(9,B6:B1048576)/4</f>
        <v>0</v>
      </c>
      <c r="C3" s="204">
        <f t="shared" ref="C3:Z3" si="0">SUBTOTAL(9,C6:C1048576)</f>
        <v>0</v>
      </c>
      <c r="D3" s="204"/>
      <c r="E3" s="204">
        <f>SUBTOTAL(9,E6:E1048576)/4</f>
        <v>1065</v>
      </c>
      <c r="F3" s="204"/>
      <c r="G3" s="204">
        <f t="shared" si="0"/>
        <v>4</v>
      </c>
      <c r="H3" s="204">
        <f>SUBTOTAL(9,H6:H1048576)/4</f>
        <v>4045</v>
      </c>
      <c r="I3" s="207" t="str">
        <f>IF(B3&lt;&gt;0,H3/B3,"")</f>
        <v/>
      </c>
      <c r="J3" s="205">
        <f>IF(E3&lt;&gt;0,H3/E3,"")</f>
        <v>3.7981220657276995</v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5" customHeight="1" x14ac:dyDescent="0.2">
      <c r="A4" s="373" t="s">
        <v>172</v>
      </c>
      <c r="B4" s="374" t="s">
        <v>95</v>
      </c>
      <c r="C4" s="375"/>
      <c r="D4" s="376"/>
      <c r="E4" s="375"/>
      <c r="F4" s="376"/>
      <c r="G4" s="375"/>
      <c r="H4" s="375"/>
      <c r="I4" s="376"/>
      <c r="J4" s="377"/>
      <c r="K4" s="374" t="s">
        <v>96</v>
      </c>
      <c r="L4" s="376"/>
      <c r="M4" s="375"/>
      <c r="N4" s="375"/>
      <c r="O4" s="376"/>
      <c r="P4" s="375"/>
      <c r="Q4" s="375"/>
      <c r="R4" s="376"/>
      <c r="S4" s="377"/>
      <c r="T4" s="374" t="s">
        <v>97</v>
      </c>
      <c r="U4" s="376"/>
      <c r="V4" s="375"/>
      <c r="W4" s="375"/>
      <c r="X4" s="376"/>
      <c r="Y4" s="375"/>
      <c r="Z4" s="375"/>
      <c r="AA4" s="376"/>
      <c r="AB4" s="377"/>
    </row>
    <row r="5" spans="1:28" ht="14.45" customHeight="1" thickBot="1" x14ac:dyDescent="0.25">
      <c r="A5" s="478"/>
      <c r="B5" s="479">
        <v>2015</v>
      </c>
      <c r="C5" s="480"/>
      <c r="D5" s="480"/>
      <c r="E5" s="480">
        <v>2018</v>
      </c>
      <c r="F5" s="480"/>
      <c r="G5" s="480"/>
      <c r="H5" s="480">
        <v>2019</v>
      </c>
      <c r="I5" s="481" t="s">
        <v>173</v>
      </c>
      <c r="J5" s="482" t="s">
        <v>2</v>
      </c>
      <c r="K5" s="479">
        <v>2015</v>
      </c>
      <c r="L5" s="480"/>
      <c r="M5" s="480"/>
      <c r="N5" s="480">
        <v>2018</v>
      </c>
      <c r="O5" s="480"/>
      <c r="P5" s="480"/>
      <c r="Q5" s="480">
        <v>2019</v>
      </c>
      <c r="R5" s="481" t="s">
        <v>173</v>
      </c>
      <c r="S5" s="482" t="s">
        <v>2</v>
      </c>
      <c r="T5" s="479">
        <v>2015</v>
      </c>
      <c r="U5" s="480"/>
      <c r="V5" s="480"/>
      <c r="W5" s="480">
        <v>2018</v>
      </c>
      <c r="X5" s="480"/>
      <c r="Y5" s="480"/>
      <c r="Z5" s="480">
        <v>2019</v>
      </c>
      <c r="AA5" s="481" t="s">
        <v>173</v>
      </c>
      <c r="AB5" s="482" t="s">
        <v>2</v>
      </c>
    </row>
    <row r="6" spans="1:28" ht="14.45" customHeight="1" x14ac:dyDescent="0.25">
      <c r="A6" s="483" t="s">
        <v>355</v>
      </c>
      <c r="B6" s="484"/>
      <c r="C6" s="485"/>
      <c r="D6" s="485"/>
      <c r="E6" s="484">
        <v>1065</v>
      </c>
      <c r="F6" s="485"/>
      <c r="G6" s="485">
        <v>1</v>
      </c>
      <c r="H6" s="484">
        <v>4045</v>
      </c>
      <c r="I6" s="485"/>
      <c r="J6" s="485">
        <v>3.7981220657276995</v>
      </c>
      <c r="K6" s="484"/>
      <c r="L6" s="485"/>
      <c r="M6" s="485"/>
      <c r="N6" s="484"/>
      <c r="O6" s="485"/>
      <c r="P6" s="485"/>
      <c r="Q6" s="484"/>
      <c r="R6" s="485"/>
      <c r="S6" s="485"/>
      <c r="T6" s="484"/>
      <c r="U6" s="485"/>
      <c r="V6" s="485"/>
      <c r="W6" s="484"/>
      <c r="X6" s="485"/>
      <c r="Y6" s="485"/>
      <c r="Z6" s="484"/>
      <c r="AA6" s="485"/>
      <c r="AB6" s="486"/>
    </row>
    <row r="7" spans="1:28" ht="14.45" customHeight="1" thickBot="1" x14ac:dyDescent="0.3">
      <c r="A7" s="490" t="s">
        <v>356</v>
      </c>
      <c r="B7" s="487"/>
      <c r="C7" s="488"/>
      <c r="D7" s="488"/>
      <c r="E7" s="487">
        <v>1065</v>
      </c>
      <c r="F7" s="488"/>
      <c r="G7" s="488">
        <v>1</v>
      </c>
      <c r="H7" s="487">
        <v>4045</v>
      </c>
      <c r="I7" s="488"/>
      <c r="J7" s="488">
        <v>3.7981220657276995</v>
      </c>
      <c r="K7" s="487"/>
      <c r="L7" s="488"/>
      <c r="M7" s="488"/>
      <c r="N7" s="487"/>
      <c r="O7" s="488"/>
      <c r="P7" s="488"/>
      <c r="Q7" s="487"/>
      <c r="R7" s="488"/>
      <c r="S7" s="488"/>
      <c r="T7" s="487"/>
      <c r="U7" s="488"/>
      <c r="V7" s="488"/>
      <c r="W7" s="487"/>
      <c r="X7" s="488"/>
      <c r="Y7" s="488"/>
      <c r="Z7" s="487"/>
      <c r="AA7" s="488"/>
      <c r="AB7" s="489"/>
    </row>
    <row r="8" spans="1:28" ht="14.45" customHeight="1" thickBot="1" x14ac:dyDescent="0.25"/>
    <row r="9" spans="1:28" ht="14.45" customHeight="1" x14ac:dyDescent="0.25">
      <c r="A9" s="483" t="s">
        <v>358</v>
      </c>
      <c r="B9" s="484"/>
      <c r="C9" s="485"/>
      <c r="D9" s="485"/>
      <c r="E9" s="484">
        <v>1065</v>
      </c>
      <c r="F9" s="485"/>
      <c r="G9" s="485">
        <v>1</v>
      </c>
      <c r="H9" s="484">
        <v>4045</v>
      </c>
      <c r="I9" s="485"/>
      <c r="J9" s="486">
        <v>3.7981220657276995</v>
      </c>
    </row>
    <row r="10" spans="1:28" ht="14.45" customHeight="1" thickBot="1" x14ac:dyDescent="0.3">
      <c r="A10" s="490" t="s">
        <v>359</v>
      </c>
      <c r="B10" s="487"/>
      <c r="C10" s="488"/>
      <c r="D10" s="488"/>
      <c r="E10" s="487">
        <v>1065</v>
      </c>
      <c r="F10" s="488"/>
      <c r="G10" s="488">
        <v>1</v>
      </c>
      <c r="H10" s="487">
        <v>4045</v>
      </c>
      <c r="I10" s="488"/>
      <c r="J10" s="489">
        <v>3.7981220657276995</v>
      </c>
    </row>
    <row r="11" spans="1:28" ht="14.45" customHeight="1" x14ac:dyDescent="0.2">
      <c r="A11" s="425" t="s">
        <v>209</v>
      </c>
    </row>
    <row r="12" spans="1:28" ht="14.45" customHeight="1" x14ac:dyDescent="0.2">
      <c r="A12" s="426" t="s">
        <v>314</v>
      </c>
    </row>
    <row r="13" spans="1:28" ht="14.45" customHeight="1" x14ac:dyDescent="0.2">
      <c r="A13" s="425" t="s">
        <v>360</v>
      </c>
    </row>
    <row r="14" spans="1:28" ht="14.45" customHeight="1" x14ac:dyDescent="0.2">
      <c r="A14" s="425" t="s">
        <v>361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FAE3EAE0-01D9-4CDC-B593-857F8A61753B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2" hidden="1" customWidth="1" outlineLevel="1"/>
    <col min="3" max="3" width="7.7109375" style="192" customWidth="1" collapsed="1"/>
    <col min="4" max="4" width="7.7109375" style="192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372" t="s">
        <v>363</v>
      </c>
      <c r="B1" s="288"/>
      <c r="C1" s="288"/>
      <c r="D1" s="288"/>
      <c r="E1" s="288"/>
      <c r="F1" s="288"/>
      <c r="G1" s="288"/>
    </row>
    <row r="2" spans="1:7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34" t="s">
        <v>120</v>
      </c>
      <c r="B3" s="222">
        <f t="shared" ref="B3:G3" si="0">SUBTOTAL(9,B6:B1048576)</f>
        <v>0</v>
      </c>
      <c r="C3" s="223">
        <f t="shared" si="0"/>
        <v>3</v>
      </c>
      <c r="D3" s="233">
        <f t="shared" si="0"/>
        <v>12</v>
      </c>
      <c r="E3" s="206">
        <f t="shared" si="0"/>
        <v>0</v>
      </c>
      <c r="F3" s="204">
        <f t="shared" si="0"/>
        <v>1065</v>
      </c>
      <c r="G3" s="224">
        <f t="shared" si="0"/>
        <v>4045</v>
      </c>
    </row>
    <row r="4" spans="1:7" ht="14.45" customHeight="1" x14ac:dyDescent="0.2">
      <c r="A4" s="373" t="s">
        <v>121</v>
      </c>
      <c r="B4" s="378" t="s">
        <v>170</v>
      </c>
      <c r="C4" s="376"/>
      <c r="D4" s="379"/>
      <c r="E4" s="378" t="s">
        <v>95</v>
      </c>
      <c r="F4" s="376"/>
      <c r="G4" s="379"/>
    </row>
    <row r="5" spans="1:7" ht="14.45" customHeight="1" thickBot="1" x14ac:dyDescent="0.25">
      <c r="A5" s="478"/>
      <c r="B5" s="479">
        <v>2015</v>
      </c>
      <c r="C5" s="480">
        <v>2018</v>
      </c>
      <c r="D5" s="491">
        <v>2019</v>
      </c>
      <c r="E5" s="479">
        <v>2015</v>
      </c>
      <c r="F5" s="480">
        <v>2018</v>
      </c>
      <c r="G5" s="491">
        <v>2019</v>
      </c>
    </row>
    <row r="6" spans="1:7" ht="14.45" customHeight="1" x14ac:dyDescent="0.2">
      <c r="A6" s="500" t="s">
        <v>316</v>
      </c>
      <c r="B6" s="102"/>
      <c r="C6" s="102"/>
      <c r="D6" s="102">
        <v>1</v>
      </c>
      <c r="E6" s="492"/>
      <c r="F6" s="492"/>
      <c r="G6" s="493">
        <v>179</v>
      </c>
    </row>
    <row r="7" spans="1:7" ht="14.45" customHeight="1" x14ac:dyDescent="0.2">
      <c r="A7" s="501" t="s">
        <v>317</v>
      </c>
      <c r="B7" s="494"/>
      <c r="C7" s="494">
        <v>3</v>
      </c>
      <c r="D7" s="494">
        <v>6</v>
      </c>
      <c r="E7" s="495"/>
      <c r="F7" s="495">
        <v>1065</v>
      </c>
      <c r="G7" s="496">
        <v>2116</v>
      </c>
    </row>
    <row r="8" spans="1:7" ht="14.45" customHeight="1" thickBot="1" x14ac:dyDescent="0.25">
      <c r="A8" s="502" t="s">
        <v>362</v>
      </c>
      <c r="B8" s="497"/>
      <c r="C8" s="497"/>
      <c r="D8" s="497">
        <v>5</v>
      </c>
      <c r="E8" s="498"/>
      <c r="F8" s="498"/>
      <c r="G8" s="499">
        <v>1750</v>
      </c>
    </row>
    <row r="9" spans="1:7" ht="14.45" customHeight="1" x14ac:dyDescent="0.2">
      <c r="A9" s="425" t="s">
        <v>209</v>
      </c>
    </row>
    <row r="10" spans="1:7" ht="14.45" customHeight="1" x14ac:dyDescent="0.2">
      <c r="A10" s="426" t="s">
        <v>314</v>
      </c>
    </row>
    <row r="11" spans="1:7" ht="14.45" customHeight="1" x14ac:dyDescent="0.2">
      <c r="A11" s="425" t="s">
        <v>360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E180D902-647F-436A-905B-1660A321668B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2" hidden="1" customWidth="1" outlineLevel="1"/>
    <col min="9" max="10" width="9.28515625" style="115" hidden="1" customWidth="1"/>
    <col min="11" max="12" width="11.140625" style="192" customWidth="1"/>
    <col min="13" max="14" width="9.28515625" style="115" hidden="1" customWidth="1"/>
    <col min="15" max="16" width="11.140625" style="192" customWidth="1"/>
    <col min="17" max="17" width="11.140625" style="195" customWidth="1"/>
    <col min="18" max="18" width="11.140625" style="192" customWidth="1"/>
    <col min="19" max="16384" width="8.85546875" style="115"/>
  </cols>
  <sheetData>
    <row r="1" spans="1:18" ht="18.600000000000001" customHeight="1" thickBot="1" x14ac:dyDescent="0.35">
      <c r="A1" s="288" t="s">
        <v>373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ht="14.45" customHeight="1" thickBot="1" x14ac:dyDescent="0.25">
      <c r="A2" s="214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5" customHeight="1" thickBot="1" x14ac:dyDescent="0.25">
      <c r="F3" s="76" t="s">
        <v>120</v>
      </c>
      <c r="G3" s="88">
        <f t="shared" ref="G3:P3" si="0">SUBTOTAL(9,G6:G1048576)</f>
        <v>0</v>
      </c>
      <c r="H3" s="89">
        <f t="shared" si="0"/>
        <v>0</v>
      </c>
      <c r="I3" s="65"/>
      <c r="J3" s="65"/>
      <c r="K3" s="89">
        <f t="shared" si="0"/>
        <v>3</v>
      </c>
      <c r="L3" s="89">
        <f t="shared" si="0"/>
        <v>1065</v>
      </c>
      <c r="M3" s="65"/>
      <c r="N3" s="65"/>
      <c r="O3" s="89">
        <f t="shared" si="0"/>
        <v>12</v>
      </c>
      <c r="P3" s="89">
        <f t="shared" si="0"/>
        <v>4045</v>
      </c>
      <c r="Q3" s="66">
        <f>IF(L3=0,0,P3/L3)</f>
        <v>3.7981220657276995</v>
      </c>
      <c r="R3" s="90">
        <f>IF(O3=0,0,P3/O3)</f>
        <v>337.08333333333331</v>
      </c>
    </row>
    <row r="4" spans="1:18" ht="14.45" customHeight="1" x14ac:dyDescent="0.2">
      <c r="A4" s="380" t="s">
        <v>174</v>
      </c>
      <c r="B4" s="380" t="s">
        <v>91</v>
      </c>
      <c r="C4" s="388" t="s">
        <v>0</v>
      </c>
      <c r="D4" s="382" t="s">
        <v>92</v>
      </c>
      <c r="E4" s="387" t="s">
        <v>67</v>
      </c>
      <c r="F4" s="383" t="s">
        <v>66</v>
      </c>
      <c r="G4" s="384">
        <v>2015</v>
      </c>
      <c r="H4" s="385"/>
      <c r="I4" s="87"/>
      <c r="J4" s="87"/>
      <c r="K4" s="384">
        <v>2018</v>
      </c>
      <c r="L4" s="385"/>
      <c r="M4" s="87"/>
      <c r="N4" s="87"/>
      <c r="O4" s="384">
        <v>2019</v>
      </c>
      <c r="P4" s="385"/>
      <c r="Q4" s="386" t="s">
        <v>2</v>
      </c>
      <c r="R4" s="381" t="s">
        <v>94</v>
      </c>
    </row>
    <row r="5" spans="1:18" ht="14.45" customHeight="1" thickBot="1" x14ac:dyDescent="0.25">
      <c r="A5" s="503"/>
      <c r="B5" s="503"/>
      <c r="C5" s="504"/>
      <c r="D5" s="505"/>
      <c r="E5" s="506"/>
      <c r="F5" s="507"/>
      <c r="G5" s="508" t="s">
        <v>68</v>
      </c>
      <c r="H5" s="509" t="s">
        <v>11</v>
      </c>
      <c r="I5" s="510"/>
      <c r="J5" s="510"/>
      <c r="K5" s="508" t="s">
        <v>68</v>
      </c>
      <c r="L5" s="509" t="s">
        <v>11</v>
      </c>
      <c r="M5" s="510"/>
      <c r="N5" s="510"/>
      <c r="O5" s="508" t="s">
        <v>68</v>
      </c>
      <c r="P5" s="509" t="s">
        <v>11</v>
      </c>
      <c r="Q5" s="511"/>
      <c r="R5" s="512"/>
    </row>
    <row r="6" spans="1:18" ht="14.45" customHeight="1" x14ac:dyDescent="0.2">
      <c r="A6" s="455" t="s">
        <v>364</v>
      </c>
      <c r="B6" s="456" t="s">
        <v>365</v>
      </c>
      <c r="C6" s="456" t="s">
        <v>358</v>
      </c>
      <c r="D6" s="456" t="s">
        <v>366</v>
      </c>
      <c r="E6" s="456" t="s">
        <v>367</v>
      </c>
      <c r="F6" s="456" t="s">
        <v>368</v>
      </c>
      <c r="G6" s="102"/>
      <c r="H6" s="102"/>
      <c r="I6" s="456"/>
      <c r="J6" s="456"/>
      <c r="K6" s="102">
        <v>3</v>
      </c>
      <c r="L6" s="102">
        <v>1065</v>
      </c>
      <c r="M6" s="456">
        <v>1</v>
      </c>
      <c r="N6" s="456">
        <v>355</v>
      </c>
      <c r="O6" s="102">
        <v>2</v>
      </c>
      <c r="P6" s="102">
        <v>716</v>
      </c>
      <c r="Q6" s="461">
        <v>0.67230046948356803</v>
      </c>
      <c r="R6" s="513">
        <v>358</v>
      </c>
    </row>
    <row r="7" spans="1:18" ht="14.45" customHeight="1" x14ac:dyDescent="0.2">
      <c r="A7" s="470" t="s">
        <v>364</v>
      </c>
      <c r="B7" s="471" t="s">
        <v>365</v>
      </c>
      <c r="C7" s="471" t="s">
        <v>358</v>
      </c>
      <c r="D7" s="471" t="s">
        <v>366</v>
      </c>
      <c r="E7" s="471" t="s">
        <v>369</v>
      </c>
      <c r="F7" s="471" t="s">
        <v>370</v>
      </c>
      <c r="G7" s="494"/>
      <c r="H7" s="494"/>
      <c r="I7" s="471"/>
      <c r="J7" s="471"/>
      <c r="K7" s="494"/>
      <c r="L7" s="494"/>
      <c r="M7" s="471"/>
      <c r="N7" s="471"/>
      <c r="O7" s="494">
        <v>1</v>
      </c>
      <c r="P7" s="494">
        <v>179</v>
      </c>
      <c r="Q7" s="476"/>
      <c r="R7" s="514">
        <v>179</v>
      </c>
    </row>
    <row r="8" spans="1:18" ht="14.45" customHeight="1" thickBot="1" x14ac:dyDescent="0.25">
      <c r="A8" s="462" t="s">
        <v>364</v>
      </c>
      <c r="B8" s="463" t="s">
        <v>365</v>
      </c>
      <c r="C8" s="463" t="s">
        <v>358</v>
      </c>
      <c r="D8" s="463" t="s">
        <v>366</v>
      </c>
      <c r="E8" s="463" t="s">
        <v>371</v>
      </c>
      <c r="F8" s="463" t="s">
        <v>372</v>
      </c>
      <c r="G8" s="497"/>
      <c r="H8" s="497"/>
      <c r="I8" s="463"/>
      <c r="J8" s="463"/>
      <c r="K8" s="497"/>
      <c r="L8" s="497"/>
      <c r="M8" s="463"/>
      <c r="N8" s="463"/>
      <c r="O8" s="497">
        <v>9</v>
      </c>
      <c r="P8" s="497">
        <v>3150</v>
      </c>
      <c r="Q8" s="468"/>
      <c r="R8" s="515">
        <v>350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425BFCA-C4F2-4E37-839B-681C999A776C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2" hidden="1" customWidth="1" outlineLevel="1"/>
    <col min="10" max="11" width="9.28515625" style="115" hidden="1" customWidth="1"/>
    <col min="12" max="13" width="11.140625" style="192" customWidth="1"/>
    <col min="14" max="15" width="9.28515625" style="115" hidden="1" customWidth="1"/>
    <col min="16" max="17" width="11.140625" style="192" customWidth="1"/>
    <col min="18" max="18" width="11.140625" style="195" customWidth="1"/>
    <col min="19" max="19" width="11.140625" style="192" customWidth="1"/>
    <col min="20" max="16384" width="8.85546875" style="115"/>
  </cols>
  <sheetData>
    <row r="1" spans="1:19" ht="18.600000000000001" customHeight="1" thickBot="1" x14ac:dyDescent="0.35">
      <c r="A1" s="288" t="s">
        <v>374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4.45" customHeight="1" thickBot="1" x14ac:dyDescent="0.25">
      <c r="A2" s="214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5" customHeight="1" thickBot="1" x14ac:dyDescent="0.25">
      <c r="G3" s="76" t="s">
        <v>120</v>
      </c>
      <c r="H3" s="88">
        <f t="shared" ref="H3:Q3" si="0">SUBTOTAL(9,H6:H1048576)</f>
        <v>0</v>
      </c>
      <c r="I3" s="89">
        <f t="shared" si="0"/>
        <v>0</v>
      </c>
      <c r="J3" s="65"/>
      <c r="K3" s="65"/>
      <c r="L3" s="89">
        <f t="shared" si="0"/>
        <v>3</v>
      </c>
      <c r="M3" s="89">
        <f t="shared" si="0"/>
        <v>1065</v>
      </c>
      <c r="N3" s="65"/>
      <c r="O3" s="65"/>
      <c r="P3" s="89">
        <f t="shared" si="0"/>
        <v>12</v>
      </c>
      <c r="Q3" s="89">
        <f t="shared" si="0"/>
        <v>4045</v>
      </c>
      <c r="R3" s="66">
        <f>IF(M3=0,0,Q3/M3)</f>
        <v>3.7981220657276995</v>
      </c>
      <c r="S3" s="90">
        <f>IF(P3=0,0,Q3/P3)</f>
        <v>337.08333333333331</v>
      </c>
    </row>
    <row r="4" spans="1:19" ht="14.45" customHeight="1" x14ac:dyDescent="0.2">
      <c r="A4" s="380" t="s">
        <v>174</v>
      </c>
      <c r="B4" s="380" t="s">
        <v>91</v>
      </c>
      <c r="C4" s="388" t="s">
        <v>0</v>
      </c>
      <c r="D4" s="229" t="s">
        <v>121</v>
      </c>
      <c r="E4" s="382" t="s">
        <v>92</v>
      </c>
      <c r="F4" s="387" t="s">
        <v>67</v>
      </c>
      <c r="G4" s="383" t="s">
        <v>66</v>
      </c>
      <c r="H4" s="384">
        <v>2015</v>
      </c>
      <c r="I4" s="385"/>
      <c r="J4" s="87"/>
      <c r="K4" s="87"/>
      <c r="L4" s="384">
        <v>2018</v>
      </c>
      <c r="M4" s="385"/>
      <c r="N4" s="87"/>
      <c r="O4" s="87"/>
      <c r="P4" s="384">
        <v>2019</v>
      </c>
      <c r="Q4" s="385"/>
      <c r="R4" s="386" t="s">
        <v>2</v>
      </c>
      <c r="S4" s="381" t="s">
        <v>94</v>
      </c>
    </row>
    <row r="5" spans="1:19" ht="14.45" customHeight="1" thickBot="1" x14ac:dyDescent="0.25">
      <c r="A5" s="503"/>
      <c r="B5" s="503"/>
      <c r="C5" s="504"/>
      <c r="D5" s="516"/>
      <c r="E5" s="505"/>
      <c r="F5" s="506"/>
      <c r="G5" s="507"/>
      <c r="H5" s="508" t="s">
        <v>68</v>
      </c>
      <c r="I5" s="509" t="s">
        <v>11</v>
      </c>
      <c r="J5" s="510"/>
      <c r="K5" s="510"/>
      <c r="L5" s="508" t="s">
        <v>68</v>
      </c>
      <c r="M5" s="509" t="s">
        <v>11</v>
      </c>
      <c r="N5" s="510"/>
      <c r="O5" s="510"/>
      <c r="P5" s="508" t="s">
        <v>68</v>
      </c>
      <c r="Q5" s="509" t="s">
        <v>11</v>
      </c>
      <c r="R5" s="511"/>
      <c r="S5" s="512"/>
    </row>
    <row r="6" spans="1:19" ht="14.45" customHeight="1" x14ac:dyDescent="0.2">
      <c r="A6" s="455" t="s">
        <v>364</v>
      </c>
      <c r="B6" s="456" t="s">
        <v>365</v>
      </c>
      <c r="C6" s="456" t="s">
        <v>358</v>
      </c>
      <c r="D6" s="456" t="s">
        <v>316</v>
      </c>
      <c r="E6" s="456" t="s">
        <v>366</v>
      </c>
      <c r="F6" s="456" t="s">
        <v>369</v>
      </c>
      <c r="G6" s="456" t="s">
        <v>370</v>
      </c>
      <c r="H6" s="102"/>
      <c r="I6" s="102"/>
      <c r="J6" s="456"/>
      <c r="K6" s="456"/>
      <c r="L6" s="102"/>
      <c r="M6" s="102"/>
      <c r="N6" s="456"/>
      <c r="O6" s="456"/>
      <c r="P6" s="102">
        <v>1</v>
      </c>
      <c r="Q6" s="102">
        <v>179</v>
      </c>
      <c r="R6" s="461"/>
      <c r="S6" s="513">
        <v>179</v>
      </c>
    </row>
    <row r="7" spans="1:19" ht="14.45" customHeight="1" x14ac:dyDescent="0.2">
      <c r="A7" s="470" t="s">
        <v>364</v>
      </c>
      <c r="B7" s="471" t="s">
        <v>365</v>
      </c>
      <c r="C7" s="471" t="s">
        <v>358</v>
      </c>
      <c r="D7" s="471" t="s">
        <v>317</v>
      </c>
      <c r="E7" s="471" t="s">
        <v>366</v>
      </c>
      <c r="F7" s="471" t="s">
        <v>367</v>
      </c>
      <c r="G7" s="471" t="s">
        <v>368</v>
      </c>
      <c r="H7" s="494"/>
      <c r="I7" s="494"/>
      <c r="J7" s="471"/>
      <c r="K7" s="471"/>
      <c r="L7" s="494">
        <v>3</v>
      </c>
      <c r="M7" s="494">
        <v>1065</v>
      </c>
      <c r="N7" s="471">
        <v>1</v>
      </c>
      <c r="O7" s="471">
        <v>355</v>
      </c>
      <c r="P7" s="494">
        <v>2</v>
      </c>
      <c r="Q7" s="494">
        <v>716</v>
      </c>
      <c r="R7" s="476">
        <v>0.67230046948356803</v>
      </c>
      <c r="S7" s="514">
        <v>358</v>
      </c>
    </row>
    <row r="8" spans="1:19" ht="14.45" customHeight="1" x14ac:dyDescent="0.2">
      <c r="A8" s="470" t="s">
        <v>364</v>
      </c>
      <c r="B8" s="471" t="s">
        <v>365</v>
      </c>
      <c r="C8" s="471" t="s">
        <v>358</v>
      </c>
      <c r="D8" s="471" t="s">
        <v>317</v>
      </c>
      <c r="E8" s="471" t="s">
        <v>366</v>
      </c>
      <c r="F8" s="471" t="s">
        <v>371</v>
      </c>
      <c r="G8" s="471" t="s">
        <v>372</v>
      </c>
      <c r="H8" s="494"/>
      <c r="I8" s="494"/>
      <c r="J8" s="471"/>
      <c r="K8" s="471"/>
      <c r="L8" s="494"/>
      <c r="M8" s="494"/>
      <c r="N8" s="471"/>
      <c r="O8" s="471"/>
      <c r="P8" s="494">
        <v>4</v>
      </c>
      <c r="Q8" s="494">
        <v>1400</v>
      </c>
      <c r="R8" s="476"/>
      <c r="S8" s="514">
        <v>350</v>
      </c>
    </row>
    <row r="9" spans="1:19" ht="14.45" customHeight="1" thickBot="1" x14ac:dyDescent="0.25">
      <c r="A9" s="462" t="s">
        <v>364</v>
      </c>
      <c r="B9" s="463" t="s">
        <v>365</v>
      </c>
      <c r="C9" s="463" t="s">
        <v>358</v>
      </c>
      <c r="D9" s="463" t="s">
        <v>362</v>
      </c>
      <c r="E9" s="463" t="s">
        <v>366</v>
      </c>
      <c r="F9" s="463" t="s">
        <v>371</v>
      </c>
      <c r="G9" s="463" t="s">
        <v>372</v>
      </c>
      <c r="H9" s="497"/>
      <c r="I9" s="497"/>
      <c r="J9" s="463"/>
      <c r="K9" s="463"/>
      <c r="L9" s="497"/>
      <c r="M9" s="497"/>
      <c r="N9" s="463"/>
      <c r="O9" s="463"/>
      <c r="P9" s="497">
        <v>5</v>
      </c>
      <c r="Q9" s="497">
        <v>1750</v>
      </c>
      <c r="R9" s="468"/>
      <c r="S9" s="515">
        <v>350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A2A8EBF0-18CE-4F43-9B41-6DD9887A9903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5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5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5" customWidth="1"/>
    <col min="20" max="16384" width="8.85546875" style="115"/>
  </cols>
  <sheetData>
    <row r="1" spans="1:19" ht="18.600000000000001" customHeight="1" thickBot="1" x14ac:dyDescent="0.35">
      <c r="A1" s="300" t="s">
        <v>119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5" customHeight="1" thickBot="1" x14ac:dyDescent="0.25">
      <c r="A2" s="214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5" customHeight="1" thickBot="1" x14ac:dyDescent="0.25">
      <c r="A3" s="202" t="s">
        <v>120</v>
      </c>
      <c r="B3" s="203">
        <f>SUBTOTAL(9,B6:B1048576)</f>
        <v>33349</v>
      </c>
      <c r="C3" s="204">
        <f t="shared" ref="C3:R3" si="0">SUBTOTAL(9,C6:C1048576)</f>
        <v>9.451002911494184</v>
      </c>
      <c r="D3" s="204">
        <f t="shared" si="0"/>
        <v>54882</v>
      </c>
      <c r="E3" s="204">
        <f t="shared" si="0"/>
        <v>18</v>
      </c>
      <c r="F3" s="204">
        <f t="shared" si="0"/>
        <v>55100</v>
      </c>
      <c r="G3" s="207">
        <f>IF(D3&lt;&gt;0,F3/D3,"")</f>
        <v>1.0039721584490362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5" customHeight="1" x14ac:dyDescent="0.2">
      <c r="A4" s="373" t="s">
        <v>101</v>
      </c>
      <c r="B4" s="374" t="s">
        <v>95</v>
      </c>
      <c r="C4" s="375"/>
      <c r="D4" s="375"/>
      <c r="E4" s="375"/>
      <c r="F4" s="375"/>
      <c r="G4" s="377"/>
      <c r="H4" s="374" t="s">
        <v>96</v>
      </c>
      <c r="I4" s="375"/>
      <c r="J4" s="375"/>
      <c r="K4" s="375"/>
      <c r="L4" s="375"/>
      <c r="M4" s="377"/>
      <c r="N4" s="374" t="s">
        <v>97</v>
      </c>
      <c r="O4" s="375"/>
      <c r="P4" s="375"/>
      <c r="Q4" s="375"/>
      <c r="R4" s="375"/>
      <c r="S4" s="377"/>
    </row>
    <row r="5" spans="1:19" ht="14.45" customHeight="1" thickBot="1" x14ac:dyDescent="0.25">
      <c r="A5" s="478"/>
      <c r="B5" s="479">
        <v>2015</v>
      </c>
      <c r="C5" s="480"/>
      <c r="D5" s="480">
        <v>2018</v>
      </c>
      <c r="E5" s="480"/>
      <c r="F5" s="480">
        <v>2019</v>
      </c>
      <c r="G5" s="517" t="s">
        <v>2</v>
      </c>
      <c r="H5" s="479">
        <v>2015</v>
      </c>
      <c r="I5" s="480"/>
      <c r="J5" s="480">
        <v>2018</v>
      </c>
      <c r="K5" s="480"/>
      <c r="L5" s="480">
        <v>2019</v>
      </c>
      <c r="M5" s="517" t="s">
        <v>2</v>
      </c>
      <c r="N5" s="479">
        <v>2015</v>
      </c>
      <c r="O5" s="480"/>
      <c r="P5" s="480">
        <v>2018</v>
      </c>
      <c r="Q5" s="480"/>
      <c r="R5" s="480">
        <v>2019</v>
      </c>
      <c r="S5" s="517" t="s">
        <v>2</v>
      </c>
    </row>
    <row r="6" spans="1:19" ht="14.45" customHeight="1" x14ac:dyDescent="0.2">
      <c r="A6" s="500" t="s">
        <v>375</v>
      </c>
      <c r="B6" s="492">
        <v>2659</v>
      </c>
      <c r="C6" s="456">
        <v>1.361495135688684</v>
      </c>
      <c r="D6" s="492">
        <v>1953</v>
      </c>
      <c r="E6" s="456">
        <v>1</v>
      </c>
      <c r="F6" s="492">
        <v>3222</v>
      </c>
      <c r="G6" s="461">
        <v>1.6497695852534562</v>
      </c>
      <c r="H6" s="492"/>
      <c r="I6" s="456"/>
      <c r="J6" s="492"/>
      <c r="K6" s="456"/>
      <c r="L6" s="492"/>
      <c r="M6" s="461"/>
      <c r="N6" s="492"/>
      <c r="O6" s="456"/>
      <c r="P6" s="492"/>
      <c r="Q6" s="456"/>
      <c r="R6" s="492"/>
      <c r="S6" s="108"/>
    </row>
    <row r="7" spans="1:19" ht="14.45" customHeight="1" x14ac:dyDescent="0.2">
      <c r="A7" s="501" t="s">
        <v>376</v>
      </c>
      <c r="B7" s="495">
        <v>2661</v>
      </c>
      <c r="C7" s="471">
        <v>0.25837459947567726</v>
      </c>
      <c r="D7" s="495">
        <v>10299</v>
      </c>
      <c r="E7" s="471">
        <v>1</v>
      </c>
      <c r="F7" s="495">
        <v>3401</v>
      </c>
      <c r="G7" s="476">
        <v>0.33022623555685016</v>
      </c>
      <c r="H7" s="495"/>
      <c r="I7" s="471"/>
      <c r="J7" s="495"/>
      <c r="K7" s="471"/>
      <c r="L7" s="495"/>
      <c r="M7" s="476"/>
      <c r="N7" s="495"/>
      <c r="O7" s="471"/>
      <c r="P7" s="495"/>
      <c r="Q7" s="471"/>
      <c r="R7" s="495"/>
      <c r="S7" s="477"/>
    </row>
    <row r="8" spans="1:19" ht="14.45" customHeight="1" x14ac:dyDescent="0.2">
      <c r="A8" s="501" t="s">
        <v>377</v>
      </c>
      <c r="B8" s="495">
        <v>6742</v>
      </c>
      <c r="C8" s="471">
        <v>1.1861365235749473</v>
      </c>
      <c r="D8" s="495">
        <v>5684</v>
      </c>
      <c r="E8" s="471">
        <v>1</v>
      </c>
      <c r="F8" s="495">
        <v>7697</v>
      </c>
      <c r="G8" s="476">
        <v>1.3541520056298382</v>
      </c>
      <c r="H8" s="495"/>
      <c r="I8" s="471"/>
      <c r="J8" s="495"/>
      <c r="K8" s="471"/>
      <c r="L8" s="495"/>
      <c r="M8" s="476"/>
      <c r="N8" s="495"/>
      <c r="O8" s="471"/>
      <c r="P8" s="495"/>
      <c r="Q8" s="471"/>
      <c r="R8" s="495"/>
      <c r="S8" s="477"/>
    </row>
    <row r="9" spans="1:19" ht="14.45" customHeight="1" x14ac:dyDescent="0.2">
      <c r="A9" s="501" t="s">
        <v>378</v>
      </c>
      <c r="B9" s="495"/>
      <c r="C9" s="471"/>
      <c r="D9" s="495">
        <v>355</v>
      </c>
      <c r="E9" s="471">
        <v>1</v>
      </c>
      <c r="F9" s="495">
        <v>895</v>
      </c>
      <c r="G9" s="476">
        <v>2.5211267605633805</v>
      </c>
      <c r="H9" s="495"/>
      <c r="I9" s="471"/>
      <c r="J9" s="495"/>
      <c r="K9" s="471"/>
      <c r="L9" s="495"/>
      <c r="M9" s="476"/>
      <c r="N9" s="495"/>
      <c r="O9" s="471"/>
      <c r="P9" s="495"/>
      <c r="Q9" s="471"/>
      <c r="R9" s="495"/>
      <c r="S9" s="477"/>
    </row>
    <row r="10" spans="1:19" ht="14.45" customHeight="1" x14ac:dyDescent="0.2">
      <c r="A10" s="501" t="s">
        <v>379</v>
      </c>
      <c r="B10" s="495"/>
      <c r="C10" s="471"/>
      <c r="D10" s="495">
        <v>355</v>
      </c>
      <c r="E10" s="471">
        <v>1</v>
      </c>
      <c r="F10" s="495"/>
      <c r="G10" s="476"/>
      <c r="H10" s="495"/>
      <c r="I10" s="471"/>
      <c r="J10" s="495"/>
      <c r="K10" s="471"/>
      <c r="L10" s="495"/>
      <c r="M10" s="476"/>
      <c r="N10" s="495"/>
      <c r="O10" s="471"/>
      <c r="P10" s="495"/>
      <c r="Q10" s="471"/>
      <c r="R10" s="495"/>
      <c r="S10" s="477"/>
    </row>
    <row r="11" spans="1:19" ht="14.45" customHeight="1" x14ac:dyDescent="0.2">
      <c r="A11" s="501" t="s">
        <v>380</v>
      </c>
      <c r="B11" s="495"/>
      <c r="C11" s="471"/>
      <c r="D11" s="495">
        <v>355</v>
      </c>
      <c r="E11" s="471">
        <v>1</v>
      </c>
      <c r="F11" s="495"/>
      <c r="G11" s="476"/>
      <c r="H11" s="495"/>
      <c r="I11" s="471"/>
      <c r="J11" s="495"/>
      <c r="K11" s="471"/>
      <c r="L11" s="495"/>
      <c r="M11" s="476"/>
      <c r="N11" s="495"/>
      <c r="O11" s="471"/>
      <c r="P11" s="495"/>
      <c r="Q11" s="471"/>
      <c r="R11" s="495"/>
      <c r="S11" s="477"/>
    </row>
    <row r="12" spans="1:19" ht="14.45" customHeight="1" x14ac:dyDescent="0.2">
      <c r="A12" s="501" t="s">
        <v>381</v>
      </c>
      <c r="B12" s="495">
        <v>5854</v>
      </c>
      <c r="C12" s="471">
        <v>0.2816589684372594</v>
      </c>
      <c r="D12" s="495">
        <v>20784</v>
      </c>
      <c r="E12" s="471">
        <v>1</v>
      </c>
      <c r="F12" s="495">
        <v>18966</v>
      </c>
      <c r="G12" s="476">
        <v>0.91252886836027713</v>
      </c>
      <c r="H12" s="495"/>
      <c r="I12" s="471"/>
      <c r="J12" s="495"/>
      <c r="K12" s="471"/>
      <c r="L12" s="495"/>
      <c r="M12" s="476"/>
      <c r="N12" s="495"/>
      <c r="O12" s="471"/>
      <c r="P12" s="495"/>
      <c r="Q12" s="471"/>
      <c r="R12" s="495"/>
      <c r="S12" s="477"/>
    </row>
    <row r="13" spans="1:19" ht="14.45" customHeight="1" x14ac:dyDescent="0.2">
      <c r="A13" s="501" t="s">
        <v>382</v>
      </c>
      <c r="B13" s="495"/>
      <c r="C13" s="471"/>
      <c r="D13" s="495">
        <v>355</v>
      </c>
      <c r="E13" s="471">
        <v>1</v>
      </c>
      <c r="F13" s="495">
        <v>895</v>
      </c>
      <c r="G13" s="476">
        <v>2.5211267605633805</v>
      </c>
      <c r="H13" s="495"/>
      <c r="I13" s="471"/>
      <c r="J13" s="495"/>
      <c r="K13" s="471"/>
      <c r="L13" s="495"/>
      <c r="M13" s="476"/>
      <c r="N13" s="495"/>
      <c r="O13" s="471"/>
      <c r="P13" s="495"/>
      <c r="Q13" s="471"/>
      <c r="R13" s="495"/>
      <c r="S13" s="477"/>
    </row>
    <row r="14" spans="1:19" ht="14.45" customHeight="1" x14ac:dyDescent="0.2">
      <c r="A14" s="501" t="s">
        <v>383</v>
      </c>
      <c r="B14" s="495">
        <v>2838</v>
      </c>
      <c r="C14" s="471">
        <v>1.0653153153153154</v>
      </c>
      <c r="D14" s="495">
        <v>2664</v>
      </c>
      <c r="E14" s="471">
        <v>1</v>
      </c>
      <c r="F14" s="495">
        <v>3751</v>
      </c>
      <c r="G14" s="476">
        <v>1.4080330330330331</v>
      </c>
      <c r="H14" s="495"/>
      <c r="I14" s="471"/>
      <c r="J14" s="495"/>
      <c r="K14" s="471"/>
      <c r="L14" s="495"/>
      <c r="M14" s="476"/>
      <c r="N14" s="495"/>
      <c r="O14" s="471"/>
      <c r="P14" s="495"/>
      <c r="Q14" s="471"/>
      <c r="R14" s="495"/>
      <c r="S14" s="477"/>
    </row>
    <row r="15" spans="1:19" ht="14.45" customHeight="1" x14ac:dyDescent="0.2">
      <c r="A15" s="501" t="s">
        <v>384</v>
      </c>
      <c r="B15" s="495">
        <v>887</v>
      </c>
      <c r="C15" s="471"/>
      <c r="D15" s="495"/>
      <c r="E15" s="471"/>
      <c r="F15" s="495"/>
      <c r="G15" s="476"/>
      <c r="H15" s="495"/>
      <c r="I15" s="471"/>
      <c r="J15" s="495"/>
      <c r="K15" s="471"/>
      <c r="L15" s="495"/>
      <c r="M15" s="476"/>
      <c r="N15" s="495"/>
      <c r="O15" s="471"/>
      <c r="P15" s="495"/>
      <c r="Q15" s="471"/>
      <c r="R15" s="495"/>
      <c r="S15" s="477"/>
    </row>
    <row r="16" spans="1:19" ht="14.45" customHeight="1" x14ac:dyDescent="0.2">
      <c r="A16" s="501" t="s">
        <v>385</v>
      </c>
      <c r="B16" s="495"/>
      <c r="C16" s="471"/>
      <c r="D16" s="495"/>
      <c r="E16" s="471"/>
      <c r="F16" s="495">
        <v>358</v>
      </c>
      <c r="G16" s="476"/>
      <c r="H16" s="495"/>
      <c r="I16" s="471"/>
      <c r="J16" s="495"/>
      <c r="K16" s="471"/>
      <c r="L16" s="495"/>
      <c r="M16" s="476"/>
      <c r="N16" s="495"/>
      <c r="O16" s="471"/>
      <c r="P16" s="495"/>
      <c r="Q16" s="471"/>
      <c r="R16" s="495"/>
      <c r="S16" s="477"/>
    </row>
    <row r="17" spans="1:19" ht="14.45" customHeight="1" x14ac:dyDescent="0.2">
      <c r="A17" s="501" t="s">
        <v>386</v>
      </c>
      <c r="B17" s="495"/>
      <c r="C17" s="471"/>
      <c r="D17" s="495"/>
      <c r="E17" s="471"/>
      <c r="F17" s="495">
        <v>537</v>
      </c>
      <c r="G17" s="476"/>
      <c r="H17" s="495"/>
      <c r="I17" s="471"/>
      <c r="J17" s="495"/>
      <c r="K17" s="471"/>
      <c r="L17" s="495"/>
      <c r="M17" s="476"/>
      <c r="N17" s="495"/>
      <c r="O17" s="471"/>
      <c r="P17" s="495"/>
      <c r="Q17" s="471"/>
      <c r="R17" s="495"/>
      <c r="S17" s="477"/>
    </row>
    <row r="18" spans="1:19" ht="14.45" customHeight="1" x14ac:dyDescent="0.2">
      <c r="A18" s="501" t="s">
        <v>387</v>
      </c>
      <c r="B18" s="495"/>
      <c r="C18" s="471"/>
      <c r="D18" s="495">
        <v>710</v>
      </c>
      <c r="E18" s="471">
        <v>1</v>
      </c>
      <c r="F18" s="495">
        <v>0</v>
      </c>
      <c r="G18" s="476">
        <v>0</v>
      </c>
      <c r="H18" s="495"/>
      <c r="I18" s="471"/>
      <c r="J18" s="495"/>
      <c r="K18" s="471"/>
      <c r="L18" s="495"/>
      <c r="M18" s="476"/>
      <c r="N18" s="495"/>
      <c r="O18" s="471"/>
      <c r="P18" s="495"/>
      <c r="Q18" s="471"/>
      <c r="R18" s="495"/>
      <c r="S18" s="477"/>
    </row>
    <row r="19" spans="1:19" ht="14.45" customHeight="1" x14ac:dyDescent="0.2">
      <c r="A19" s="501" t="s">
        <v>388</v>
      </c>
      <c r="B19" s="495">
        <v>3193</v>
      </c>
      <c r="C19" s="471">
        <v>1.3834488734835355</v>
      </c>
      <c r="D19" s="495">
        <v>2308</v>
      </c>
      <c r="E19" s="471">
        <v>1</v>
      </c>
      <c r="F19" s="495">
        <v>537</v>
      </c>
      <c r="G19" s="476">
        <v>0.23266897746967072</v>
      </c>
      <c r="H19" s="495"/>
      <c r="I19" s="471"/>
      <c r="J19" s="495"/>
      <c r="K19" s="471"/>
      <c r="L19" s="495"/>
      <c r="M19" s="476"/>
      <c r="N19" s="495"/>
      <c r="O19" s="471"/>
      <c r="P19" s="495"/>
      <c r="Q19" s="471"/>
      <c r="R19" s="495"/>
      <c r="S19" s="477"/>
    </row>
    <row r="20" spans="1:19" ht="14.45" customHeight="1" x14ac:dyDescent="0.2">
      <c r="A20" s="501" t="s">
        <v>389</v>
      </c>
      <c r="B20" s="495">
        <v>710</v>
      </c>
      <c r="C20" s="471">
        <v>0.99859353023909991</v>
      </c>
      <c r="D20" s="495">
        <v>711</v>
      </c>
      <c r="E20" s="471">
        <v>1</v>
      </c>
      <c r="F20" s="495">
        <v>2319</v>
      </c>
      <c r="G20" s="476">
        <v>3.2616033755274261</v>
      </c>
      <c r="H20" s="495"/>
      <c r="I20" s="471"/>
      <c r="J20" s="495"/>
      <c r="K20" s="471"/>
      <c r="L20" s="495"/>
      <c r="M20" s="476"/>
      <c r="N20" s="495"/>
      <c r="O20" s="471"/>
      <c r="P20" s="495"/>
      <c r="Q20" s="471"/>
      <c r="R20" s="495"/>
      <c r="S20" s="477"/>
    </row>
    <row r="21" spans="1:19" ht="14.45" customHeight="1" x14ac:dyDescent="0.2">
      <c r="A21" s="501" t="s">
        <v>390</v>
      </c>
      <c r="B21" s="495"/>
      <c r="C21" s="471"/>
      <c r="D21" s="495">
        <v>888</v>
      </c>
      <c r="E21" s="471">
        <v>1</v>
      </c>
      <c r="F21" s="495">
        <v>1074</v>
      </c>
      <c r="G21" s="476">
        <v>1.2094594594594594</v>
      </c>
      <c r="H21" s="495"/>
      <c r="I21" s="471"/>
      <c r="J21" s="495"/>
      <c r="K21" s="471"/>
      <c r="L21" s="495"/>
      <c r="M21" s="476"/>
      <c r="N21" s="495"/>
      <c r="O21" s="471"/>
      <c r="P21" s="495"/>
      <c r="Q21" s="471"/>
      <c r="R21" s="495"/>
      <c r="S21" s="477"/>
    </row>
    <row r="22" spans="1:19" ht="14.45" customHeight="1" x14ac:dyDescent="0.2">
      <c r="A22" s="501" t="s">
        <v>391</v>
      </c>
      <c r="B22" s="495">
        <v>532</v>
      </c>
      <c r="C22" s="471">
        <v>0.24964805255748476</v>
      </c>
      <c r="D22" s="495">
        <v>2131</v>
      </c>
      <c r="E22" s="471">
        <v>1</v>
      </c>
      <c r="F22" s="495"/>
      <c r="G22" s="476"/>
      <c r="H22" s="495"/>
      <c r="I22" s="471"/>
      <c r="J22" s="495"/>
      <c r="K22" s="471"/>
      <c r="L22" s="495"/>
      <c r="M22" s="476"/>
      <c r="N22" s="495"/>
      <c r="O22" s="471"/>
      <c r="P22" s="495"/>
      <c r="Q22" s="471"/>
      <c r="R22" s="495"/>
      <c r="S22" s="477"/>
    </row>
    <row r="23" spans="1:19" ht="14.45" customHeight="1" x14ac:dyDescent="0.2">
      <c r="A23" s="501" t="s">
        <v>392</v>
      </c>
      <c r="B23" s="495">
        <v>5677</v>
      </c>
      <c r="C23" s="471">
        <v>1.5978046721080776</v>
      </c>
      <c r="D23" s="495">
        <v>3553</v>
      </c>
      <c r="E23" s="471">
        <v>1</v>
      </c>
      <c r="F23" s="495">
        <v>4833</v>
      </c>
      <c r="G23" s="476">
        <v>1.3602589361103292</v>
      </c>
      <c r="H23" s="495"/>
      <c r="I23" s="471"/>
      <c r="J23" s="495"/>
      <c r="K23" s="471"/>
      <c r="L23" s="495"/>
      <c r="M23" s="476"/>
      <c r="N23" s="495"/>
      <c r="O23" s="471"/>
      <c r="P23" s="495"/>
      <c r="Q23" s="471"/>
      <c r="R23" s="495"/>
      <c r="S23" s="477"/>
    </row>
    <row r="24" spans="1:19" ht="14.45" customHeight="1" x14ac:dyDescent="0.2">
      <c r="A24" s="501" t="s">
        <v>393</v>
      </c>
      <c r="B24" s="495">
        <v>177</v>
      </c>
      <c r="C24" s="471">
        <v>0.49859154929577465</v>
      </c>
      <c r="D24" s="495">
        <v>355</v>
      </c>
      <c r="E24" s="471">
        <v>1</v>
      </c>
      <c r="F24" s="495"/>
      <c r="G24" s="476"/>
      <c r="H24" s="495"/>
      <c r="I24" s="471"/>
      <c r="J24" s="495"/>
      <c r="K24" s="471"/>
      <c r="L24" s="495"/>
      <c r="M24" s="476"/>
      <c r="N24" s="495"/>
      <c r="O24" s="471"/>
      <c r="P24" s="495"/>
      <c r="Q24" s="471"/>
      <c r="R24" s="495"/>
      <c r="S24" s="477"/>
    </row>
    <row r="25" spans="1:19" ht="14.45" customHeight="1" x14ac:dyDescent="0.2">
      <c r="A25" s="501" t="s">
        <v>394</v>
      </c>
      <c r="B25" s="495">
        <v>710</v>
      </c>
      <c r="C25" s="471"/>
      <c r="D25" s="495"/>
      <c r="E25" s="471"/>
      <c r="F25" s="495">
        <v>1790</v>
      </c>
      <c r="G25" s="476"/>
      <c r="H25" s="495"/>
      <c r="I25" s="471"/>
      <c r="J25" s="495"/>
      <c r="K25" s="471"/>
      <c r="L25" s="495"/>
      <c r="M25" s="476"/>
      <c r="N25" s="495"/>
      <c r="O25" s="471"/>
      <c r="P25" s="495"/>
      <c r="Q25" s="471"/>
      <c r="R25" s="495"/>
      <c r="S25" s="477"/>
    </row>
    <row r="26" spans="1:19" ht="14.45" customHeight="1" x14ac:dyDescent="0.2">
      <c r="A26" s="501" t="s">
        <v>395</v>
      </c>
      <c r="B26" s="495">
        <v>709</v>
      </c>
      <c r="C26" s="471">
        <v>0.569935691318328</v>
      </c>
      <c r="D26" s="495">
        <v>1244</v>
      </c>
      <c r="E26" s="471">
        <v>1</v>
      </c>
      <c r="F26" s="495">
        <v>4467</v>
      </c>
      <c r="G26" s="476">
        <v>3.5908360128617365</v>
      </c>
      <c r="H26" s="495"/>
      <c r="I26" s="471"/>
      <c r="J26" s="495"/>
      <c r="K26" s="471"/>
      <c r="L26" s="495"/>
      <c r="M26" s="476"/>
      <c r="N26" s="495"/>
      <c r="O26" s="471"/>
      <c r="P26" s="495"/>
      <c r="Q26" s="471"/>
      <c r="R26" s="495"/>
      <c r="S26" s="477"/>
    </row>
    <row r="27" spans="1:19" ht="14.45" customHeight="1" thickBot="1" x14ac:dyDescent="0.25">
      <c r="A27" s="502" t="s">
        <v>396</v>
      </c>
      <c r="B27" s="498"/>
      <c r="C27" s="463"/>
      <c r="D27" s="498">
        <v>178</v>
      </c>
      <c r="E27" s="463">
        <v>1</v>
      </c>
      <c r="F27" s="498">
        <v>358</v>
      </c>
      <c r="G27" s="468">
        <v>2.0112359550561796</v>
      </c>
      <c r="H27" s="498"/>
      <c r="I27" s="463"/>
      <c r="J27" s="498"/>
      <c r="K27" s="463"/>
      <c r="L27" s="498"/>
      <c r="M27" s="468"/>
      <c r="N27" s="498"/>
      <c r="O27" s="463"/>
      <c r="P27" s="498"/>
      <c r="Q27" s="463"/>
      <c r="R27" s="498"/>
      <c r="S27" s="46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1E62839E-0744-4995-A6A2-819426181D18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4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2" hidden="1" customWidth="1" outlineLevel="1"/>
    <col min="8" max="9" width="9.28515625" style="192" hidden="1" customWidth="1"/>
    <col min="10" max="11" width="11.140625" style="192" customWidth="1"/>
    <col min="12" max="13" width="9.28515625" style="192" hidden="1" customWidth="1"/>
    <col min="14" max="15" width="11.140625" style="192" customWidth="1"/>
    <col min="16" max="16" width="11.140625" style="195" customWidth="1"/>
    <col min="17" max="17" width="11.140625" style="192" customWidth="1"/>
    <col min="18" max="16384" width="8.85546875" style="115"/>
  </cols>
  <sheetData>
    <row r="1" spans="1:17" ht="18.600000000000001" customHeight="1" thickBot="1" x14ac:dyDescent="0.35">
      <c r="A1" s="288" t="s">
        <v>418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5" customHeight="1" thickBot="1" x14ac:dyDescent="0.25">
      <c r="A2" s="214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5" customHeight="1" thickBot="1" x14ac:dyDescent="0.25">
      <c r="E3" s="76" t="s">
        <v>120</v>
      </c>
      <c r="F3" s="88">
        <f t="shared" ref="F3:O3" si="0">SUBTOTAL(9,F6:F1048576)</f>
        <v>115</v>
      </c>
      <c r="G3" s="89">
        <f t="shared" si="0"/>
        <v>33349</v>
      </c>
      <c r="H3" s="89"/>
      <c r="I3" s="89"/>
      <c r="J3" s="89">
        <f t="shared" si="0"/>
        <v>189</v>
      </c>
      <c r="K3" s="89">
        <f t="shared" si="0"/>
        <v>54882</v>
      </c>
      <c r="L3" s="89"/>
      <c r="M3" s="89"/>
      <c r="N3" s="89">
        <f t="shared" si="0"/>
        <v>201</v>
      </c>
      <c r="O3" s="89">
        <f t="shared" si="0"/>
        <v>55100</v>
      </c>
      <c r="P3" s="66">
        <f>IF(K3=0,0,O3/K3)</f>
        <v>1.0039721584490362</v>
      </c>
      <c r="Q3" s="90">
        <f>IF(N3=0,0,O3/N3)</f>
        <v>274.12935323383084</v>
      </c>
    </row>
    <row r="4" spans="1:17" ht="14.45" customHeight="1" x14ac:dyDescent="0.2">
      <c r="A4" s="382" t="s">
        <v>65</v>
      </c>
      <c r="B4" s="380" t="s">
        <v>91</v>
      </c>
      <c r="C4" s="382" t="s">
        <v>92</v>
      </c>
      <c r="D4" s="391" t="s">
        <v>93</v>
      </c>
      <c r="E4" s="383" t="s">
        <v>66</v>
      </c>
      <c r="F4" s="389">
        <v>2015</v>
      </c>
      <c r="G4" s="390"/>
      <c r="H4" s="91"/>
      <c r="I4" s="91"/>
      <c r="J4" s="389">
        <v>2018</v>
      </c>
      <c r="K4" s="390"/>
      <c r="L4" s="91"/>
      <c r="M4" s="91"/>
      <c r="N4" s="389">
        <v>2019</v>
      </c>
      <c r="O4" s="390"/>
      <c r="P4" s="392" t="s">
        <v>2</v>
      </c>
      <c r="Q4" s="381" t="s">
        <v>94</v>
      </c>
    </row>
    <row r="5" spans="1:17" ht="14.45" customHeight="1" thickBot="1" x14ac:dyDescent="0.25">
      <c r="A5" s="505"/>
      <c r="B5" s="503"/>
      <c r="C5" s="505"/>
      <c r="D5" s="518"/>
      <c r="E5" s="507"/>
      <c r="F5" s="519" t="s">
        <v>68</v>
      </c>
      <c r="G5" s="520" t="s">
        <v>11</v>
      </c>
      <c r="H5" s="521"/>
      <c r="I5" s="521"/>
      <c r="J5" s="519" t="s">
        <v>68</v>
      </c>
      <c r="K5" s="520" t="s">
        <v>11</v>
      </c>
      <c r="L5" s="521"/>
      <c r="M5" s="521"/>
      <c r="N5" s="519" t="s">
        <v>68</v>
      </c>
      <c r="O5" s="520" t="s">
        <v>11</v>
      </c>
      <c r="P5" s="522"/>
      <c r="Q5" s="512"/>
    </row>
    <row r="6" spans="1:17" ht="14.45" customHeight="1" x14ac:dyDescent="0.2">
      <c r="A6" s="455" t="s">
        <v>397</v>
      </c>
      <c r="B6" s="456" t="s">
        <v>365</v>
      </c>
      <c r="C6" s="456" t="s">
        <v>366</v>
      </c>
      <c r="D6" s="456" t="s">
        <v>367</v>
      </c>
      <c r="E6" s="456" t="s">
        <v>368</v>
      </c>
      <c r="F6" s="102">
        <v>4</v>
      </c>
      <c r="G6" s="102">
        <v>1420</v>
      </c>
      <c r="H6" s="102">
        <v>0.8</v>
      </c>
      <c r="I6" s="102">
        <v>355</v>
      </c>
      <c r="J6" s="102">
        <v>5</v>
      </c>
      <c r="K6" s="102">
        <v>1775</v>
      </c>
      <c r="L6" s="102">
        <v>1</v>
      </c>
      <c r="M6" s="102">
        <v>355</v>
      </c>
      <c r="N6" s="102">
        <v>7</v>
      </c>
      <c r="O6" s="102">
        <v>2506</v>
      </c>
      <c r="P6" s="461">
        <v>1.4118309859154929</v>
      </c>
      <c r="Q6" s="513">
        <v>358</v>
      </c>
    </row>
    <row r="7" spans="1:17" ht="14.45" customHeight="1" x14ac:dyDescent="0.2">
      <c r="A7" s="470" t="s">
        <v>397</v>
      </c>
      <c r="B7" s="471" t="s">
        <v>365</v>
      </c>
      <c r="C7" s="471" t="s">
        <v>366</v>
      </c>
      <c r="D7" s="471" t="s">
        <v>369</v>
      </c>
      <c r="E7" s="471" t="s">
        <v>370</v>
      </c>
      <c r="F7" s="494">
        <v>7</v>
      </c>
      <c r="G7" s="494">
        <v>1239</v>
      </c>
      <c r="H7" s="494">
        <v>6.9606741573033704</v>
      </c>
      <c r="I7" s="494">
        <v>177</v>
      </c>
      <c r="J7" s="494">
        <v>1</v>
      </c>
      <c r="K7" s="494">
        <v>178</v>
      </c>
      <c r="L7" s="494">
        <v>1</v>
      </c>
      <c r="M7" s="494">
        <v>178</v>
      </c>
      <c r="N7" s="494">
        <v>4</v>
      </c>
      <c r="O7" s="494">
        <v>716</v>
      </c>
      <c r="P7" s="476">
        <v>4.0224719101123592</v>
      </c>
      <c r="Q7" s="514">
        <v>179</v>
      </c>
    </row>
    <row r="8" spans="1:17" ht="14.45" customHeight="1" x14ac:dyDescent="0.2">
      <c r="A8" s="470" t="s">
        <v>398</v>
      </c>
      <c r="B8" s="471" t="s">
        <v>365</v>
      </c>
      <c r="C8" s="471" t="s">
        <v>366</v>
      </c>
      <c r="D8" s="471" t="s">
        <v>367</v>
      </c>
      <c r="E8" s="471" t="s">
        <v>368</v>
      </c>
      <c r="F8" s="494">
        <v>6</v>
      </c>
      <c r="G8" s="494">
        <v>2130</v>
      </c>
      <c r="H8" s="494">
        <v>0.24</v>
      </c>
      <c r="I8" s="494">
        <v>355</v>
      </c>
      <c r="J8" s="494">
        <v>25</v>
      </c>
      <c r="K8" s="494">
        <v>8875</v>
      </c>
      <c r="L8" s="494">
        <v>1</v>
      </c>
      <c r="M8" s="494">
        <v>355</v>
      </c>
      <c r="N8" s="494">
        <v>7</v>
      </c>
      <c r="O8" s="494">
        <v>2506</v>
      </c>
      <c r="P8" s="476">
        <v>0.28236619718309858</v>
      </c>
      <c r="Q8" s="514">
        <v>358</v>
      </c>
    </row>
    <row r="9" spans="1:17" ht="14.45" customHeight="1" x14ac:dyDescent="0.2">
      <c r="A9" s="470" t="s">
        <v>398</v>
      </c>
      <c r="B9" s="471" t="s">
        <v>365</v>
      </c>
      <c r="C9" s="471" t="s">
        <v>366</v>
      </c>
      <c r="D9" s="471" t="s">
        <v>369</v>
      </c>
      <c r="E9" s="471" t="s">
        <v>370</v>
      </c>
      <c r="F9" s="494">
        <v>3</v>
      </c>
      <c r="G9" s="494">
        <v>531</v>
      </c>
      <c r="H9" s="494">
        <v>0.3728932584269663</v>
      </c>
      <c r="I9" s="494">
        <v>177</v>
      </c>
      <c r="J9" s="494">
        <v>8</v>
      </c>
      <c r="K9" s="494">
        <v>1424</v>
      </c>
      <c r="L9" s="494">
        <v>1</v>
      </c>
      <c r="M9" s="494">
        <v>178</v>
      </c>
      <c r="N9" s="494">
        <v>5</v>
      </c>
      <c r="O9" s="494">
        <v>895</v>
      </c>
      <c r="P9" s="476">
        <v>0.6285112359550562</v>
      </c>
      <c r="Q9" s="514">
        <v>179</v>
      </c>
    </row>
    <row r="10" spans="1:17" ht="14.45" customHeight="1" x14ac:dyDescent="0.2">
      <c r="A10" s="470" t="s">
        <v>399</v>
      </c>
      <c r="B10" s="471" t="s">
        <v>365</v>
      </c>
      <c r="C10" s="471" t="s">
        <v>366</v>
      </c>
      <c r="D10" s="471" t="s">
        <v>367</v>
      </c>
      <c r="E10" s="471" t="s">
        <v>368</v>
      </c>
      <c r="F10" s="494">
        <v>16</v>
      </c>
      <c r="G10" s="494">
        <v>5680</v>
      </c>
      <c r="H10" s="494">
        <v>1.3333333333333333</v>
      </c>
      <c r="I10" s="494">
        <v>355</v>
      </c>
      <c r="J10" s="494">
        <v>12</v>
      </c>
      <c r="K10" s="494">
        <v>4260</v>
      </c>
      <c r="L10" s="494">
        <v>1</v>
      </c>
      <c r="M10" s="494">
        <v>355</v>
      </c>
      <c r="N10" s="494">
        <v>16</v>
      </c>
      <c r="O10" s="494">
        <v>5728</v>
      </c>
      <c r="P10" s="476">
        <v>1.3446009389671361</v>
      </c>
      <c r="Q10" s="514">
        <v>358</v>
      </c>
    </row>
    <row r="11" spans="1:17" ht="14.45" customHeight="1" x14ac:dyDescent="0.2">
      <c r="A11" s="470" t="s">
        <v>399</v>
      </c>
      <c r="B11" s="471" t="s">
        <v>365</v>
      </c>
      <c r="C11" s="471" t="s">
        <v>366</v>
      </c>
      <c r="D11" s="471" t="s">
        <v>369</v>
      </c>
      <c r="E11" s="471" t="s">
        <v>370</v>
      </c>
      <c r="F11" s="494">
        <v>6</v>
      </c>
      <c r="G11" s="494">
        <v>1062</v>
      </c>
      <c r="H11" s="494">
        <v>0.7457865168539326</v>
      </c>
      <c r="I11" s="494">
        <v>177</v>
      </c>
      <c r="J11" s="494">
        <v>8</v>
      </c>
      <c r="K11" s="494">
        <v>1424</v>
      </c>
      <c r="L11" s="494">
        <v>1</v>
      </c>
      <c r="M11" s="494">
        <v>178</v>
      </c>
      <c r="N11" s="494">
        <v>11</v>
      </c>
      <c r="O11" s="494">
        <v>1969</v>
      </c>
      <c r="P11" s="476">
        <v>1.3827247191011236</v>
      </c>
      <c r="Q11" s="514">
        <v>179</v>
      </c>
    </row>
    <row r="12" spans="1:17" ht="14.45" customHeight="1" x14ac:dyDescent="0.2">
      <c r="A12" s="470" t="s">
        <v>400</v>
      </c>
      <c r="B12" s="471" t="s">
        <v>365</v>
      </c>
      <c r="C12" s="471" t="s">
        <v>366</v>
      </c>
      <c r="D12" s="471" t="s">
        <v>367</v>
      </c>
      <c r="E12" s="471" t="s">
        <v>368</v>
      </c>
      <c r="F12" s="494"/>
      <c r="G12" s="494"/>
      <c r="H12" s="494"/>
      <c r="I12" s="494"/>
      <c r="J12" s="494">
        <v>1</v>
      </c>
      <c r="K12" s="494">
        <v>355</v>
      </c>
      <c r="L12" s="494">
        <v>1</v>
      </c>
      <c r="M12" s="494">
        <v>355</v>
      </c>
      <c r="N12" s="494">
        <v>2</v>
      </c>
      <c r="O12" s="494">
        <v>716</v>
      </c>
      <c r="P12" s="476">
        <v>2.0169014084507042</v>
      </c>
      <c r="Q12" s="514">
        <v>358</v>
      </c>
    </row>
    <row r="13" spans="1:17" ht="14.45" customHeight="1" x14ac:dyDescent="0.2">
      <c r="A13" s="470" t="s">
        <v>400</v>
      </c>
      <c r="B13" s="471" t="s">
        <v>365</v>
      </c>
      <c r="C13" s="471" t="s">
        <v>366</v>
      </c>
      <c r="D13" s="471" t="s">
        <v>369</v>
      </c>
      <c r="E13" s="471" t="s">
        <v>370</v>
      </c>
      <c r="F13" s="494"/>
      <c r="G13" s="494"/>
      <c r="H13" s="494"/>
      <c r="I13" s="494"/>
      <c r="J13" s="494"/>
      <c r="K13" s="494"/>
      <c r="L13" s="494"/>
      <c r="M13" s="494"/>
      <c r="N13" s="494">
        <v>1</v>
      </c>
      <c r="O13" s="494">
        <v>179</v>
      </c>
      <c r="P13" s="476"/>
      <c r="Q13" s="514">
        <v>179</v>
      </c>
    </row>
    <row r="14" spans="1:17" ht="14.45" customHeight="1" x14ac:dyDescent="0.2">
      <c r="A14" s="470" t="s">
        <v>401</v>
      </c>
      <c r="B14" s="471" t="s">
        <v>365</v>
      </c>
      <c r="C14" s="471" t="s">
        <v>366</v>
      </c>
      <c r="D14" s="471" t="s">
        <v>367</v>
      </c>
      <c r="E14" s="471" t="s">
        <v>368</v>
      </c>
      <c r="F14" s="494"/>
      <c r="G14" s="494"/>
      <c r="H14" s="494"/>
      <c r="I14" s="494"/>
      <c r="J14" s="494">
        <v>1</v>
      </c>
      <c r="K14" s="494">
        <v>355</v>
      </c>
      <c r="L14" s="494">
        <v>1</v>
      </c>
      <c r="M14" s="494">
        <v>355</v>
      </c>
      <c r="N14" s="494"/>
      <c r="O14" s="494"/>
      <c r="P14" s="476"/>
      <c r="Q14" s="514"/>
    </row>
    <row r="15" spans="1:17" ht="14.45" customHeight="1" x14ac:dyDescent="0.2">
      <c r="A15" s="470" t="s">
        <v>364</v>
      </c>
      <c r="B15" s="471" t="s">
        <v>365</v>
      </c>
      <c r="C15" s="471" t="s">
        <v>366</v>
      </c>
      <c r="D15" s="471" t="s">
        <v>367</v>
      </c>
      <c r="E15" s="471" t="s">
        <v>368</v>
      </c>
      <c r="F15" s="494"/>
      <c r="G15" s="494"/>
      <c r="H15" s="494"/>
      <c r="I15" s="494"/>
      <c r="J15" s="494">
        <v>1</v>
      </c>
      <c r="K15" s="494">
        <v>355</v>
      </c>
      <c r="L15" s="494">
        <v>1</v>
      </c>
      <c r="M15" s="494">
        <v>355</v>
      </c>
      <c r="N15" s="494"/>
      <c r="O15" s="494"/>
      <c r="P15" s="476"/>
      <c r="Q15" s="514"/>
    </row>
    <row r="16" spans="1:17" ht="14.45" customHeight="1" x14ac:dyDescent="0.2">
      <c r="A16" s="470" t="s">
        <v>402</v>
      </c>
      <c r="B16" s="471" t="s">
        <v>365</v>
      </c>
      <c r="C16" s="471" t="s">
        <v>366</v>
      </c>
      <c r="D16" s="471" t="s">
        <v>367</v>
      </c>
      <c r="E16" s="471" t="s">
        <v>368</v>
      </c>
      <c r="F16" s="494">
        <v>13</v>
      </c>
      <c r="G16" s="494">
        <v>4615</v>
      </c>
      <c r="H16" s="494">
        <v>0.30952380952380953</v>
      </c>
      <c r="I16" s="494">
        <v>355</v>
      </c>
      <c r="J16" s="494">
        <v>42</v>
      </c>
      <c r="K16" s="494">
        <v>14910</v>
      </c>
      <c r="L16" s="494">
        <v>1</v>
      </c>
      <c r="M16" s="494">
        <v>355</v>
      </c>
      <c r="N16" s="494">
        <v>37</v>
      </c>
      <c r="O16" s="494">
        <v>13246</v>
      </c>
      <c r="P16" s="476">
        <v>0.88839704896042926</v>
      </c>
      <c r="Q16" s="514">
        <v>358</v>
      </c>
    </row>
    <row r="17" spans="1:17" ht="14.45" customHeight="1" x14ac:dyDescent="0.2">
      <c r="A17" s="470" t="s">
        <v>402</v>
      </c>
      <c r="B17" s="471" t="s">
        <v>365</v>
      </c>
      <c r="C17" s="471" t="s">
        <v>366</v>
      </c>
      <c r="D17" s="471" t="s">
        <v>369</v>
      </c>
      <c r="E17" s="471" t="s">
        <v>370</v>
      </c>
      <c r="F17" s="494">
        <v>7</v>
      </c>
      <c r="G17" s="494">
        <v>1239</v>
      </c>
      <c r="H17" s="494">
        <v>0.21092951991828396</v>
      </c>
      <c r="I17" s="494">
        <v>177</v>
      </c>
      <c r="J17" s="494">
        <v>33</v>
      </c>
      <c r="K17" s="494">
        <v>5874</v>
      </c>
      <c r="L17" s="494">
        <v>1</v>
      </c>
      <c r="M17" s="494">
        <v>178</v>
      </c>
      <c r="N17" s="494">
        <v>30</v>
      </c>
      <c r="O17" s="494">
        <v>5370</v>
      </c>
      <c r="P17" s="476">
        <v>0.91419816138917265</v>
      </c>
      <c r="Q17" s="514">
        <v>179</v>
      </c>
    </row>
    <row r="18" spans="1:17" ht="14.45" customHeight="1" x14ac:dyDescent="0.2">
      <c r="A18" s="470" t="s">
        <v>402</v>
      </c>
      <c r="B18" s="471" t="s">
        <v>365</v>
      </c>
      <c r="C18" s="471" t="s">
        <v>366</v>
      </c>
      <c r="D18" s="471" t="s">
        <v>371</v>
      </c>
      <c r="E18" s="471" t="s">
        <v>372</v>
      </c>
      <c r="F18" s="494"/>
      <c r="G18" s="494"/>
      <c r="H18" s="494"/>
      <c r="I18" s="494"/>
      <c r="J18" s="494"/>
      <c r="K18" s="494"/>
      <c r="L18" s="494"/>
      <c r="M18" s="494"/>
      <c r="N18" s="494">
        <v>1</v>
      </c>
      <c r="O18" s="494">
        <v>350</v>
      </c>
      <c r="P18" s="476"/>
      <c r="Q18" s="514">
        <v>350</v>
      </c>
    </row>
    <row r="19" spans="1:17" ht="14.45" customHeight="1" x14ac:dyDescent="0.2">
      <c r="A19" s="470" t="s">
        <v>403</v>
      </c>
      <c r="B19" s="471" t="s">
        <v>365</v>
      </c>
      <c r="C19" s="471" t="s">
        <v>366</v>
      </c>
      <c r="D19" s="471" t="s">
        <v>367</v>
      </c>
      <c r="E19" s="471" t="s">
        <v>368</v>
      </c>
      <c r="F19" s="494"/>
      <c r="G19" s="494"/>
      <c r="H19" s="494"/>
      <c r="I19" s="494"/>
      <c r="J19" s="494">
        <v>1</v>
      </c>
      <c r="K19" s="494">
        <v>355</v>
      </c>
      <c r="L19" s="494">
        <v>1</v>
      </c>
      <c r="M19" s="494">
        <v>355</v>
      </c>
      <c r="N19" s="494">
        <v>2</v>
      </c>
      <c r="O19" s="494">
        <v>716</v>
      </c>
      <c r="P19" s="476">
        <v>2.0169014084507042</v>
      </c>
      <c r="Q19" s="514">
        <v>358</v>
      </c>
    </row>
    <row r="20" spans="1:17" ht="14.45" customHeight="1" x14ac:dyDescent="0.2">
      <c r="A20" s="470" t="s">
        <v>403</v>
      </c>
      <c r="B20" s="471" t="s">
        <v>365</v>
      </c>
      <c r="C20" s="471" t="s">
        <v>366</v>
      </c>
      <c r="D20" s="471" t="s">
        <v>369</v>
      </c>
      <c r="E20" s="471" t="s">
        <v>370</v>
      </c>
      <c r="F20" s="494"/>
      <c r="G20" s="494"/>
      <c r="H20" s="494"/>
      <c r="I20" s="494"/>
      <c r="J20" s="494"/>
      <c r="K20" s="494"/>
      <c r="L20" s="494"/>
      <c r="M20" s="494"/>
      <c r="N20" s="494">
        <v>1</v>
      </c>
      <c r="O20" s="494">
        <v>179</v>
      </c>
      <c r="P20" s="476"/>
      <c r="Q20" s="514">
        <v>179</v>
      </c>
    </row>
    <row r="21" spans="1:17" ht="14.45" customHeight="1" x14ac:dyDescent="0.2">
      <c r="A21" s="470" t="s">
        <v>404</v>
      </c>
      <c r="B21" s="471" t="s">
        <v>365</v>
      </c>
      <c r="C21" s="471" t="s">
        <v>366</v>
      </c>
      <c r="D21" s="471" t="s">
        <v>367</v>
      </c>
      <c r="E21" s="471" t="s">
        <v>368</v>
      </c>
      <c r="F21" s="494">
        <v>6</v>
      </c>
      <c r="G21" s="494">
        <v>2130</v>
      </c>
      <c r="H21" s="494">
        <v>1</v>
      </c>
      <c r="I21" s="494">
        <v>355</v>
      </c>
      <c r="J21" s="494">
        <v>6</v>
      </c>
      <c r="K21" s="494">
        <v>2130</v>
      </c>
      <c r="L21" s="494">
        <v>1</v>
      </c>
      <c r="M21" s="494">
        <v>355</v>
      </c>
      <c r="N21" s="494">
        <v>6</v>
      </c>
      <c r="O21" s="494">
        <v>2148</v>
      </c>
      <c r="P21" s="476">
        <v>1.0084507042253521</v>
      </c>
      <c r="Q21" s="514">
        <v>358</v>
      </c>
    </row>
    <row r="22" spans="1:17" ht="14.45" customHeight="1" x14ac:dyDescent="0.2">
      <c r="A22" s="470" t="s">
        <v>404</v>
      </c>
      <c r="B22" s="471" t="s">
        <v>365</v>
      </c>
      <c r="C22" s="471" t="s">
        <v>366</v>
      </c>
      <c r="D22" s="471" t="s">
        <v>369</v>
      </c>
      <c r="E22" s="471" t="s">
        <v>370</v>
      </c>
      <c r="F22" s="494">
        <v>4</v>
      </c>
      <c r="G22" s="494">
        <v>708</v>
      </c>
      <c r="H22" s="494">
        <v>1.3258426966292134</v>
      </c>
      <c r="I22" s="494">
        <v>177</v>
      </c>
      <c r="J22" s="494">
        <v>3</v>
      </c>
      <c r="K22" s="494">
        <v>534</v>
      </c>
      <c r="L22" s="494">
        <v>1</v>
      </c>
      <c r="M22" s="494">
        <v>178</v>
      </c>
      <c r="N22" s="494">
        <v>7</v>
      </c>
      <c r="O22" s="494">
        <v>1253</v>
      </c>
      <c r="P22" s="476">
        <v>2.3464419475655429</v>
      </c>
      <c r="Q22" s="514">
        <v>179</v>
      </c>
    </row>
    <row r="23" spans="1:17" ht="14.45" customHeight="1" x14ac:dyDescent="0.2">
      <c r="A23" s="470" t="s">
        <v>404</v>
      </c>
      <c r="B23" s="471" t="s">
        <v>365</v>
      </c>
      <c r="C23" s="471" t="s">
        <v>366</v>
      </c>
      <c r="D23" s="471" t="s">
        <v>371</v>
      </c>
      <c r="E23" s="471" t="s">
        <v>372</v>
      </c>
      <c r="F23" s="494"/>
      <c r="G23" s="494"/>
      <c r="H23" s="494"/>
      <c r="I23" s="494"/>
      <c r="J23" s="494"/>
      <c r="K23" s="494"/>
      <c r="L23" s="494"/>
      <c r="M23" s="494"/>
      <c r="N23" s="494">
        <v>1</v>
      </c>
      <c r="O23" s="494">
        <v>350</v>
      </c>
      <c r="P23" s="476"/>
      <c r="Q23" s="514">
        <v>350</v>
      </c>
    </row>
    <row r="24" spans="1:17" ht="14.45" customHeight="1" x14ac:dyDescent="0.2">
      <c r="A24" s="470" t="s">
        <v>405</v>
      </c>
      <c r="B24" s="471" t="s">
        <v>365</v>
      </c>
      <c r="C24" s="471" t="s">
        <v>366</v>
      </c>
      <c r="D24" s="471" t="s">
        <v>367</v>
      </c>
      <c r="E24" s="471" t="s">
        <v>368</v>
      </c>
      <c r="F24" s="494">
        <v>2</v>
      </c>
      <c r="G24" s="494">
        <v>710</v>
      </c>
      <c r="H24" s="494"/>
      <c r="I24" s="494">
        <v>355</v>
      </c>
      <c r="J24" s="494"/>
      <c r="K24" s="494"/>
      <c r="L24" s="494"/>
      <c r="M24" s="494"/>
      <c r="N24" s="494"/>
      <c r="O24" s="494"/>
      <c r="P24" s="476"/>
      <c r="Q24" s="514"/>
    </row>
    <row r="25" spans="1:17" ht="14.45" customHeight="1" x14ac:dyDescent="0.2">
      <c r="A25" s="470" t="s">
        <v>405</v>
      </c>
      <c r="B25" s="471" t="s">
        <v>365</v>
      </c>
      <c r="C25" s="471" t="s">
        <v>366</v>
      </c>
      <c r="D25" s="471" t="s">
        <v>369</v>
      </c>
      <c r="E25" s="471" t="s">
        <v>370</v>
      </c>
      <c r="F25" s="494">
        <v>1</v>
      </c>
      <c r="G25" s="494">
        <v>177</v>
      </c>
      <c r="H25" s="494"/>
      <c r="I25" s="494">
        <v>177</v>
      </c>
      <c r="J25" s="494"/>
      <c r="K25" s="494"/>
      <c r="L25" s="494"/>
      <c r="M25" s="494"/>
      <c r="N25" s="494"/>
      <c r="O25" s="494"/>
      <c r="P25" s="476"/>
      <c r="Q25" s="514"/>
    </row>
    <row r="26" spans="1:17" ht="14.45" customHeight="1" x14ac:dyDescent="0.2">
      <c r="A26" s="470" t="s">
        <v>406</v>
      </c>
      <c r="B26" s="471" t="s">
        <v>365</v>
      </c>
      <c r="C26" s="471" t="s">
        <v>366</v>
      </c>
      <c r="D26" s="471" t="s">
        <v>367</v>
      </c>
      <c r="E26" s="471" t="s">
        <v>368</v>
      </c>
      <c r="F26" s="494"/>
      <c r="G26" s="494"/>
      <c r="H26" s="494"/>
      <c r="I26" s="494"/>
      <c r="J26" s="494"/>
      <c r="K26" s="494"/>
      <c r="L26" s="494"/>
      <c r="M26" s="494"/>
      <c r="N26" s="494">
        <v>1</v>
      </c>
      <c r="O26" s="494">
        <v>358</v>
      </c>
      <c r="P26" s="476"/>
      <c r="Q26" s="514">
        <v>358</v>
      </c>
    </row>
    <row r="27" spans="1:17" ht="14.45" customHeight="1" x14ac:dyDescent="0.2">
      <c r="A27" s="470" t="s">
        <v>407</v>
      </c>
      <c r="B27" s="471" t="s">
        <v>365</v>
      </c>
      <c r="C27" s="471" t="s">
        <v>366</v>
      </c>
      <c r="D27" s="471" t="s">
        <v>367</v>
      </c>
      <c r="E27" s="471" t="s">
        <v>368</v>
      </c>
      <c r="F27" s="494"/>
      <c r="G27" s="494"/>
      <c r="H27" s="494"/>
      <c r="I27" s="494"/>
      <c r="J27" s="494"/>
      <c r="K27" s="494"/>
      <c r="L27" s="494"/>
      <c r="M27" s="494"/>
      <c r="N27" s="494">
        <v>1</v>
      </c>
      <c r="O27" s="494">
        <v>358</v>
      </c>
      <c r="P27" s="476"/>
      <c r="Q27" s="514">
        <v>358</v>
      </c>
    </row>
    <row r="28" spans="1:17" ht="14.45" customHeight="1" x14ac:dyDescent="0.2">
      <c r="A28" s="470" t="s">
        <v>407</v>
      </c>
      <c r="B28" s="471" t="s">
        <v>365</v>
      </c>
      <c r="C28" s="471" t="s">
        <v>366</v>
      </c>
      <c r="D28" s="471" t="s">
        <v>369</v>
      </c>
      <c r="E28" s="471" t="s">
        <v>370</v>
      </c>
      <c r="F28" s="494"/>
      <c r="G28" s="494"/>
      <c r="H28" s="494"/>
      <c r="I28" s="494"/>
      <c r="J28" s="494"/>
      <c r="K28" s="494"/>
      <c r="L28" s="494"/>
      <c r="M28" s="494"/>
      <c r="N28" s="494">
        <v>1</v>
      </c>
      <c r="O28" s="494">
        <v>179</v>
      </c>
      <c r="P28" s="476"/>
      <c r="Q28" s="514">
        <v>179</v>
      </c>
    </row>
    <row r="29" spans="1:17" ht="14.45" customHeight="1" x14ac:dyDescent="0.2">
      <c r="A29" s="470" t="s">
        <v>408</v>
      </c>
      <c r="B29" s="471" t="s">
        <v>365</v>
      </c>
      <c r="C29" s="471" t="s">
        <v>366</v>
      </c>
      <c r="D29" s="471" t="s">
        <v>367</v>
      </c>
      <c r="E29" s="471" t="s">
        <v>368</v>
      </c>
      <c r="F29" s="494"/>
      <c r="G29" s="494"/>
      <c r="H29" s="494"/>
      <c r="I29" s="494"/>
      <c r="J29" s="494">
        <v>2</v>
      </c>
      <c r="K29" s="494">
        <v>710</v>
      </c>
      <c r="L29" s="494">
        <v>1</v>
      </c>
      <c r="M29" s="494">
        <v>355</v>
      </c>
      <c r="N29" s="494">
        <v>0</v>
      </c>
      <c r="O29" s="494">
        <v>0</v>
      </c>
      <c r="P29" s="476">
        <v>0</v>
      </c>
      <c r="Q29" s="514"/>
    </row>
    <row r="30" spans="1:17" ht="14.45" customHeight="1" x14ac:dyDescent="0.2">
      <c r="A30" s="470" t="s">
        <v>409</v>
      </c>
      <c r="B30" s="471" t="s">
        <v>365</v>
      </c>
      <c r="C30" s="471" t="s">
        <v>366</v>
      </c>
      <c r="D30" s="471" t="s">
        <v>367</v>
      </c>
      <c r="E30" s="471" t="s">
        <v>368</v>
      </c>
      <c r="F30" s="494">
        <v>7</v>
      </c>
      <c r="G30" s="494">
        <v>2485</v>
      </c>
      <c r="H30" s="494">
        <v>1.1666666666666667</v>
      </c>
      <c r="I30" s="494">
        <v>355</v>
      </c>
      <c r="J30" s="494">
        <v>6</v>
      </c>
      <c r="K30" s="494">
        <v>2130</v>
      </c>
      <c r="L30" s="494">
        <v>1</v>
      </c>
      <c r="M30" s="494">
        <v>355</v>
      </c>
      <c r="N30" s="494">
        <v>1</v>
      </c>
      <c r="O30" s="494">
        <v>358</v>
      </c>
      <c r="P30" s="476">
        <v>0.16807511737089201</v>
      </c>
      <c r="Q30" s="514">
        <v>358</v>
      </c>
    </row>
    <row r="31" spans="1:17" ht="14.45" customHeight="1" x14ac:dyDescent="0.2">
      <c r="A31" s="470" t="s">
        <v>409</v>
      </c>
      <c r="B31" s="471" t="s">
        <v>365</v>
      </c>
      <c r="C31" s="471" t="s">
        <v>366</v>
      </c>
      <c r="D31" s="471" t="s">
        <v>369</v>
      </c>
      <c r="E31" s="471" t="s">
        <v>370</v>
      </c>
      <c r="F31" s="494">
        <v>4</v>
      </c>
      <c r="G31" s="494">
        <v>708</v>
      </c>
      <c r="H31" s="494">
        <v>3.9775280898876404</v>
      </c>
      <c r="I31" s="494">
        <v>177</v>
      </c>
      <c r="J31" s="494">
        <v>1</v>
      </c>
      <c r="K31" s="494">
        <v>178</v>
      </c>
      <c r="L31" s="494">
        <v>1</v>
      </c>
      <c r="M31" s="494">
        <v>178</v>
      </c>
      <c r="N31" s="494">
        <v>1</v>
      </c>
      <c r="O31" s="494">
        <v>179</v>
      </c>
      <c r="P31" s="476">
        <v>1.0056179775280898</v>
      </c>
      <c r="Q31" s="514">
        <v>179</v>
      </c>
    </row>
    <row r="32" spans="1:17" ht="14.45" customHeight="1" x14ac:dyDescent="0.2">
      <c r="A32" s="470" t="s">
        <v>410</v>
      </c>
      <c r="B32" s="471" t="s">
        <v>365</v>
      </c>
      <c r="C32" s="471" t="s">
        <v>366</v>
      </c>
      <c r="D32" s="471" t="s">
        <v>367</v>
      </c>
      <c r="E32" s="471" t="s">
        <v>368</v>
      </c>
      <c r="F32" s="494">
        <v>2</v>
      </c>
      <c r="G32" s="494">
        <v>710</v>
      </c>
      <c r="H32" s="494">
        <v>2</v>
      </c>
      <c r="I32" s="494">
        <v>355</v>
      </c>
      <c r="J32" s="494">
        <v>1</v>
      </c>
      <c r="K32" s="494">
        <v>355</v>
      </c>
      <c r="L32" s="494">
        <v>1</v>
      </c>
      <c r="M32" s="494">
        <v>355</v>
      </c>
      <c r="N32" s="494">
        <v>5</v>
      </c>
      <c r="O32" s="494">
        <v>1790</v>
      </c>
      <c r="P32" s="476">
        <v>5.042253521126761</v>
      </c>
      <c r="Q32" s="514">
        <v>358</v>
      </c>
    </row>
    <row r="33" spans="1:17" ht="14.45" customHeight="1" x14ac:dyDescent="0.2">
      <c r="A33" s="470" t="s">
        <v>410</v>
      </c>
      <c r="B33" s="471" t="s">
        <v>365</v>
      </c>
      <c r="C33" s="471" t="s">
        <v>366</v>
      </c>
      <c r="D33" s="471" t="s">
        <v>369</v>
      </c>
      <c r="E33" s="471" t="s">
        <v>370</v>
      </c>
      <c r="F33" s="494"/>
      <c r="G33" s="494"/>
      <c r="H33" s="494"/>
      <c r="I33" s="494"/>
      <c r="J33" s="494">
        <v>2</v>
      </c>
      <c r="K33" s="494">
        <v>356</v>
      </c>
      <c r="L33" s="494">
        <v>1</v>
      </c>
      <c r="M33" s="494">
        <v>178</v>
      </c>
      <c r="N33" s="494">
        <v>1</v>
      </c>
      <c r="O33" s="494">
        <v>179</v>
      </c>
      <c r="P33" s="476">
        <v>0.5028089887640449</v>
      </c>
      <c r="Q33" s="514">
        <v>179</v>
      </c>
    </row>
    <row r="34" spans="1:17" ht="14.45" customHeight="1" x14ac:dyDescent="0.2">
      <c r="A34" s="470" t="s">
        <v>410</v>
      </c>
      <c r="B34" s="471" t="s">
        <v>365</v>
      </c>
      <c r="C34" s="471" t="s">
        <v>366</v>
      </c>
      <c r="D34" s="471" t="s">
        <v>371</v>
      </c>
      <c r="E34" s="471" t="s">
        <v>372</v>
      </c>
      <c r="F34" s="494"/>
      <c r="G34" s="494"/>
      <c r="H34" s="494"/>
      <c r="I34" s="494"/>
      <c r="J34" s="494"/>
      <c r="K34" s="494"/>
      <c r="L34" s="494"/>
      <c r="M34" s="494"/>
      <c r="N34" s="494">
        <v>1</v>
      </c>
      <c r="O34" s="494">
        <v>350</v>
      </c>
      <c r="P34" s="476"/>
      <c r="Q34" s="514">
        <v>350</v>
      </c>
    </row>
    <row r="35" spans="1:17" ht="14.45" customHeight="1" x14ac:dyDescent="0.2">
      <c r="A35" s="470" t="s">
        <v>411</v>
      </c>
      <c r="B35" s="471" t="s">
        <v>365</v>
      </c>
      <c r="C35" s="471" t="s">
        <v>366</v>
      </c>
      <c r="D35" s="471" t="s">
        <v>367</v>
      </c>
      <c r="E35" s="471" t="s">
        <v>368</v>
      </c>
      <c r="F35" s="494"/>
      <c r="G35" s="494"/>
      <c r="H35" s="494"/>
      <c r="I35" s="494"/>
      <c r="J35" s="494">
        <v>2</v>
      </c>
      <c r="K35" s="494">
        <v>710</v>
      </c>
      <c r="L35" s="494">
        <v>1</v>
      </c>
      <c r="M35" s="494">
        <v>355</v>
      </c>
      <c r="N35" s="494">
        <v>1</v>
      </c>
      <c r="O35" s="494">
        <v>358</v>
      </c>
      <c r="P35" s="476">
        <v>0.50422535211267605</v>
      </c>
      <c r="Q35" s="514">
        <v>358</v>
      </c>
    </row>
    <row r="36" spans="1:17" ht="14.45" customHeight="1" x14ac:dyDescent="0.2">
      <c r="A36" s="470" t="s">
        <v>411</v>
      </c>
      <c r="B36" s="471" t="s">
        <v>365</v>
      </c>
      <c r="C36" s="471" t="s">
        <v>366</v>
      </c>
      <c r="D36" s="471" t="s">
        <v>369</v>
      </c>
      <c r="E36" s="471" t="s">
        <v>370</v>
      </c>
      <c r="F36" s="494"/>
      <c r="G36" s="494"/>
      <c r="H36" s="494"/>
      <c r="I36" s="494"/>
      <c r="J36" s="494">
        <v>1</v>
      </c>
      <c r="K36" s="494">
        <v>178</v>
      </c>
      <c r="L36" s="494">
        <v>1</v>
      </c>
      <c r="M36" s="494">
        <v>178</v>
      </c>
      <c r="N36" s="494">
        <v>4</v>
      </c>
      <c r="O36" s="494">
        <v>716</v>
      </c>
      <c r="P36" s="476">
        <v>4.0224719101123592</v>
      </c>
      <c r="Q36" s="514">
        <v>179</v>
      </c>
    </row>
    <row r="37" spans="1:17" ht="14.45" customHeight="1" x14ac:dyDescent="0.2">
      <c r="A37" s="470" t="s">
        <v>412</v>
      </c>
      <c r="B37" s="471" t="s">
        <v>365</v>
      </c>
      <c r="C37" s="471" t="s">
        <v>366</v>
      </c>
      <c r="D37" s="471" t="s">
        <v>367</v>
      </c>
      <c r="E37" s="471" t="s">
        <v>368</v>
      </c>
      <c r="F37" s="494">
        <v>1</v>
      </c>
      <c r="G37" s="494">
        <v>355</v>
      </c>
      <c r="H37" s="494">
        <v>0.2</v>
      </c>
      <c r="I37" s="494">
        <v>355</v>
      </c>
      <c r="J37" s="494">
        <v>5</v>
      </c>
      <c r="K37" s="494">
        <v>1775</v>
      </c>
      <c r="L37" s="494">
        <v>1</v>
      </c>
      <c r="M37" s="494">
        <v>355</v>
      </c>
      <c r="N37" s="494"/>
      <c r="O37" s="494"/>
      <c r="P37" s="476"/>
      <c r="Q37" s="514"/>
    </row>
    <row r="38" spans="1:17" ht="14.45" customHeight="1" x14ac:dyDescent="0.2">
      <c r="A38" s="470" t="s">
        <v>412</v>
      </c>
      <c r="B38" s="471" t="s">
        <v>365</v>
      </c>
      <c r="C38" s="471" t="s">
        <v>366</v>
      </c>
      <c r="D38" s="471" t="s">
        <v>369</v>
      </c>
      <c r="E38" s="471" t="s">
        <v>370</v>
      </c>
      <c r="F38" s="494">
        <v>1</v>
      </c>
      <c r="G38" s="494">
        <v>177</v>
      </c>
      <c r="H38" s="494">
        <v>0.49719101123595505</v>
      </c>
      <c r="I38" s="494">
        <v>177</v>
      </c>
      <c r="J38" s="494">
        <v>2</v>
      </c>
      <c r="K38" s="494">
        <v>356</v>
      </c>
      <c r="L38" s="494">
        <v>1</v>
      </c>
      <c r="M38" s="494">
        <v>178</v>
      </c>
      <c r="N38" s="494"/>
      <c r="O38" s="494"/>
      <c r="P38" s="476"/>
      <c r="Q38" s="514"/>
    </row>
    <row r="39" spans="1:17" ht="14.45" customHeight="1" x14ac:dyDescent="0.2">
      <c r="A39" s="470" t="s">
        <v>413</v>
      </c>
      <c r="B39" s="471" t="s">
        <v>365</v>
      </c>
      <c r="C39" s="471" t="s">
        <v>366</v>
      </c>
      <c r="D39" s="471" t="s">
        <v>367</v>
      </c>
      <c r="E39" s="471" t="s">
        <v>368</v>
      </c>
      <c r="F39" s="494">
        <v>13</v>
      </c>
      <c r="G39" s="494">
        <v>4615</v>
      </c>
      <c r="H39" s="494">
        <v>1.8571428571428572</v>
      </c>
      <c r="I39" s="494">
        <v>355</v>
      </c>
      <c r="J39" s="494">
        <v>7</v>
      </c>
      <c r="K39" s="494">
        <v>2485</v>
      </c>
      <c r="L39" s="494">
        <v>1</v>
      </c>
      <c r="M39" s="494">
        <v>355</v>
      </c>
      <c r="N39" s="494">
        <v>8</v>
      </c>
      <c r="O39" s="494">
        <v>2864</v>
      </c>
      <c r="P39" s="476">
        <v>1.1525150905432595</v>
      </c>
      <c r="Q39" s="514">
        <v>358</v>
      </c>
    </row>
    <row r="40" spans="1:17" ht="14.45" customHeight="1" x14ac:dyDescent="0.2">
      <c r="A40" s="470" t="s">
        <v>413</v>
      </c>
      <c r="B40" s="471" t="s">
        <v>365</v>
      </c>
      <c r="C40" s="471" t="s">
        <v>366</v>
      </c>
      <c r="D40" s="471" t="s">
        <v>369</v>
      </c>
      <c r="E40" s="471" t="s">
        <v>370</v>
      </c>
      <c r="F40" s="494">
        <v>6</v>
      </c>
      <c r="G40" s="494">
        <v>1062</v>
      </c>
      <c r="H40" s="494">
        <v>0.9943820224719101</v>
      </c>
      <c r="I40" s="494">
        <v>177</v>
      </c>
      <c r="J40" s="494">
        <v>6</v>
      </c>
      <c r="K40" s="494">
        <v>1068</v>
      </c>
      <c r="L40" s="494">
        <v>1</v>
      </c>
      <c r="M40" s="494">
        <v>178</v>
      </c>
      <c r="N40" s="494">
        <v>11</v>
      </c>
      <c r="O40" s="494">
        <v>1969</v>
      </c>
      <c r="P40" s="476">
        <v>1.8436329588014981</v>
      </c>
      <c r="Q40" s="514">
        <v>179</v>
      </c>
    </row>
    <row r="41" spans="1:17" ht="14.45" customHeight="1" x14ac:dyDescent="0.2">
      <c r="A41" s="470" t="s">
        <v>414</v>
      </c>
      <c r="B41" s="471" t="s">
        <v>365</v>
      </c>
      <c r="C41" s="471" t="s">
        <v>366</v>
      </c>
      <c r="D41" s="471" t="s">
        <v>367</v>
      </c>
      <c r="E41" s="471" t="s">
        <v>368</v>
      </c>
      <c r="F41" s="494"/>
      <c r="G41" s="494"/>
      <c r="H41" s="494"/>
      <c r="I41" s="494"/>
      <c r="J41" s="494">
        <v>1</v>
      </c>
      <c r="K41" s="494">
        <v>355</v>
      </c>
      <c r="L41" s="494">
        <v>1</v>
      </c>
      <c r="M41" s="494">
        <v>355</v>
      </c>
      <c r="N41" s="494"/>
      <c r="O41" s="494"/>
      <c r="P41" s="476"/>
      <c r="Q41" s="514"/>
    </row>
    <row r="42" spans="1:17" ht="14.45" customHeight="1" x14ac:dyDescent="0.2">
      <c r="A42" s="470" t="s">
        <v>414</v>
      </c>
      <c r="B42" s="471" t="s">
        <v>365</v>
      </c>
      <c r="C42" s="471" t="s">
        <v>366</v>
      </c>
      <c r="D42" s="471" t="s">
        <v>369</v>
      </c>
      <c r="E42" s="471" t="s">
        <v>370</v>
      </c>
      <c r="F42" s="494">
        <v>1</v>
      </c>
      <c r="G42" s="494">
        <v>177</v>
      </c>
      <c r="H42" s="494"/>
      <c r="I42" s="494">
        <v>177</v>
      </c>
      <c r="J42" s="494"/>
      <c r="K42" s="494"/>
      <c r="L42" s="494"/>
      <c r="M42" s="494"/>
      <c r="N42" s="494"/>
      <c r="O42" s="494"/>
      <c r="P42" s="476"/>
      <c r="Q42" s="514"/>
    </row>
    <row r="43" spans="1:17" ht="14.45" customHeight="1" x14ac:dyDescent="0.2">
      <c r="A43" s="470" t="s">
        <v>415</v>
      </c>
      <c r="B43" s="471" t="s">
        <v>365</v>
      </c>
      <c r="C43" s="471" t="s">
        <v>366</v>
      </c>
      <c r="D43" s="471" t="s">
        <v>367</v>
      </c>
      <c r="E43" s="471" t="s">
        <v>368</v>
      </c>
      <c r="F43" s="494">
        <v>2</v>
      </c>
      <c r="G43" s="494">
        <v>710</v>
      </c>
      <c r="H43" s="494"/>
      <c r="I43" s="494">
        <v>355</v>
      </c>
      <c r="J43" s="494"/>
      <c r="K43" s="494"/>
      <c r="L43" s="494"/>
      <c r="M43" s="494"/>
      <c r="N43" s="494">
        <v>3</v>
      </c>
      <c r="O43" s="494">
        <v>1074</v>
      </c>
      <c r="P43" s="476"/>
      <c r="Q43" s="514">
        <v>358</v>
      </c>
    </row>
    <row r="44" spans="1:17" ht="14.45" customHeight="1" x14ac:dyDescent="0.2">
      <c r="A44" s="470" t="s">
        <v>415</v>
      </c>
      <c r="B44" s="471" t="s">
        <v>365</v>
      </c>
      <c r="C44" s="471" t="s">
        <v>366</v>
      </c>
      <c r="D44" s="471" t="s">
        <v>369</v>
      </c>
      <c r="E44" s="471" t="s">
        <v>370</v>
      </c>
      <c r="F44" s="494"/>
      <c r="G44" s="494"/>
      <c r="H44" s="494"/>
      <c r="I44" s="494"/>
      <c r="J44" s="494"/>
      <c r="K44" s="494"/>
      <c r="L44" s="494"/>
      <c r="M44" s="494"/>
      <c r="N44" s="494">
        <v>4</v>
      </c>
      <c r="O44" s="494">
        <v>716</v>
      </c>
      <c r="P44" s="476"/>
      <c r="Q44" s="514">
        <v>179</v>
      </c>
    </row>
    <row r="45" spans="1:17" ht="14.45" customHeight="1" x14ac:dyDescent="0.2">
      <c r="A45" s="470" t="s">
        <v>416</v>
      </c>
      <c r="B45" s="471" t="s">
        <v>365</v>
      </c>
      <c r="C45" s="471" t="s">
        <v>366</v>
      </c>
      <c r="D45" s="471" t="s">
        <v>367</v>
      </c>
      <c r="E45" s="471" t="s">
        <v>368</v>
      </c>
      <c r="F45" s="494">
        <v>1</v>
      </c>
      <c r="G45" s="494">
        <v>355</v>
      </c>
      <c r="H45" s="494">
        <v>0.5</v>
      </c>
      <c r="I45" s="494">
        <v>355</v>
      </c>
      <c r="J45" s="494">
        <v>2</v>
      </c>
      <c r="K45" s="494">
        <v>710</v>
      </c>
      <c r="L45" s="494">
        <v>1</v>
      </c>
      <c r="M45" s="494">
        <v>355</v>
      </c>
      <c r="N45" s="494">
        <v>6</v>
      </c>
      <c r="O45" s="494">
        <v>2148</v>
      </c>
      <c r="P45" s="476">
        <v>3.0253521126760563</v>
      </c>
      <c r="Q45" s="514">
        <v>358</v>
      </c>
    </row>
    <row r="46" spans="1:17" ht="14.45" customHeight="1" x14ac:dyDescent="0.2">
      <c r="A46" s="470" t="s">
        <v>416</v>
      </c>
      <c r="B46" s="471" t="s">
        <v>365</v>
      </c>
      <c r="C46" s="471" t="s">
        <v>366</v>
      </c>
      <c r="D46" s="471" t="s">
        <v>369</v>
      </c>
      <c r="E46" s="471" t="s">
        <v>370</v>
      </c>
      <c r="F46" s="494">
        <v>2</v>
      </c>
      <c r="G46" s="494">
        <v>354</v>
      </c>
      <c r="H46" s="494">
        <v>0.6629213483146067</v>
      </c>
      <c r="I46" s="494">
        <v>177</v>
      </c>
      <c r="J46" s="494">
        <v>3</v>
      </c>
      <c r="K46" s="494">
        <v>534</v>
      </c>
      <c r="L46" s="494">
        <v>1</v>
      </c>
      <c r="M46" s="494">
        <v>178</v>
      </c>
      <c r="N46" s="494">
        <v>11</v>
      </c>
      <c r="O46" s="494">
        <v>1969</v>
      </c>
      <c r="P46" s="476">
        <v>3.6872659176029963</v>
      </c>
      <c r="Q46" s="514">
        <v>179</v>
      </c>
    </row>
    <row r="47" spans="1:17" ht="14.45" customHeight="1" x14ac:dyDescent="0.2">
      <c r="A47" s="470" t="s">
        <v>416</v>
      </c>
      <c r="B47" s="471" t="s">
        <v>365</v>
      </c>
      <c r="C47" s="471" t="s">
        <v>366</v>
      </c>
      <c r="D47" s="471" t="s">
        <v>371</v>
      </c>
      <c r="E47" s="471" t="s">
        <v>372</v>
      </c>
      <c r="F47" s="494"/>
      <c r="G47" s="494"/>
      <c r="H47" s="494"/>
      <c r="I47" s="494"/>
      <c r="J47" s="494"/>
      <c r="K47" s="494"/>
      <c r="L47" s="494"/>
      <c r="M47" s="494"/>
      <c r="N47" s="494">
        <v>1</v>
      </c>
      <c r="O47" s="494">
        <v>350</v>
      </c>
      <c r="P47" s="476"/>
      <c r="Q47" s="514">
        <v>350</v>
      </c>
    </row>
    <row r="48" spans="1:17" ht="14.45" customHeight="1" thickBot="1" x14ac:dyDescent="0.25">
      <c r="A48" s="462" t="s">
        <v>417</v>
      </c>
      <c r="B48" s="463" t="s">
        <v>365</v>
      </c>
      <c r="C48" s="463" t="s">
        <v>366</v>
      </c>
      <c r="D48" s="463" t="s">
        <v>369</v>
      </c>
      <c r="E48" s="463" t="s">
        <v>370</v>
      </c>
      <c r="F48" s="497"/>
      <c r="G48" s="497"/>
      <c r="H48" s="497"/>
      <c r="I48" s="497"/>
      <c r="J48" s="497">
        <v>1</v>
      </c>
      <c r="K48" s="497">
        <v>178</v>
      </c>
      <c r="L48" s="497">
        <v>1</v>
      </c>
      <c r="M48" s="497">
        <v>178</v>
      </c>
      <c r="N48" s="497">
        <v>2</v>
      </c>
      <c r="O48" s="497">
        <v>358</v>
      </c>
      <c r="P48" s="468">
        <v>2.0112359550561796</v>
      </c>
      <c r="Q48" s="515">
        <v>179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10EFAD5-9C46-4CCC-BB12-7671D124CCD4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5" bestFit="1" customWidth="1"/>
    <col min="2" max="2" width="11.7109375" style="135" hidden="1" customWidth="1"/>
    <col min="3" max="4" width="11" style="137" customWidth="1"/>
    <col min="5" max="5" width="11" style="138" customWidth="1"/>
    <col min="6" max="16384" width="8.85546875" style="135"/>
  </cols>
  <sheetData>
    <row r="1" spans="1:5" ht="19.5" thickBot="1" x14ac:dyDescent="0.35">
      <c r="A1" s="288" t="s">
        <v>113</v>
      </c>
      <c r="B1" s="288"/>
      <c r="C1" s="289"/>
      <c r="D1" s="289"/>
      <c r="E1" s="289"/>
    </row>
    <row r="2" spans="1:5" ht="14.45" customHeight="1" thickBot="1" x14ac:dyDescent="0.25">
      <c r="A2" s="214" t="s">
        <v>232</v>
      </c>
      <c r="B2" s="136"/>
    </row>
    <row r="3" spans="1:5" ht="14.45" customHeight="1" thickBot="1" x14ac:dyDescent="0.25">
      <c r="A3" s="139"/>
      <c r="C3" s="140" t="s">
        <v>103</v>
      </c>
      <c r="D3" s="141" t="s">
        <v>69</v>
      </c>
      <c r="E3" s="142" t="s">
        <v>71</v>
      </c>
    </row>
    <row r="4" spans="1:5" ht="14.45" customHeight="1" thickBot="1" x14ac:dyDescent="0.2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1288.0658736724854</v>
      </c>
      <c r="D4" s="145">
        <f ca="1">IF(ISERROR(VLOOKUP("Náklady celkem",INDIRECT("HI!$A:$G"),5,0)),0,VLOOKUP("Náklady celkem",INDIRECT("HI!$A:$G"),5,0))</f>
        <v>1402.3863699999999</v>
      </c>
      <c r="E4" s="146">
        <f ca="1">IF(C4=0,0,D4/C4)</f>
        <v>1.0887536100941548</v>
      </c>
    </row>
    <row r="5" spans="1:5" ht="14.45" customHeight="1" x14ac:dyDescent="0.2">
      <c r="A5" s="147" t="s">
        <v>130</v>
      </c>
      <c r="B5" s="148"/>
      <c r="C5" s="149"/>
      <c r="D5" s="149"/>
      <c r="E5" s="150"/>
    </row>
    <row r="6" spans="1:5" ht="14.45" customHeight="1" x14ac:dyDescent="0.2">
      <c r="A6" s="151" t="s">
        <v>135</v>
      </c>
      <c r="B6" s="152"/>
      <c r="C6" s="153"/>
      <c r="D6" s="153"/>
      <c r="E6" s="150"/>
    </row>
    <row r="7" spans="1:5" ht="14.45" customHeight="1" x14ac:dyDescent="0.25">
      <c r="A7" s="22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5" customHeight="1" x14ac:dyDescent="0.2">
      <c r="A8" s="155" t="s">
        <v>131</v>
      </c>
      <c r="B8" s="152"/>
      <c r="C8" s="153"/>
      <c r="D8" s="153"/>
      <c r="E8" s="150"/>
    </row>
    <row r="9" spans="1:5" ht="14.45" customHeight="1" x14ac:dyDescent="0.25">
      <c r="A9" s="221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>
        <f>IF(ISERROR(VLOOKUP("Celkem",'Léky Recepty'!B:H,5,0)),0,VLOOKUP("Celkem",'Léky Recepty'!B:H,5,0))</f>
        <v>0.4464919164966254</v>
      </c>
      <c r="E9" s="150">
        <f t="shared" si="0"/>
        <v>0.74415319416104231</v>
      </c>
    </row>
    <row r="10" spans="1:5" ht="14.45" customHeight="1" x14ac:dyDescent="0.2">
      <c r="A10" s="155" t="s">
        <v>132</v>
      </c>
      <c r="B10" s="152"/>
      <c r="C10" s="153"/>
      <c r="D10" s="153"/>
      <c r="E10" s="150"/>
    </row>
    <row r="11" spans="1:5" ht="14.45" customHeight="1" x14ac:dyDescent="0.2">
      <c r="A11" s="156" t="s">
        <v>136</v>
      </c>
      <c r="B11" s="152"/>
      <c r="C11" s="149"/>
      <c r="D11" s="149"/>
      <c r="E11" s="150"/>
    </row>
    <row r="12" spans="1:5" ht="14.45" customHeight="1" x14ac:dyDescent="0.2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5" customHeight="1" thickBot="1" x14ac:dyDescent="0.2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1286.4997133789063</v>
      </c>
      <c r="D13" s="149">
        <f ca="1">IF(ISERROR(VLOOKUP("Osobní náklady (Kč) *",INDIRECT("HI!$A:$G"),5,0)),0,VLOOKUP("Osobní náklady (Kč) *",INDIRECT("HI!$A:$G"),5,0))</f>
        <v>1402.3603699999999</v>
      </c>
      <c r="E13" s="150">
        <f ca="1">IF(C13=0,0,D13/C13)</f>
        <v>1.0900588281646741</v>
      </c>
    </row>
    <row r="14" spans="1:5" ht="14.45" customHeight="1" thickBot="1" x14ac:dyDescent="0.25">
      <c r="A14" s="162"/>
      <c r="B14" s="163"/>
      <c r="C14" s="164"/>
      <c r="D14" s="164"/>
      <c r="E14" s="165"/>
    </row>
    <row r="15" spans="1:5" ht="14.45" customHeight="1" thickBot="1" x14ac:dyDescent="0.2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1.0649999999999999</v>
      </c>
      <c r="D15" s="168">
        <f ca="1">IF(ISERROR(VLOOKUP("Výnosy celkem",INDIRECT("HI!$A:$G"),5,0)),0,VLOOKUP("Výnosy celkem",INDIRECT("HI!$A:$G"),5,0))</f>
        <v>4.0449999999999999</v>
      </c>
      <c r="E15" s="169">
        <f t="shared" ref="E15:E20" ca="1" si="1">IF(C15=0,0,D15/C15)</f>
        <v>3.7981220657276995</v>
      </c>
    </row>
    <row r="16" spans="1:5" ht="14.45" customHeight="1" x14ac:dyDescent="0.2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1.0649999999999999</v>
      </c>
      <c r="D16" s="149">
        <f ca="1">IF(ISERROR(VLOOKUP("Ambulance *",INDIRECT("HI!$A:$G"),5,0)),0,VLOOKUP("Ambulance *",INDIRECT("HI!$A:$G"),5,0))</f>
        <v>4.0449999999999999</v>
      </c>
      <c r="E16" s="150">
        <f t="shared" ca="1" si="1"/>
        <v>3.7981220657276995</v>
      </c>
    </row>
    <row r="17" spans="1:5" ht="14.45" customHeight="1" x14ac:dyDescent="0.25">
      <c r="A17" s="227" t="str">
        <f>HYPERLINK("#'ZV Vykáz.-A'!A1","Zdravotní výkony vykázané u ambulantních pacientů (min. 100 % 2016)")</f>
        <v>Zdravotní výkony vykázané u ambulantních pacientů (min. 100 % 2016)</v>
      </c>
      <c r="B17" s="228" t="s">
        <v>115</v>
      </c>
      <c r="C17" s="154">
        <v>1</v>
      </c>
      <c r="D17" s="154">
        <f>IF(ISERROR(VLOOKUP("Celkem:",'ZV Vykáz.-A'!$A:$AB,10,0)),"",VLOOKUP("Celkem:",'ZV Vykáz.-A'!$A:$AB,10,0))</f>
        <v>3.7981220657276995</v>
      </c>
      <c r="E17" s="150">
        <f t="shared" si="1"/>
        <v>3.7981220657276995</v>
      </c>
    </row>
    <row r="18" spans="1:5" ht="14.45" customHeight="1" x14ac:dyDescent="0.25">
      <c r="A18" s="226" t="str">
        <f>HYPERLINK("#'ZV Vykáz.-A'!A1","Specializovaná ambulantní péče")</f>
        <v>Specializovaná ambulantní péče</v>
      </c>
      <c r="B18" s="228" t="s">
        <v>115</v>
      </c>
      <c r="C18" s="154">
        <v>1</v>
      </c>
      <c r="D18" s="220">
        <f>IF(ISERROR(VLOOKUP("Specializovaná ambulantní péče",'ZV Vykáz.-A'!$A:$AB,10,0)),"",VLOOKUP("Specializovaná ambulantní péče",'ZV Vykáz.-A'!$A:$AB,10,0))</f>
        <v>3.7981220657276995</v>
      </c>
      <c r="E18" s="150">
        <f t="shared" si="1"/>
        <v>3.7981220657276995</v>
      </c>
    </row>
    <row r="19" spans="1:5" ht="14.45" customHeight="1" x14ac:dyDescent="0.25">
      <c r="A19" s="226" t="str">
        <f>HYPERLINK("#'ZV Vykáz.-A'!A1","Ambulantní péče ve vyjmenovaných odbornostech (§9)")</f>
        <v>Ambulantní péče ve vyjmenovaných odbornostech (§9)</v>
      </c>
      <c r="B19" s="228" t="s">
        <v>115</v>
      </c>
      <c r="C19" s="154">
        <v>1</v>
      </c>
      <c r="D19" s="220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5" customHeight="1" x14ac:dyDescent="0.2">
      <c r="A20" s="171" t="str">
        <f>HYPERLINK("#'ZV Vykáz.-H'!A1","Zdravotní výkony vykázané u hospitalizovaných pacientů (max. 85 %)")</f>
        <v>Zdravotní výkony vykázané u hospitalizovaných pacientů (max. 85 %)</v>
      </c>
      <c r="B20" s="228" t="s">
        <v>117</v>
      </c>
      <c r="C20" s="154">
        <v>0.85</v>
      </c>
      <c r="D20" s="154">
        <f>IF(ISERROR(VLOOKUP("Celkem:",'ZV Vykáz.-H'!$A:$S,7,0)),"",VLOOKUP("Celkem:",'ZV Vykáz.-H'!$A:$S,7,0))</f>
        <v>1.0039721584490362</v>
      </c>
      <c r="E20" s="150">
        <f t="shared" si="1"/>
        <v>1.1811437158223956</v>
      </c>
    </row>
    <row r="21" spans="1:5" ht="14.45" customHeight="1" x14ac:dyDescent="0.2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5" customHeight="1" thickBot="1" x14ac:dyDescent="0.25">
      <c r="A22" s="173" t="s">
        <v>133</v>
      </c>
      <c r="B22" s="159"/>
      <c r="C22" s="160"/>
      <c r="D22" s="160"/>
      <c r="E22" s="161"/>
    </row>
    <row r="23" spans="1:5" ht="14.45" customHeight="1" thickBot="1" x14ac:dyDescent="0.25">
      <c r="A23" s="174"/>
      <c r="B23" s="175"/>
      <c r="C23" s="176"/>
      <c r="D23" s="176"/>
      <c r="E23" s="177"/>
    </row>
    <row r="24" spans="1:5" ht="14.45" customHeight="1" thickBot="1" x14ac:dyDescent="0.2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2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1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0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29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28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2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2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1AFA219-92DA-47B7-A9D6-459191BBBED5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299" t="s">
        <v>122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5" customHeight="1" thickBot="1" x14ac:dyDescent="0.25">
      <c r="A2" s="214" t="s">
        <v>232</v>
      </c>
      <c r="B2" s="97"/>
      <c r="C2" s="97"/>
      <c r="D2" s="97"/>
      <c r="E2" s="97"/>
      <c r="F2" s="97"/>
    </row>
    <row r="3" spans="1:10" ht="14.45" customHeight="1" x14ac:dyDescent="0.2">
      <c r="A3" s="290"/>
      <c r="B3" s="93">
        <v>2015</v>
      </c>
      <c r="C3" s="40">
        <v>2018</v>
      </c>
      <c r="D3" s="7"/>
      <c r="E3" s="294">
        <v>2019</v>
      </c>
      <c r="F3" s="295"/>
      <c r="G3" s="295"/>
      <c r="H3" s="296"/>
      <c r="I3" s="297">
        <v>2017</v>
      </c>
      <c r="J3" s="298"/>
    </row>
    <row r="4" spans="1:10" ht="14.45" customHeight="1" thickBot="1" x14ac:dyDescent="0.25">
      <c r="A4" s="291"/>
      <c r="B4" s="292" t="s">
        <v>69</v>
      </c>
      <c r="C4" s="293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1" t="s">
        <v>176</v>
      </c>
      <c r="J4" s="232" t="s">
        <v>177</v>
      </c>
    </row>
    <row r="5" spans="1:10" ht="14.45" customHeight="1" x14ac:dyDescent="0.2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1250.3154</v>
      </c>
      <c r="C7" s="31">
        <v>1254.88032</v>
      </c>
      <c r="D7" s="8"/>
      <c r="E7" s="104">
        <v>1402.3603699999999</v>
      </c>
      <c r="F7" s="30">
        <v>1286.4997133789063</v>
      </c>
      <c r="G7" s="105">
        <f>E7-F7</f>
        <v>115.86065662109354</v>
      </c>
      <c r="H7" s="109">
        <f>IF(F7&lt;0.00000001,"",E7/F7)</f>
        <v>1.0900588281646741</v>
      </c>
    </row>
    <row r="8" spans="1:10" ht="14.45" customHeight="1" thickBot="1" x14ac:dyDescent="0.25">
      <c r="A8" s="1" t="s">
        <v>72</v>
      </c>
      <c r="B8" s="11">
        <v>0.46988000000010288</v>
      </c>
      <c r="C8" s="33">
        <v>8.8872000000001208</v>
      </c>
      <c r="D8" s="8"/>
      <c r="E8" s="106">
        <v>2.6000000000067303E-2</v>
      </c>
      <c r="F8" s="32">
        <v>1.5661602935790597</v>
      </c>
      <c r="G8" s="107">
        <f>E8-F8</f>
        <v>-1.5401602935789924</v>
      </c>
      <c r="H8" s="110">
        <f>IF(F8&lt;0.00000001,"",E8/F8)</f>
        <v>1.6601110439756418E-2</v>
      </c>
    </row>
    <row r="9" spans="1:10" ht="14.45" customHeight="1" thickBot="1" x14ac:dyDescent="0.25">
      <c r="A9" s="2" t="s">
        <v>73</v>
      </c>
      <c r="B9" s="3">
        <v>1250.7852800000001</v>
      </c>
      <c r="C9" s="35">
        <v>1263.7675200000001</v>
      </c>
      <c r="D9" s="8"/>
      <c r="E9" s="3">
        <v>1402.3863699999999</v>
      </c>
      <c r="F9" s="34">
        <v>1288.0658736724854</v>
      </c>
      <c r="G9" s="34">
        <f>E9-F9</f>
        <v>114.32049632751455</v>
      </c>
      <c r="H9" s="111">
        <f>IF(F9&lt;0.00000001,"",E9/F9)</f>
        <v>1.0887536100941548</v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1.0649999999999999</v>
      </c>
      <c r="D11" s="8"/>
      <c r="E11" s="103">
        <f>IF(ISERROR(VLOOKUP("Celkem:",'ZV Vykáz.-A'!A:H,8,0)),0,VLOOKUP("Celkem:",'ZV Vykáz.-A'!A:H,8,0)/1000)</f>
        <v>4.0449999999999999</v>
      </c>
      <c r="F11" s="28">
        <f>C11</f>
        <v>1.0649999999999999</v>
      </c>
      <c r="G11" s="102">
        <f>E11-F11</f>
        <v>2.98</v>
      </c>
      <c r="H11" s="108">
        <f>IF(F11&lt;0.00000001,"",E11/F11)</f>
        <v>3.7981220657276995</v>
      </c>
      <c r="I11" s="102">
        <f>E11-B11</f>
        <v>4.0449999999999999</v>
      </c>
      <c r="J11" s="108" t="str">
        <f>IF(B11&lt;0.00000001,"",E11/B11)</f>
        <v/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0</v>
      </c>
      <c r="C13" s="37">
        <f>SUM(C11:C12)</f>
        <v>1.0649999999999999</v>
      </c>
      <c r="D13" s="8"/>
      <c r="E13" s="5">
        <f>SUM(E11:E12)</f>
        <v>4.0449999999999999</v>
      </c>
      <c r="F13" s="36">
        <f>SUM(F11:F12)</f>
        <v>1.0649999999999999</v>
      </c>
      <c r="G13" s="36">
        <f>E13-F13</f>
        <v>2.98</v>
      </c>
      <c r="H13" s="112">
        <f>IF(F13&lt;0.00000001,"",E13/F13)</f>
        <v>3.7981220657276995</v>
      </c>
      <c r="I13" s="36">
        <f>SUM(I11:I12)</f>
        <v>4.0449999999999999</v>
      </c>
      <c r="J13" s="112" t="str">
        <f>IF(B13&lt;0.00000001,"",E13/B13)</f>
        <v/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8.4271828730018311E-4</v>
      </c>
      <c r="D15" s="8"/>
      <c r="E15" s="6">
        <f>IF(E9=0,"",E13/E9)</f>
        <v>2.884369162829214E-3</v>
      </c>
      <c r="F15" s="38">
        <f>IF(F9=0,"",F13/F9)</f>
        <v>8.2682106697191786E-4</v>
      </c>
      <c r="G15" s="38">
        <f>IF(ISERROR(F15-E15),"",E15-F15)</f>
        <v>2.0575480958572962E-3</v>
      </c>
      <c r="H15" s="113">
        <f>IF(ISERROR(F15-E15),"",IF(F15&lt;0.00000001,"",E15/F15))</f>
        <v>3.4885046814212086</v>
      </c>
    </row>
    <row r="17" spans="1:8" ht="14.45" customHeight="1" x14ac:dyDescent="0.2">
      <c r="A17" s="99" t="s">
        <v>137</v>
      </c>
    </row>
    <row r="18" spans="1:8" ht="14.45" customHeight="1" x14ac:dyDescent="0.25">
      <c r="A18" s="217" t="s">
        <v>162</v>
      </c>
      <c r="B18" s="218"/>
      <c r="C18" s="218"/>
      <c r="D18" s="218"/>
      <c r="E18" s="218"/>
      <c r="F18" s="218"/>
      <c r="G18" s="218"/>
      <c r="H18" s="218"/>
    </row>
    <row r="19" spans="1:8" ht="15" x14ac:dyDescent="0.25">
      <c r="A19" s="216" t="s">
        <v>161</v>
      </c>
      <c r="B19" s="218"/>
      <c r="C19" s="218"/>
      <c r="D19" s="218"/>
      <c r="E19" s="218"/>
      <c r="F19" s="218"/>
      <c r="G19" s="218"/>
      <c r="H19" s="218"/>
    </row>
    <row r="20" spans="1:8" ht="14.45" customHeight="1" x14ac:dyDescent="0.2">
      <c r="A20" s="100" t="s">
        <v>169</v>
      </c>
    </row>
    <row r="21" spans="1:8" ht="14.45" customHeight="1" x14ac:dyDescent="0.2">
      <c r="A21" s="100" t="s">
        <v>138</v>
      </c>
    </row>
    <row r="22" spans="1:8" ht="14.45" customHeight="1" x14ac:dyDescent="0.2">
      <c r="A22" s="101" t="s">
        <v>211</v>
      </c>
    </row>
    <row r="23" spans="1:8" ht="14.45" customHeight="1" x14ac:dyDescent="0.2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4" priority="8" operator="greaterThan">
      <formula>0</formula>
    </cfRule>
  </conditionalFormatting>
  <conditionalFormatting sqref="G11:G13 G15">
    <cfRule type="cellIs" dxfId="23" priority="7" operator="lessThan">
      <formula>0</formula>
    </cfRule>
  </conditionalFormatting>
  <conditionalFormatting sqref="H5:H9">
    <cfRule type="cellIs" dxfId="22" priority="6" operator="greaterThan">
      <formula>1</formula>
    </cfRule>
  </conditionalFormatting>
  <conditionalFormatting sqref="H11:H13 H15">
    <cfRule type="cellIs" dxfId="21" priority="5" operator="lessThan">
      <formula>1</formula>
    </cfRule>
  </conditionalFormatting>
  <conditionalFormatting sqref="I11:I13">
    <cfRule type="cellIs" dxfId="20" priority="4" operator="lessThan">
      <formula>0</formula>
    </cfRule>
  </conditionalFormatting>
  <conditionalFormatting sqref="J11:J13">
    <cfRule type="cellIs" dxfId="19" priority="3" operator="lessThan">
      <formula>1</formula>
    </cfRule>
  </conditionalFormatting>
  <hyperlinks>
    <hyperlink ref="A2" location="Obsah!A1" display="Zpět na Obsah  KL 01  1.-4.měsíc" xr:uid="{826358E9-56AD-49FE-8D9A-685A8C5C80E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288" t="s">
        <v>100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5" customHeight="1" x14ac:dyDescent="0.2">
      <c r="A2" s="214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5" customHeight="1" x14ac:dyDescent="0.2">
      <c r="A4" s="183" t="s">
        <v>77</v>
      </c>
      <c r="B4" s="186">
        <f>(B10+B8)/B6</f>
        <v>5.833903185751806E-3</v>
      </c>
      <c r="C4" s="186">
        <f t="shared" ref="C4:M4" si="0">(C10+C8)/C6</f>
        <v>5.2122233765164016E-3</v>
      </c>
      <c r="D4" s="186">
        <f t="shared" si="0"/>
        <v>5.0502516602012257E-3</v>
      </c>
      <c r="E4" s="186">
        <f t="shared" si="0"/>
        <v>4.2972488335055381E-3</v>
      </c>
      <c r="F4" s="186">
        <f t="shared" si="0"/>
        <v>3.8328554732213827E-3</v>
      </c>
      <c r="G4" s="186">
        <f t="shared" si="0"/>
        <v>3.905717233281248E-3</v>
      </c>
      <c r="H4" s="186">
        <f t="shared" si="0"/>
        <v>3.2230467812611107E-3</v>
      </c>
      <c r="I4" s="186">
        <f t="shared" si="0"/>
        <v>2.8843691628292179E-3</v>
      </c>
      <c r="J4" s="186">
        <f t="shared" si="0"/>
        <v>2.8843691628292179E-3</v>
      </c>
      <c r="K4" s="186">
        <f t="shared" si="0"/>
        <v>2.8843691628292179E-3</v>
      </c>
      <c r="L4" s="186">
        <f t="shared" si="0"/>
        <v>2.8843691628292179E-3</v>
      </c>
      <c r="M4" s="186">
        <f t="shared" si="0"/>
        <v>2.8843691628292179E-3</v>
      </c>
    </row>
    <row r="5" spans="1:13" ht="14.45" customHeight="1" x14ac:dyDescent="0.2">
      <c r="A5" s="187" t="s">
        <v>50</v>
      </c>
      <c r="B5" s="186">
        <f>IF(ISERROR(VLOOKUP($A5,'Man Tab'!$A:$Q,COLUMN()+2,0)),0,VLOOKUP($A5,'Man Tab'!$A:$Q,COLUMN()+2,0))</f>
        <v>152.04229000000001</v>
      </c>
      <c r="C5" s="186">
        <f>IF(ISERROR(VLOOKUP($A5,'Man Tab'!$A:$Q,COLUMN()+2,0)),0,VLOOKUP($A5,'Man Tab'!$A:$Q,COLUMN()+2,0))</f>
        <v>152.43430000000001</v>
      </c>
      <c r="D5" s="186">
        <f>IF(ISERROR(VLOOKUP($A5,'Man Tab'!$A:$Q,COLUMN()+2,0)),0,VLOOKUP($A5,'Man Tab'!$A:$Q,COLUMN()+2,0))</f>
        <v>148.37213</v>
      </c>
      <c r="E5" s="186">
        <f>IF(ISERROR(VLOOKUP($A5,'Man Tab'!$A:$Q,COLUMN()+2,0)),0,VLOOKUP($A5,'Man Tab'!$A:$Q,COLUMN()+2,0))</f>
        <v>160.79970999999901</v>
      </c>
      <c r="F5" s="186">
        <f>IF(ISERROR(VLOOKUP($A5,'Man Tab'!$A:$Q,COLUMN()+2,0)),0,VLOOKUP($A5,'Man Tab'!$A:$Q,COLUMN()+2,0))</f>
        <v>165.66611</v>
      </c>
      <c r="G5" s="186">
        <f>IF(ISERROR(VLOOKUP($A5,'Man Tab'!$A:$Q,COLUMN()+2,0)),0,VLOOKUP($A5,'Man Tab'!$A:$Q,COLUMN()+2,0))</f>
        <v>166.734489999999</v>
      </c>
      <c r="H5" s="186">
        <f>IF(ISERROR(VLOOKUP($A5,'Man Tab'!$A:$Q,COLUMN()+2,0)),0,VLOOKUP($A5,'Man Tab'!$A:$Q,COLUMN()+2,0))</f>
        <v>308.97464000000002</v>
      </c>
      <c r="I5" s="186">
        <f>IF(ISERROR(VLOOKUP($A5,'Man Tab'!$A:$Q,COLUMN()+2,0)),0,VLOOKUP($A5,'Man Tab'!$A:$Q,COLUMN()+2,0))</f>
        <v>147.36269999999999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5" customHeight="1" x14ac:dyDescent="0.2">
      <c r="A6" s="187" t="s">
        <v>73</v>
      </c>
      <c r="B6" s="188">
        <f>B5</f>
        <v>152.04229000000001</v>
      </c>
      <c r="C6" s="188">
        <f t="shared" ref="C6:M6" si="1">C5+B6</f>
        <v>304.47658999999999</v>
      </c>
      <c r="D6" s="188">
        <f t="shared" si="1"/>
        <v>452.84871999999996</v>
      </c>
      <c r="E6" s="188">
        <f t="shared" si="1"/>
        <v>613.64842999999894</v>
      </c>
      <c r="F6" s="188">
        <f t="shared" si="1"/>
        <v>779.31453999999894</v>
      </c>
      <c r="G6" s="188">
        <f t="shared" si="1"/>
        <v>946.04902999999797</v>
      </c>
      <c r="H6" s="188">
        <f t="shared" si="1"/>
        <v>1255.023669999998</v>
      </c>
      <c r="I6" s="188">
        <f t="shared" si="1"/>
        <v>1402.3863699999979</v>
      </c>
      <c r="J6" s="188">
        <f t="shared" si="1"/>
        <v>1402.3863699999979</v>
      </c>
      <c r="K6" s="188">
        <f t="shared" si="1"/>
        <v>1402.3863699999979</v>
      </c>
      <c r="L6" s="188">
        <f t="shared" si="1"/>
        <v>1402.3863699999979</v>
      </c>
      <c r="M6" s="188">
        <f t="shared" si="1"/>
        <v>1402.3863699999979</v>
      </c>
    </row>
    <row r="7" spans="1:13" ht="14.45" customHeight="1" x14ac:dyDescent="0.2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5" customHeight="1" x14ac:dyDescent="0.2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5" customHeight="1" x14ac:dyDescent="0.2">
      <c r="A9" s="187" t="s">
        <v>99</v>
      </c>
      <c r="B9" s="187">
        <v>887</v>
      </c>
      <c r="C9" s="187">
        <v>700</v>
      </c>
      <c r="D9" s="187">
        <v>700</v>
      </c>
      <c r="E9" s="187">
        <v>350</v>
      </c>
      <c r="F9" s="187">
        <v>350</v>
      </c>
      <c r="G9" s="187">
        <v>708</v>
      </c>
      <c r="H9" s="187">
        <v>350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5" customHeight="1" x14ac:dyDescent="0.2">
      <c r="A10" s="187" t="s">
        <v>75</v>
      </c>
      <c r="B10" s="188">
        <f>B9/1000</f>
        <v>0.88700000000000001</v>
      </c>
      <c r="C10" s="188">
        <f t="shared" ref="C10:M10" si="3">C9/1000+B10</f>
        <v>1.587</v>
      </c>
      <c r="D10" s="188">
        <f t="shared" si="3"/>
        <v>2.2869999999999999</v>
      </c>
      <c r="E10" s="188">
        <f t="shared" si="3"/>
        <v>2.637</v>
      </c>
      <c r="F10" s="188">
        <f t="shared" si="3"/>
        <v>2.9870000000000001</v>
      </c>
      <c r="G10" s="188">
        <f t="shared" si="3"/>
        <v>3.6950000000000003</v>
      </c>
      <c r="H10" s="188">
        <f t="shared" si="3"/>
        <v>4.0449999999999999</v>
      </c>
      <c r="I10" s="188">
        <f t="shared" si="3"/>
        <v>4.0449999999999999</v>
      </c>
      <c r="J10" s="188">
        <f t="shared" si="3"/>
        <v>4.0449999999999999</v>
      </c>
      <c r="K10" s="188">
        <f t="shared" si="3"/>
        <v>4.0449999999999999</v>
      </c>
      <c r="L10" s="188">
        <f t="shared" si="3"/>
        <v>4.0449999999999999</v>
      </c>
      <c r="M10" s="188">
        <f t="shared" si="3"/>
        <v>4.0449999999999999</v>
      </c>
    </row>
    <row r="11" spans="1:13" ht="14.45" customHeight="1" x14ac:dyDescent="0.2">
      <c r="A11" s="183"/>
      <c r="B11" s="183" t="s">
        <v>90</v>
      </c>
      <c r="C11" s="183">
        <f ca="1">IF(MONTH(TODAY())=1,12,MONTH(TODAY())-1)</f>
        <v>8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5" customHeight="1" x14ac:dyDescent="0.2">
      <c r="A12" s="183">
        <v>0</v>
      </c>
      <c r="B12" s="186">
        <f>IF(ISERROR(HI!F15),#REF!,HI!F15)</f>
        <v>8.2682106697191786E-4</v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5" customHeight="1" x14ac:dyDescent="0.2">
      <c r="A13" s="183">
        <v>1</v>
      </c>
      <c r="B13" s="186">
        <f>IF(ISERROR(HI!F15),#REF!,HI!F15)</f>
        <v>8.2682106697191786E-4</v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 xr:uid="{112BBC7C-EB5D-4376-9D76-351023DF7929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9" customFormat="1" ht="18.600000000000001" customHeight="1" thickBot="1" x14ac:dyDescent="0.35">
      <c r="A1" s="300" t="s">
        <v>235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89" customFormat="1" ht="14.45" customHeight="1" thickBot="1" x14ac:dyDescent="0.25">
      <c r="A2" s="214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5" customHeight="1" x14ac:dyDescent="0.2">
      <c r="A3" s="67"/>
      <c r="B3" s="301" t="s">
        <v>26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23"/>
      <c r="Q3" s="125"/>
    </row>
    <row r="4" spans="1:17" ht="14.45" customHeight="1" x14ac:dyDescent="0.2">
      <c r="A4" s="68"/>
      <c r="B4" s="20">
        <v>2019</v>
      </c>
      <c r="C4" s="124" t="s">
        <v>27</v>
      </c>
      <c r="D4" s="225" t="s">
        <v>212</v>
      </c>
      <c r="E4" s="225" t="s">
        <v>213</v>
      </c>
      <c r="F4" s="225" t="s">
        <v>214</v>
      </c>
      <c r="G4" s="225" t="s">
        <v>215</v>
      </c>
      <c r="H4" s="225" t="s">
        <v>216</v>
      </c>
      <c r="I4" s="225" t="s">
        <v>217</v>
      </c>
      <c r="J4" s="225" t="s">
        <v>218</v>
      </c>
      <c r="K4" s="225" t="s">
        <v>219</v>
      </c>
      <c r="L4" s="225" t="s">
        <v>220</v>
      </c>
      <c r="M4" s="225" t="s">
        <v>221</v>
      </c>
      <c r="N4" s="225" t="s">
        <v>222</v>
      </c>
      <c r="O4" s="225" t="s">
        <v>223</v>
      </c>
      <c r="P4" s="303" t="s">
        <v>3</v>
      </c>
      <c r="Q4" s="304"/>
    </row>
    <row r="5" spans="1:17" ht="14.45" customHeight="1" thickBot="1" x14ac:dyDescent="0.2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5" customHeight="1" x14ac:dyDescent="0.2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5" customHeight="1" x14ac:dyDescent="0.2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5" customHeight="1" x14ac:dyDescent="0.2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5" customHeight="1" x14ac:dyDescent="0.2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5" customHeight="1" x14ac:dyDescent="0.2">
      <c r="A11" s="15" t="s">
        <v>36</v>
      </c>
      <c r="B11" s="46">
        <v>2.3492403842980001</v>
      </c>
      <c r="C11" s="47">
        <v>0.19577003202400001</v>
      </c>
      <c r="D11" s="47">
        <v>0</v>
      </c>
      <c r="E11" s="47">
        <v>0</v>
      </c>
      <c r="F11" s="47">
        <v>2.5999999999E-2</v>
      </c>
      <c r="G11" s="47">
        <v>0</v>
      </c>
      <c r="H11" s="47">
        <v>0.19900000000000001</v>
      </c>
      <c r="I11" s="47">
        <v>-0.198999999999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2.5999999999999999E-2</v>
      </c>
      <c r="Q11" s="84">
        <v>1.6601110834999998E-2</v>
      </c>
    </row>
    <row r="12" spans="1:17" ht="14.45" customHeight="1" x14ac:dyDescent="0.2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5" customHeight="1" x14ac:dyDescent="0.2">
      <c r="A13" s="15" t="s">
        <v>38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 t="s">
        <v>233</v>
      </c>
    </row>
    <row r="14" spans="1:17" ht="14.45" customHeight="1" x14ac:dyDescent="0.2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5" customHeight="1" x14ac:dyDescent="0.2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5" customHeight="1" x14ac:dyDescent="0.2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5" customHeight="1" x14ac:dyDescent="0.2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5" customHeight="1" x14ac:dyDescent="0.2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5" customHeight="1" x14ac:dyDescent="0.2">
      <c r="A19" s="15" t="s">
        <v>44</v>
      </c>
      <c r="B19" s="46">
        <v>0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84" t="s">
        <v>233</v>
      </c>
    </row>
    <row r="20" spans="1:17" ht="14.45" customHeight="1" x14ac:dyDescent="0.2">
      <c r="A20" s="15" t="s">
        <v>45</v>
      </c>
      <c r="B20" s="46">
        <v>1929.7495220000001</v>
      </c>
      <c r="C20" s="47">
        <v>160.81246016666699</v>
      </c>
      <c r="D20" s="47">
        <v>152.04229000000001</v>
      </c>
      <c r="E20" s="47">
        <v>152.43430000000001</v>
      </c>
      <c r="F20" s="47">
        <v>148.34612999999999</v>
      </c>
      <c r="G20" s="47">
        <v>160.79970999999901</v>
      </c>
      <c r="H20" s="47">
        <v>165.46710999999999</v>
      </c>
      <c r="I20" s="47">
        <v>166.93348999999901</v>
      </c>
      <c r="J20" s="47">
        <v>308.97464000000002</v>
      </c>
      <c r="K20" s="47">
        <v>147.36269999999999</v>
      </c>
      <c r="L20" s="47">
        <v>0</v>
      </c>
      <c r="M20" s="47">
        <v>0</v>
      </c>
      <c r="N20" s="47">
        <v>0</v>
      </c>
      <c r="O20" s="47">
        <v>0</v>
      </c>
      <c r="P20" s="48">
        <v>1402.3603700000001</v>
      </c>
      <c r="Q20" s="84">
        <v>1.0900588553170001</v>
      </c>
    </row>
    <row r="21" spans="1:17" ht="14.45" customHeight="1" x14ac:dyDescent="0.2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5" customHeight="1" x14ac:dyDescent="0.2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5" customHeight="1" x14ac:dyDescent="0.2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5" customHeight="1" x14ac:dyDescent="0.2">
      <c r="A24" s="16" t="s">
        <v>49</v>
      </c>
      <c r="B24" s="46">
        <v>-2.2737367544323201E-13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2.8421709430404001E-14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2.8421709430404001E-14</v>
      </c>
      <c r="Q24" s="84"/>
    </row>
    <row r="25" spans="1:17" ht="14.45" customHeight="1" x14ac:dyDescent="0.2">
      <c r="A25" s="17" t="s">
        <v>50</v>
      </c>
      <c r="B25" s="49">
        <v>1932.0987623843</v>
      </c>
      <c r="C25" s="50">
        <v>161.00823019869199</v>
      </c>
      <c r="D25" s="50">
        <v>152.04229000000001</v>
      </c>
      <c r="E25" s="50">
        <v>152.43430000000001</v>
      </c>
      <c r="F25" s="50">
        <v>148.37213</v>
      </c>
      <c r="G25" s="50">
        <v>160.79970999999901</v>
      </c>
      <c r="H25" s="50">
        <v>165.66611</v>
      </c>
      <c r="I25" s="50">
        <v>166.734489999999</v>
      </c>
      <c r="J25" s="50">
        <v>308.97464000000002</v>
      </c>
      <c r="K25" s="50">
        <v>147.36269999999999</v>
      </c>
      <c r="L25" s="50">
        <v>0</v>
      </c>
      <c r="M25" s="50">
        <v>0</v>
      </c>
      <c r="N25" s="50">
        <v>0</v>
      </c>
      <c r="O25" s="50">
        <v>0</v>
      </c>
      <c r="P25" s="51">
        <v>1402.3863699999999</v>
      </c>
      <c r="Q25" s="85">
        <v>1.0887536372119999</v>
      </c>
    </row>
    <row r="26" spans="1:17" ht="14.45" customHeight="1" x14ac:dyDescent="0.2">
      <c r="A26" s="15" t="s">
        <v>51</v>
      </c>
      <c r="B26" s="46">
        <v>324.41362877600699</v>
      </c>
      <c r="C26" s="47">
        <v>27.034469064667</v>
      </c>
      <c r="D26" s="47">
        <v>26.94886</v>
      </c>
      <c r="E26" s="47">
        <v>28.123819999999998</v>
      </c>
      <c r="F26" s="47">
        <v>23.344439999999999</v>
      </c>
      <c r="G26" s="47">
        <v>29.33154</v>
      </c>
      <c r="H26" s="47">
        <v>25.969339999999999</v>
      </c>
      <c r="I26" s="47">
        <v>42.761670000000002</v>
      </c>
      <c r="J26" s="47">
        <v>39.438130000000001</v>
      </c>
      <c r="K26" s="47">
        <v>21.741009999999999</v>
      </c>
      <c r="L26" s="47">
        <v>0</v>
      </c>
      <c r="M26" s="47">
        <v>0</v>
      </c>
      <c r="N26" s="47">
        <v>0</v>
      </c>
      <c r="O26" s="47">
        <v>0</v>
      </c>
      <c r="P26" s="48">
        <v>237.65880999999999</v>
      </c>
      <c r="Q26" s="84">
        <v>1.0988694166299999</v>
      </c>
    </row>
    <row r="27" spans="1:17" ht="14.45" customHeight="1" x14ac:dyDescent="0.2">
      <c r="A27" s="18" t="s">
        <v>52</v>
      </c>
      <c r="B27" s="49">
        <v>2256.51239116031</v>
      </c>
      <c r="C27" s="50">
        <v>188.042699263359</v>
      </c>
      <c r="D27" s="50">
        <v>178.99115</v>
      </c>
      <c r="E27" s="50">
        <v>180.55812</v>
      </c>
      <c r="F27" s="50">
        <v>171.71656999999999</v>
      </c>
      <c r="G27" s="50">
        <v>190.131249999999</v>
      </c>
      <c r="H27" s="50">
        <v>191.63544999999999</v>
      </c>
      <c r="I27" s="50">
        <v>209.49615999999901</v>
      </c>
      <c r="J27" s="50">
        <v>348.41277000000002</v>
      </c>
      <c r="K27" s="50">
        <v>169.10371000000001</v>
      </c>
      <c r="L27" s="50">
        <v>0</v>
      </c>
      <c r="M27" s="50">
        <v>0</v>
      </c>
      <c r="N27" s="50">
        <v>0</v>
      </c>
      <c r="O27" s="50">
        <v>0</v>
      </c>
      <c r="P27" s="51">
        <v>1640.0451800000001</v>
      </c>
      <c r="Q27" s="85">
        <v>1.090207959697</v>
      </c>
    </row>
    <row r="28" spans="1:17" ht="14.45" customHeight="1" x14ac:dyDescent="0.2">
      <c r="A28" s="16" t="s">
        <v>53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0.43675999999999998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0.43675999999999998</v>
      </c>
      <c r="Q28" s="84" t="s">
        <v>234</v>
      </c>
    </row>
    <row r="29" spans="1:17" ht="14.45" customHeight="1" x14ac:dyDescent="0.2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5" customHeight="1" x14ac:dyDescent="0.2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>
        <v>0</v>
      </c>
    </row>
    <row r="31" spans="1:17" ht="14.45" customHeight="1" thickBot="1" x14ac:dyDescent="0.2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210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7CAAA6F4-0345-438E-9656-47054CDAF5B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K7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1" s="55" customFormat="1" ht="18.600000000000001" customHeight="1" thickBot="1" x14ac:dyDescent="0.35">
      <c r="A1" s="300" t="s">
        <v>58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1" s="55" customFormat="1" ht="14.45" customHeight="1" thickBot="1" x14ac:dyDescent="0.25">
      <c r="A2" s="214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5" customHeight="1" x14ac:dyDescent="0.2">
      <c r="A3" s="67"/>
      <c r="B3" s="301" t="s">
        <v>59</v>
      </c>
      <c r="C3" s="302"/>
      <c r="D3" s="302"/>
      <c r="E3" s="302"/>
      <c r="F3" s="308" t="s">
        <v>60</v>
      </c>
      <c r="G3" s="302"/>
      <c r="H3" s="302"/>
      <c r="I3" s="302"/>
      <c r="J3" s="302"/>
      <c r="K3" s="309"/>
    </row>
    <row r="4" spans="1:11" ht="14.45" customHeight="1" x14ac:dyDescent="0.2">
      <c r="A4" s="68"/>
      <c r="B4" s="306"/>
      <c r="C4" s="307"/>
      <c r="D4" s="307"/>
      <c r="E4" s="307"/>
      <c r="F4" s="310" t="s">
        <v>228</v>
      </c>
      <c r="G4" s="312" t="s">
        <v>61</v>
      </c>
      <c r="H4" s="126" t="s">
        <v>125</v>
      </c>
      <c r="I4" s="310" t="s">
        <v>62</v>
      </c>
      <c r="J4" s="312" t="s">
        <v>230</v>
      </c>
      <c r="K4" s="313" t="s">
        <v>231</v>
      </c>
    </row>
    <row r="5" spans="1:11" ht="39" thickBot="1" x14ac:dyDescent="0.25">
      <c r="A5" s="69"/>
      <c r="B5" s="24" t="s">
        <v>224</v>
      </c>
      <c r="C5" s="25" t="s">
        <v>225</v>
      </c>
      <c r="D5" s="26" t="s">
        <v>226</v>
      </c>
      <c r="E5" s="26" t="s">
        <v>227</v>
      </c>
      <c r="F5" s="311"/>
      <c r="G5" s="311"/>
      <c r="H5" s="25" t="s">
        <v>229</v>
      </c>
      <c r="I5" s="311"/>
      <c r="J5" s="311"/>
      <c r="K5" s="314"/>
    </row>
    <row r="6" spans="1:11" ht="14.45" customHeight="1" thickBot="1" x14ac:dyDescent="0.25">
      <c r="A6" s="411" t="s">
        <v>236</v>
      </c>
      <c r="B6" s="393">
        <v>1927.24936085426</v>
      </c>
      <c r="C6" s="393">
        <v>1975.1649600000001</v>
      </c>
      <c r="D6" s="394">
        <v>47.915599145740998</v>
      </c>
      <c r="E6" s="395">
        <v>1.0248621689120001</v>
      </c>
      <c r="F6" s="393">
        <v>1932.0987623843</v>
      </c>
      <c r="G6" s="394">
        <v>1288.06584158953</v>
      </c>
      <c r="H6" s="396">
        <v>147.36269999999999</v>
      </c>
      <c r="I6" s="393">
        <v>1402.3863699999999</v>
      </c>
      <c r="J6" s="394">
        <v>114.320528410466</v>
      </c>
      <c r="K6" s="397">
        <v>0.72583575814099999</v>
      </c>
    </row>
    <row r="7" spans="1:11" ht="14.45" customHeight="1" thickBot="1" x14ac:dyDescent="0.25">
      <c r="A7" s="412" t="s">
        <v>237</v>
      </c>
      <c r="B7" s="393">
        <v>3.9719719435299998</v>
      </c>
      <c r="C7" s="393">
        <v>0.93</v>
      </c>
      <c r="D7" s="394">
        <v>-3.0419719435300001</v>
      </c>
      <c r="E7" s="395">
        <v>0.234140626676</v>
      </c>
      <c r="F7" s="393">
        <v>2.3492403842980001</v>
      </c>
      <c r="G7" s="394">
        <v>1.566160256199</v>
      </c>
      <c r="H7" s="396">
        <v>0</v>
      </c>
      <c r="I7" s="393">
        <v>2.5999999999999999E-2</v>
      </c>
      <c r="J7" s="394">
        <v>-1.540160256199</v>
      </c>
      <c r="K7" s="397">
        <v>1.1067407223E-2</v>
      </c>
    </row>
    <row r="8" spans="1:11" ht="14.45" customHeight="1" thickBot="1" x14ac:dyDescent="0.25">
      <c r="A8" s="413" t="s">
        <v>238</v>
      </c>
      <c r="B8" s="393">
        <v>3.9719719435299998</v>
      </c>
      <c r="C8" s="393">
        <v>0.93</v>
      </c>
      <c r="D8" s="394">
        <v>-3.0419719435300001</v>
      </c>
      <c r="E8" s="395">
        <v>0.234140626676</v>
      </c>
      <c r="F8" s="393">
        <v>2.3492403842980001</v>
      </c>
      <c r="G8" s="394">
        <v>1.566160256199</v>
      </c>
      <c r="H8" s="396">
        <v>0</v>
      </c>
      <c r="I8" s="393">
        <v>2.5999999999999999E-2</v>
      </c>
      <c r="J8" s="394">
        <v>-1.540160256199</v>
      </c>
      <c r="K8" s="397">
        <v>1.1067407223E-2</v>
      </c>
    </row>
    <row r="9" spans="1:11" ht="14.45" customHeight="1" thickBot="1" x14ac:dyDescent="0.25">
      <c r="A9" s="414" t="s">
        <v>239</v>
      </c>
      <c r="B9" s="398">
        <v>2.2017867764860002</v>
      </c>
      <c r="C9" s="398">
        <v>0.93</v>
      </c>
      <c r="D9" s="399">
        <v>-1.271786776486</v>
      </c>
      <c r="E9" s="400">
        <v>0.42238422445399998</v>
      </c>
      <c r="F9" s="398">
        <v>2.3492403842980001</v>
      </c>
      <c r="G9" s="399">
        <v>1.566160256199</v>
      </c>
      <c r="H9" s="401">
        <v>0</v>
      </c>
      <c r="I9" s="398">
        <v>2.5999999999999999E-2</v>
      </c>
      <c r="J9" s="399">
        <v>-1.540160256199</v>
      </c>
      <c r="K9" s="402">
        <v>1.1067407223E-2</v>
      </c>
    </row>
    <row r="10" spans="1:11" ht="14.45" customHeight="1" thickBot="1" x14ac:dyDescent="0.25">
      <c r="A10" s="415" t="s">
        <v>240</v>
      </c>
      <c r="B10" s="393">
        <v>2</v>
      </c>
      <c r="C10" s="393">
        <v>0.54279999999999995</v>
      </c>
      <c r="D10" s="394">
        <v>-1.4572000000000001</v>
      </c>
      <c r="E10" s="395">
        <v>0.27139999999999997</v>
      </c>
      <c r="F10" s="393">
        <v>2</v>
      </c>
      <c r="G10" s="394">
        <v>1.333333333333</v>
      </c>
      <c r="H10" s="396">
        <v>0</v>
      </c>
      <c r="I10" s="393">
        <v>0</v>
      </c>
      <c r="J10" s="394">
        <v>-1.333333333333</v>
      </c>
      <c r="K10" s="397">
        <v>0</v>
      </c>
    </row>
    <row r="11" spans="1:11" ht="14.45" customHeight="1" thickBot="1" x14ac:dyDescent="0.25">
      <c r="A11" s="415" t="s">
        <v>241</v>
      </c>
      <c r="B11" s="393">
        <v>0</v>
      </c>
      <c r="C11" s="393">
        <v>0</v>
      </c>
      <c r="D11" s="394">
        <v>0</v>
      </c>
      <c r="E11" s="395">
        <v>1</v>
      </c>
      <c r="F11" s="393">
        <v>0</v>
      </c>
      <c r="G11" s="394">
        <v>0</v>
      </c>
      <c r="H11" s="396">
        <v>0</v>
      </c>
      <c r="I11" s="393">
        <v>2.5999999999E-2</v>
      </c>
      <c r="J11" s="394">
        <v>2.5999999999E-2</v>
      </c>
      <c r="K11" s="403" t="s">
        <v>234</v>
      </c>
    </row>
    <row r="12" spans="1:11" ht="14.45" customHeight="1" thickBot="1" x14ac:dyDescent="0.25">
      <c r="A12" s="415" t="s">
        <v>242</v>
      </c>
      <c r="B12" s="393">
        <v>0.20178677648599999</v>
      </c>
      <c r="C12" s="393">
        <v>0.38719999999999999</v>
      </c>
      <c r="D12" s="394">
        <v>0.18541322351299999</v>
      </c>
      <c r="E12" s="395">
        <v>1.918857155765</v>
      </c>
      <c r="F12" s="393">
        <v>0.34924038429799997</v>
      </c>
      <c r="G12" s="394">
        <v>0.23282692286500001</v>
      </c>
      <c r="H12" s="396">
        <v>0</v>
      </c>
      <c r="I12" s="393">
        <v>7.4940054162198096E-16</v>
      </c>
      <c r="J12" s="394">
        <v>-0.23282692286500001</v>
      </c>
      <c r="K12" s="397">
        <v>2.1458015032454199E-15</v>
      </c>
    </row>
    <row r="13" spans="1:11" ht="14.45" customHeight="1" thickBot="1" x14ac:dyDescent="0.25">
      <c r="A13" s="414" t="s">
        <v>243</v>
      </c>
      <c r="B13" s="398">
        <v>1.7701851670440001</v>
      </c>
      <c r="C13" s="398">
        <v>0</v>
      </c>
      <c r="D13" s="399">
        <v>-1.7701851670440001</v>
      </c>
      <c r="E13" s="400">
        <v>0</v>
      </c>
      <c r="F13" s="398">
        <v>0</v>
      </c>
      <c r="G13" s="399">
        <v>0</v>
      </c>
      <c r="H13" s="401">
        <v>0</v>
      </c>
      <c r="I13" s="398">
        <v>0</v>
      </c>
      <c r="J13" s="399">
        <v>0</v>
      </c>
      <c r="K13" s="404" t="s">
        <v>233</v>
      </c>
    </row>
    <row r="14" spans="1:11" ht="14.45" customHeight="1" thickBot="1" x14ac:dyDescent="0.25">
      <c r="A14" s="415" t="s">
        <v>244</v>
      </c>
      <c r="B14" s="393">
        <v>1.7701851670440001</v>
      </c>
      <c r="C14" s="393">
        <v>0</v>
      </c>
      <c r="D14" s="394">
        <v>-1.7701851670440001</v>
      </c>
      <c r="E14" s="395">
        <v>0</v>
      </c>
      <c r="F14" s="393">
        <v>0</v>
      </c>
      <c r="G14" s="394">
        <v>0</v>
      </c>
      <c r="H14" s="396">
        <v>0</v>
      </c>
      <c r="I14" s="393">
        <v>0</v>
      </c>
      <c r="J14" s="394">
        <v>0</v>
      </c>
      <c r="K14" s="397">
        <v>0</v>
      </c>
    </row>
    <row r="15" spans="1:11" ht="14.45" customHeight="1" thickBot="1" x14ac:dyDescent="0.25">
      <c r="A15" s="416" t="s">
        <v>245</v>
      </c>
      <c r="B15" s="398">
        <v>3.0975689951000002E-2</v>
      </c>
      <c r="C15" s="398">
        <v>0</v>
      </c>
      <c r="D15" s="399">
        <v>-3.0975689951000002E-2</v>
      </c>
      <c r="E15" s="400">
        <v>0</v>
      </c>
      <c r="F15" s="398">
        <v>0</v>
      </c>
      <c r="G15" s="399">
        <v>0</v>
      </c>
      <c r="H15" s="401">
        <v>0</v>
      </c>
      <c r="I15" s="398">
        <v>0</v>
      </c>
      <c r="J15" s="399">
        <v>0</v>
      </c>
      <c r="K15" s="404" t="s">
        <v>233</v>
      </c>
    </row>
    <row r="16" spans="1:11" ht="14.45" customHeight="1" thickBot="1" x14ac:dyDescent="0.25">
      <c r="A16" s="413" t="s">
        <v>44</v>
      </c>
      <c r="B16" s="393">
        <v>3.0975689951000002E-2</v>
      </c>
      <c r="C16" s="393">
        <v>0</v>
      </c>
      <c r="D16" s="394">
        <v>-3.0975689951000002E-2</v>
      </c>
      <c r="E16" s="395">
        <v>0</v>
      </c>
      <c r="F16" s="393">
        <v>0</v>
      </c>
      <c r="G16" s="394">
        <v>0</v>
      </c>
      <c r="H16" s="396">
        <v>0</v>
      </c>
      <c r="I16" s="393">
        <v>0</v>
      </c>
      <c r="J16" s="394">
        <v>0</v>
      </c>
      <c r="K16" s="403" t="s">
        <v>233</v>
      </c>
    </row>
    <row r="17" spans="1:11" ht="14.45" customHeight="1" thickBot="1" x14ac:dyDescent="0.25">
      <c r="A17" s="414" t="s">
        <v>246</v>
      </c>
      <c r="B17" s="398">
        <v>3.0975689951000002E-2</v>
      </c>
      <c r="C17" s="398">
        <v>0</v>
      </c>
      <c r="D17" s="399">
        <v>-3.0975689951000002E-2</v>
      </c>
      <c r="E17" s="400">
        <v>0</v>
      </c>
      <c r="F17" s="398">
        <v>0</v>
      </c>
      <c r="G17" s="399">
        <v>0</v>
      </c>
      <c r="H17" s="401">
        <v>0</v>
      </c>
      <c r="I17" s="398">
        <v>0</v>
      </c>
      <c r="J17" s="399">
        <v>0</v>
      </c>
      <c r="K17" s="402">
        <v>0</v>
      </c>
    </row>
    <row r="18" spans="1:11" ht="14.45" customHeight="1" thickBot="1" x14ac:dyDescent="0.25">
      <c r="A18" s="415" t="s">
        <v>247</v>
      </c>
      <c r="B18" s="393">
        <v>3.0975689951000002E-2</v>
      </c>
      <c r="C18" s="393">
        <v>0</v>
      </c>
      <c r="D18" s="394">
        <v>-3.0975689951000002E-2</v>
      </c>
      <c r="E18" s="395">
        <v>0</v>
      </c>
      <c r="F18" s="393">
        <v>0</v>
      </c>
      <c r="G18" s="394">
        <v>0</v>
      </c>
      <c r="H18" s="396">
        <v>0</v>
      </c>
      <c r="I18" s="393">
        <v>0</v>
      </c>
      <c r="J18" s="394">
        <v>0</v>
      </c>
      <c r="K18" s="397">
        <v>0</v>
      </c>
    </row>
    <row r="19" spans="1:11" ht="14.45" customHeight="1" thickBot="1" x14ac:dyDescent="0.25">
      <c r="A19" s="412" t="s">
        <v>45</v>
      </c>
      <c r="B19" s="393">
        <v>1915.511</v>
      </c>
      <c r="C19" s="393">
        <v>1965.73496</v>
      </c>
      <c r="D19" s="394">
        <v>50.223960000006997</v>
      </c>
      <c r="E19" s="395">
        <v>1.0262196145039999</v>
      </c>
      <c r="F19" s="393">
        <v>1929.7495220000001</v>
      </c>
      <c r="G19" s="394">
        <v>1286.49968133333</v>
      </c>
      <c r="H19" s="396">
        <v>147.36269999999999</v>
      </c>
      <c r="I19" s="393">
        <v>1402.3603700000001</v>
      </c>
      <c r="J19" s="394">
        <v>115.860688666665</v>
      </c>
      <c r="K19" s="397">
        <v>0.726705903544</v>
      </c>
    </row>
    <row r="20" spans="1:11" ht="14.45" customHeight="1" thickBot="1" x14ac:dyDescent="0.25">
      <c r="A20" s="417" t="s">
        <v>248</v>
      </c>
      <c r="B20" s="398">
        <v>1409.3510000000001</v>
      </c>
      <c r="C20" s="398">
        <v>1446.1659999999999</v>
      </c>
      <c r="D20" s="399">
        <v>36.815000000006002</v>
      </c>
      <c r="E20" s="400">
        <v>1.0261219525859999</v>
      </c>
      <c r="F20" s="398">
        <v>1343.59</v>
      </c>
      <c r="G20" s="399">
        <v>895.72666666666805</v>
      </c>
      <c r="H20" s="401">
        <v>108.515</v>
      </c>
      <c r="I20" s="398">
        <v>1031.6369999999999</v>
      </c>
      <c r="J20" s="399">
        <v>135.91033333333101</v>
      </c>
      <c r="K20" s="402">
        <v>0.76782128476599998</v>
      </c>
    </row>
    <row r="21" spans="1:11" ht="14.45" customHeight="1" thickBot="1" x14ac:dyDescent="0.25">
      <c r="A21" s="414" t="s">
        <v>249</v>
      </c>
      <c r="B21" s="398">
        <v>1406</v>
      </c>
      <c r="C21" s="398">
        <v>1421.1659999999999</v>
      </c>
      <c r="D21" s="399">
        <v>15.166000000005999</v>
      </c>
      <c r="E21" s="400">
        <v>1.0107866287339999</v>
      </c>
      <c r="F21" s="398">
        <v>1343.59</v>
      </c>
      <c r="G21" s="399">
        <v>895.72666666666805</v>
      </c>
      <c r="H21" s="401">
        <v>108.515</v>
      </c>
      <c r="I21" s="398">
        <v>1031.6369999999999</v>
      </c>
      <c r="J21" s="399">
        <v>135.91033333333101</v>
      </c>
      <c r="K21" s="402">
        <v>0.76782128476599998</v>
      </c>
    </row>
    <row r="22" spans="1:11" ht="14.45" customHeight="1" thickBot="1" x14ac:dyDescent="0.25">
      <c r="A22" s="415" t="s">
        <v>250</v>
      </c>
      <c r="B22" s="393">
        <v>1406</v>
      </c>
      <c r="C22" s="393">
        <v>1421.1659999999999</v>
      </c>
      <c r="D22" s="394">
        <v>15.166000000005999</v>
      </c>
      <c r="E22" s="395">
        <v>1.0107866287339999</v>
      </c>
      <c r="F22" s="393">
        <v>1343.59</v>
      </c>
      <c r="G22" s="394">
        <v>895.72666666666805</v>
      </c>
      <c r="H22" s="396">
        <v>108.515</v>
      </c>
      <c r="I22" s="393">
        <v>1031.6369999999999</v>
      </c>
      <c r="J22" s="394">
        <v>135.91033333333101</v>
      </c>
      <c r="K22" s="397">
        <v>0.76782128476599998</v>
      </c>
    </row>
    <row r="23" spans="1:11" ht="14.45" customHeight="1" thickBot="1" x14ac:dyDescent="0.25">
      <c r="A23" s="414" t="s">
        <v>251</v>
      </c>
      <c r="B23" s="398">
        <v>3.351</v>
      </c>
      <c r="C23" s="398">
        <v>0</v>
      </c>
      <c r="D23" s="399">
        <v>-3.351</v>
      </c>
      <c r="E23" s="400">
        <v>0</v>
      </c>
      <c r="F23" s="398">
        <v>0</v>
      </c>
      <c r="G23" s="399">
        <v>0</v>
      </c>
      <c r="H23" s="401">
        <v>0</v>
      </c>
      <c r="I23" s="398">
        <v>0</v>
      </c>
      <c r="J23" s="399">
        <v>0</v>
      </c>
      <c r="K23" s="402">
        <v>0</v>
      </c>
    </row>
    <row r="24" spans="1:11" ht="14.45" customHeight="1" thickBot="1" x14ac:dyDescent="0.25">
      <c r="A24" s="415" t="s">
        <v>252</v>
      </c>
      <c r="B24" s="393">
        <v>3.351</v>
      </c>
      <c r="C24" s="393">
        <v>0</v>
      </c>
      <c r="D24" s="394">
        <v>-3.351</v>
      </c>
      <c r="E24" s="395">
        <v>0</v>
      </c>
      <c r="F24" s="393">
        <v>0</v>
      </c>
      <c r="G24" s="394">
        <v>0</v>
      </c>
      <c r="H24" s="396">
        <v>0</v>
      </c>
      <c r="I24" s="393">
        <v>0</v>
      </c>
      <c r="J24" s="394">
        <v>0</v>
      </c>
      <c r="K24" s="397">
        <v>0</v>
      </c>
    </row>
    <row r="25" spans="1:11" ht="14.45" customHeight="1" thickBot="1" x14ac:dyDescent="0.25">
      <c r="A25" s="418" t="s">
        <v>253</v>
      </c>
      <c r="B25" s="393">
        <v>0</v>
      </c>
      <c r="C25" s="393">
        <v>25</v>
      </c>
      <c r="D25" s="394">
        <v>25</v>
      </c>
      <c r="E25" s="405" t="s">
        <v>233</v>
      </c>
      <c r="F25" s="393">
        <v>0</v>
      </c>
      <c r="G25" s="394">
        <v>0</v>
      </c>
      <c r="H25" s="396">
        <v>0</v>
      </c>
      <c r="I25" s="393">
        <v>0</v>
      </c>
      <c r="J25" s="394">
        <v>0</v>
      </c>
      <c r="K25" s="403" t="s">
        <v>233</v>
      </c>
    </row>
    <row r="26" spans="1:11" ht="14.45" customHeight="1" thickBot="1" x14ac:dyDescent="0.25">
      <c r="A26" s="415" t="s">
        <v>254</v>
      </c>
      <c r="B26" s="393">
        <v>0</v>
      </c>
      <c r="C26" s="393">
        <v>25</v>
      </c>
      <c r="D26" s="394">
        <v>25</v>
      </c>
      <c r="E26" s="405" t="s">
        <v>233</v>
      </c>
      <c r="F26" s="393">
        <v>0</v>
      </c>
      <c r="G26" s="394">
        <v>0</v>
      </c>
      <c r="H26" s="396">
        <v>0</v>
      </c>
      <c r="I26" s="393">
        <v>0</v>
      </c>
      <c r="J26" s="394">
        <v>0</v>
      </c>
      <c r="K26" s="403" t="s">
        <v>233</v>
      </c>
    </row>
    <row r="27" spans="1:11" ht="14.45" customHeight="1" thickBot="1" x14ac:dyDescent="0.25">
      <c r="A27" s="413" t="s">
        <v>255</v>
      </c>
      <c r="B27" s="393">
        <v>478.04</v>
      </c>
      <c r="C27" s="393">
        <v>491.15025000000099</v>
      </c>
      <c r="D27" s="394">
        <v>13.110250000001001</v>
      </c>
      <c r="E27" s="395">
        <v>1.0274250062750001</v>
      </c>
      <c r="F27" s="393">
        <v>547.22</v>
      </c>
      <c r="G27" s="394">
        <v>364.81333333333299</v>
      </c>
      <c r="H27" s="396">
        <v>36.678719999999998</v>
      </c>
      <c r="I27" s="393">
        <v>350.08967000000001</v>
      </c>
      <c r="J27" s="394">
        <v>-14.723663333333</v>
      </c>
      <c r="K27" s="397">
        <v>0.63976037060000002</v>
      </c>
    </row>
    <row r="28" spans="1:11" ht="14.45" customHeight="1" thickBot="1" x14ac:dyDescent="0.25">
      <c r="A28" s="414" t="s">
        <v>256</v>
      </c>
      <c r="B28" s="398">
        <v>126.54</v>
      </c>
      <c r="C28" s="398">
        <v>130.1455</v>
      </c>
      <c r="D28" s="399">
        <v>3.6054999999990001</v>
      </c>
      <c r="E28" s="400">
        <v>1.02849296665</v>
      </c>
      <c r="F28" s="398">
        <v>144.87</v>
      </c>
      <c r="G28" s="399">
        <v>96.579999999999004</v>
      </c>
      <c r="H28" s="401">
        <v>9.7669999999999995</v>
      </c>
      <c r="I28" s="398">
        <v>92.852500000000006</v>
      </c>
      <c r="J28" s="399">
        <v>-3.7274999999989999</v>
      </c>
      <c r="K28" s="402">
        <v>0.64093670186999996</v>
      </c>
    </row>
    <row r="29" spans="1:11" ht="14.45" customHeight="1" thickBot="1" x14ac:dyDescent="0.25">
      <c r="A29" s="415" t="s">
        <v>257</v>
      </c>
      <c r="B29" s="393">
        <v>126.54</v>
      </c>
      <c r="C29" s="393">
        <v>130.1455</v>
      </c>
      <c r="D29" s="394">
        <v>3.6054999999990001</v>
      </c>
      <c r="E29" s="395">
        <v>1.02849296665</v>
      </c>
      <c r="F29" s="393">
        <v>144.87</v>
      </c>
      <c r="G29" s="394">
        <v>96.579999999999004</v>
      </c>
      <c r="H29" s="396">
        <v>9.7669999999999995</v>
      </c>
      <c r="I29" s="393">
        <v>92.852500000000006</v>
      </c>
      <c r="J29" s="394">
        <v>-3.7274999999989999</v>
      </c>
      <c r="K29" s="397">
        <v>0.64093670186999996</v>
      </c>
    </row>
    <row r="30" spans="1:11" ht="14.45" customHeight="1" thickBot="1" x14ac:dyDescent="0.25">
      <c r="A30" s="414" t="s">
        <v>258</v>
      </c>
      <c r="B30" s="398">
        <v>351.5</v>
      </c>
      <c r="C30" s="398">
        <v>361.00475000000102</v>
      </c>
      <c r="D30" s="399">
        <v>9.5047500000009997</v>
      </c>
      <c r="E30" s="400">
        <v>1.02704054054</v>
      </c>
      <c r="F30" s="398">
        <v>402.35</v>
      </c>
      <c r="G30" s="399">
        <v>268.23333333333301</v>
      </c>
      <c r="H30" s="401">
        <v>26.911719999999999</v>
      </c>
      <c r="I30" s="398">
        <v>257.23716999999999</v>
      </c>
      <c r="J30" s="399">
        <v>-10.996163333333</v>
      </c>
      <c r="K30" s="402">
        <v>0.63933682117500001</v>
      </c>
    </row>
    <row r="31" spans="1:11" ht="14.45" customHeight="1" thickBot="1" x14ac:dyDescent="0.25">
      <c r="A31" s="415" t="s">
        <v>259</v>
      </c>
      <c r="B31" s="393">
        <v>351.5</v>
      </c>
      <c r="C31" s="393">
        <v>361.00475000000102</v>
      </c>
      <c r="D31" s="394">
        <v>9.5047500000009997</v>
      </c>
      <c r="E31" s="395">
        <v>1.02704054054</v>
      </c>
      <c r="F31" s="393">
        <v>402.35</v>
      </c>
      <c r="G31" s="394">
        <v>268.23333333333301</v>
      </c>
      <c r="H31" s="396">
        <v>26.911719999999999</v>
      </c>
      <c r="I31" s="393">
        <v>257.23716999999999</v>
      </c>
      <c r="J31" s="394">
        <v>-10.996163333333</v>
      </c>
      <c r="K31" s="397">
        <v>0.63933682117500001</v>
      </c>
    </row>
    <row r="32" spans="1:11" ht="14.45" customHeight="1" thickBot="1" x14ac:dyDescent="0.25">
      <c r="A32" s="413" t="s">
        <v>260</v>
      </c>
      <c r="B32" s="393">
        <v>0</v>
      </c>
      <c r="C32" s="393">
        <v>0</v>
      </c>
      <c r="D32" s="394">
        <v>0</v>
      </c>
      <c r="E32" s="395">
        <v>1</v>
      </c>
      <c r="F32" s="393">
        <v>6.7595219999999996</v>
      </c>
      <c r="G32" s="394">
        <v>4.506348</v>
      </c>
      <c r="H32" s="396">
        <v>0</v>
      </c>
      <c r="I32" s="393">
        <v>0</v>
      </c>
      <c r="J32" s="394">
        <v>-4.506348</v>
      </c>
      <c r="K32" s="397">
        <v>0</v>
      </c>
    </row>
    <row r="33" spans="1:11" ht="14.45" customHeight="1" thickBot="1" x14ac:dyDescent="0.25">
      <c r="A33" s="414" t="s">
        <v>261</v>
      </c>
      <c r="B33" s="398">
        <v>0</v>
      </c>
      <c r="C33" s="398">
        <v>0</v>
      </c>
      <c r="D33" s="399">
        <v>0</v>
      </c>
      <c r="E33" s="400">
        <v>1</v>
      </c>
      <c r="F33" s="398">
        <v>6.7595219999999996</v>
      </c>
      <c r="G33" s="399">
        <v>4.506348</v>
      </c>
      <c r="H33" s="401">
        <v>0</v>
      </c>
      <c r="I33" s="398">
        <v>0</v>
      </c>
      <c r="J33" s="399">
        <v>-4.506348</v>
      </c>
      <c r="K33" s="402">
        <v>0</v>
      </c>
    </row>
    <row r="34" spans="1:11" ht="14.45" customHeight="1" thickBot="1" x14ac:dyDescent="0.25">
      <c r="A34" s="415" t="s">
        <v>262</v>
      </c>
      <c r="B34" s="393">
        <v>0</v>
      </c>
      <c r="C34" s="393">
        <v>0</v>
      </c>
      <c r="D34" s="394">
        <v>0</v>
      </c>
      <c r="E34" s="395">
        <v>1</v>
      </c>
      <c r="F34" s="393">
        <v>6.7595219999999996</v>
      </c>
      <c r="G34" s="394">
        <v>4.506348</v>
      </c>
      <c r="H34" s="396">
        <v>0</v>
      </c>
      <c r="I34" s="393">
        <v>0</v>
      </c>
      <c r="J34" s="394">
        <v>-4.506348</v>
      </c>
      <c r="K34" s="397">
        <v>0</v>
      </c>
    </row>
    <row r="35" spans="1:11" ht="14.45" customHeight="1" thickBot="1" x14ac:dyDescent="0.25">
      <c r="A35" s="413" t="s">
        <v>263</v>
      </c>
      <c r="B35" s="393">
        <v>28.12</v>
      </c>
      <c r="C35" s="393">
        <v>28.418710000000001</v>
      </c>
      <c r="D35" s="394">
        <v>0.298709999999</v>
      </c>
      <c r="E35" s="395">
        <v>1.010622688477</v>
      </c>
      <c r="F35" s="393">
        <v>32.18</v>
      </c>
      <c r="G35" s="394">
        <v>21.453333333332999</v>
      </c>
      <c r="H35" s="396">
        <v>2.1689799999999999</v>
      </c>
      <c r="I35" s="393">
        <v>20.633700000000001</v>
      </c>
      <c r="J35" s="394">
        <v>-0.81963333333300004</v>
      </c>
      <c r="K35" s="397">
        <v>0.64119639527600003</v>
      </c>
    </row>
    <row r="36" spans="1:11" ht="14.45" customHeight="1" thickBot="1" x14ac:dyDescent="0.25">
      <c r="A36" s="414" t="s">
        <v>264</v>
      </c>
      <c r="B36" s="398">
        <v>28.12</v>
      </c>
      <c r="C36" s="398">
        <v>28.418710000000001</v>
      </c>
      <c r="D36" s="399">
        <v>0.298709999999</v>
      </c>
      <c r="E36" s="400">
        <v>1.010622688477</v>
      </c>
      <c r="F36" s="398">
        <v>32.18</v>
      </c>
      <c r="G36" s="399">
        <v>21.453333333332999</v>
      </c>
      <c r="H36" s="401">
        <v>2.1689799999999999</v>
      </c>
      <c r="I36" s="398">
        <v>20.633700000000001</v>
      </c>
      <c r="J36" s="399">
        <v>-0.81963333333300004</v>
      </c>
      <c r="K36" s="402">
        <v>0.64119639527600003</v>
      </c>
    </row>
    <row r="37" spans="1:11" ht="14.45" customHeight="1" thickBot="1" x14ac:dyDescent="0.25">
      <c r="A37" s="415" t="s">
        <v>265</v>
      </c>
      <c r="B37" s="393">
        <v>28.12</v>
      </c>
      <c r="C37" s="393">
        <v>28.418710000000001</v>
      </c>
      <c r="D37" s="394">
        <v>0.298709999999</v>
      </c>
      <c r="E37" s="395">
        <v>1.010622688477</v>
      </c>
      <c r="F37" s="393">
        <v>32.18</v>
      </c>
      <c r="G37" s="394">
        <v>21.453333333332999</v>
      </c>
      <c r="H37" s="396">
        <v>2.1689799999999999</v>
      </c>
      <c r="I37" s="393">
        <v>20.633700000000001</v>
      </c>
      <c r="J37" s="394">
        <v>-0.81963333333300004</v>
      </c>
      <c r="K37" s="397">
        <v>0.64119639527600003</v>
      </c>
    </row>
    <row r="38" spans="1:11" ht="14.45" customHeight="1" thickBot="1" x14ac:dyDescent="0.25">
      <c r="A38" s="412" t="s">
        <v>266</v>
      </c>
      <c r="B38" s="393">
        <v>7.7354132207830002</v>
      </c>
      <c r="C38" s="393">
        <v>8.5</v>
      </c>
      <c r="D38" s="394">
        <v>0.76458677921600005</v>
      </c>
      <c r="E38" s="395">
        <v>1.0988423963130001</v>
      </c>
      <c r="F38" s="393">
        <v>0</v>
      </c>
      <c r="G38" s="394">
        <v>0</v>
      </c>
      <c r="H38" s="396">
        <v>0</v>
      </c>
      <c r="I38" s="393">
        <v>0</v>
      </c>
      <c r="J38" s="394">
        <v>0</v>
      </c>
      <c r="K38" s="403" t="s">
        <v>233</v>
      </c>
    </row>
    <row r="39" spans="1:11" ht="14.45" customHeight="1" thickBot="1" x14ac:dyDescent="0.25">
      <c r="A39" s="413" t="s">
        <v>267</v>
      </c>
      <c r="B39" s="393">
        <v>7.7354132207830002</v>
      </c>
      <c r="C39" s="393">
        <v>8.5</v>
      </c>
      <c r="D39" s="394">
        <v>0.76458677921600005</v>
      </c>
      <c r="E39" s="395">
        <v>1.0988423963130001</v>
      </c>
      <c r="F39" s="393">
        <v>0</v>
      </c>
      <c r="G39" s="394">
        <v>0</v>
      </c>
      <c r="H39" s="396">
        <v>0</v>
      </c>
      <c r="I39" s="393">
        <v>0</v>
      </c>
      <c r="J39" s="394">
        <v>0</v>
      </c>
      <c r="K39" s="403" t="s">
        <v>233</v>
      </c>
    </row>
    <row r="40" spans="1:11" ht="14.45" customHeight="1" thickBot="1" x14ac:dyDescent="0.25">
      <c r="A40" s="414" t="s">
        <v>268</v>
      </c>
      <c r="B40" s="398">
        <v>0</v>
      </c>
      <c r="C40" s="398">
        <v>8.5</v>
      </c>
      <c r="D40" s="399">
        <v>8.5</v>
      </c>
      <c r="E40" s="406" t="s">
        <v>234</v>
      </c>
      <c r="F40" s="398">
        <v>0</v>
      </c>
      <c r="G40" s="399">
        <v>0</v>
      </c>
      <c r="H40" s="401">
        <v>0</v>
      </c>
      <c r="I40" s="398">
        <v>0</v>
      </c>
      <c r="J40" s="399">
        <v>0</v>
      </c>
      <c r="K40" s="404" t="s">
        <v>233</v>
      </c>
    </row>
    <row r="41" spans="1:11" ht="14.45" customHeight="1" thickBot="1" x14ac:dyDescent="0.25">
      <c r="A41" s="415" t="s">
        <v>269</v>
      </c>
      <c r="B41" s="393">
        <v>0</v>
      </c>
      <c r="C41" s="393">
        <v>8.5</v>
      </c>
      <c r="D41" s="394">
        <v>8.5</v>
      </c>
      <c r="E41" s="405" t="s">
        <v>234</v>
      </c>
      <c r="F41" s="393">
        <v>0</v>
      </c>
      <c r="G41" s="394">
        <v>0</v>
      </c>
      <c r="H41" s="396">
        <v>0</v>
      </c>
      <c r="I41" s="393">
        <v>0</v>
      </c>
      <c r="J41" s="394">
        <v>0</v>
      </c>
      <c r="K41" s="403" t="s">
        <v>233</v>
      </c>
    </row>
    <row r="42" spans="1:11" ht="14.45" customHeight="1" thickBot="1" x14ac:dyDescent="0.25">
      <c r="A42" s="418" t="s">
        <v>270</v>
      </c>
      <c r="B42" s="393">
        <v>7.7354132207830002</v>
      </c>
      <c r="C42" s="393">
        <v>0</v>
      </c>
      <c r="D42" s="394">
        <v>-7.7354132207830002</v>
      </c>
      <c r="E42" s="395">
        <v>0</v>
      </c>
      <c r="F42" s="393">
        <v>0</v>
      </c>
      <c r="G42" s="394">
        <v>0</v>
      </c>
      <c r="H42" s="396">
        <v>0</v>
      </c>
      <c r="I42" s="393">
        <v>0</v>
      </c>
      <c r="J42" s="394">
        <v>0</v>
      </c>
      <c r="K42" s="397">
        <v>0</v>
      </c>
    </row>
    <row r="43" spans="1:11" ht="14.45" customHeight="1" thickBot="1" x14ac:dyDescent="0.25">
      <c r="A43" s="415" t="s">
        <v>271</v>
      </c>
      <c r="B43" s="393">
        <v>7.7354132207830002</v>
      </c>
      <c r="C43" s="393">
        <v>0</v>
      </c>
      <c r="D43" s="394">
        <v>-7.7354132207830002</v>
      </c>
      <c r="E43" s="395">
        <v>0</v>
      </c>
      <c r="F43" s="393">
        <v>0</v>
      </c>
      <c r="G43" s="394">
        <v>0</v>
      </c>
      <c r="H43" s="396">
        <v>0</v>
      </c>
      <c r="I43" s="393">
        <v>0</v>
      </c>
      <c r="J43" s="394">
        <v>0</v>
      </c>
      <c r="K43" s="397">
        <v>0</v>
      </c>
    </row>
    <row r="44" spans="1:11" ht="14.45" customHeight="1" thickBot="1" x14ac:dyDescent="0.25">
      <c r="A44" s="411" t="s">
        <v>272</v>
      </c>
      <c r="B44" s="393">
        <v>60.976339613748998</v>
      </c>
      <c r="C44" s="393">
        <v>128.91973999999999</v>
      </c>
      <c r="D44" s="394">
        <v>67.943400386250005</v>
      </c>
      <c r="E44" s="395">
        <v>2.1142584290330002</v>
      </c>
      <c r="F44" s="393">
        <v>117.849377845124</v>
      </c>
      <c r="G44" s="394">
        <v>78.566251896748994</v>
      </c>
      <c r="H44" s="396">
        <v>8.8381399999989991</v>
      </c>
      <c r="I44" s="393">
        <v>71.926249999999996</v>
      </c>
      <c r="J44" s="394">
        <v>-6.6400018967490002</v>
      </c>
      <c r="K44" s="397">
        <v>0.61032354446899995</v>
      </c>
    </row>
    <row r="45" spans="1:11" ht="14.45" customHeight="1" thickBot="1" x14ac:dyDescent="0.25">
      <c r="A45" s="412" t="s">
        <v>273</v>
      </c>
      <c r="B45" s="393">
        <v>60.976339613748998</v>
      </c>
      <c r="C45" s="393">
        <v>101.02719</v>
      </c>
      <c r="D45" s="394">
        <v>40.050850386249998</v>
      </c>
      <c r="E45" s="395">
        <v>1.6568260843460001</v>
      </c>
      <c r="F45" s="393">
        <v>117.849377845124</v>
      </c>
      <c r="G45" s="394">
        <v>78.566251896748994</v>
      </c>
      <c r="H45" s="396">
        <v>8.8381399999989991</v>
      </c>
      <c r="I45" s="393">
        <v>71.926249999999996</v>
      </c>
      <c r="J45" s="394">
        <v>-6.6400018967490002</v>
      </c>
      <c r="K45" s="397">
        <v>0.61032354446899995</v>
      </c>
    </row>
    <row r="46" spans="1:11" ht="14.45" customHeight="1" thickBot="1" x14ac:dyDescent="0.25">
      <c r="A46" s="413" t="s">
        <v>274</v>
      </c>
      <c r="B46" s="393">
        <v>60.976339613748998</v>
      </c>
      <c r="C46" s="393">
        <v>101.02719</v>
      </c>
      <c r="D46" s="394">
        <v>40.050850386249998</v>
      </c>
      <c r="E46" s="395">
        <v>1.6568260843460001</v>
      </c>
      <c r="F46" s="393">
        <v>117.849377845124</v>
      </c>
      <c r="G46" s="394">
        <v>78.566251896748994</v>
      </c>
      <c r="H46" s="396">
        <v>8.8381399999989991</v>
      </c>
      <c r="I46" s="393">
        <v>71.926249999999996</v>
      </c>
      <c r="J46" s="394">
        <v>-6.6400018967490002</v>
      </c>
      <c r="K46" s="397">
        <v>0.61032354446899995</v>
      </c>
    </row>
    <row r="47" spans="1:11" ht="14.45" customHeight="1" thickBot="1" x14ac:dyDescent="0.25">
      <c r="A47" s="414" t="s">
        <v>275</v>
      </c>
      <c r="B47" s="398">
        <v>0</v>
      </c>
      <c r="C47" s="398">
        <v>0</v>
      </c>
      <c r="D47" s="399">
        <v>0</v>
      </c>
      <c r="E47" s="400">
        <v>1</v>
      </c>
      <c r="F47" s="398">
        <v>0</v>
      </c>
      <c r="G47" s="399">
        <v>0</v>
      </c>
      <c r="H47" s="401">
        <v>0</v>
      </c>
      <c r="I47" s="398">
        <v>0.43675999999999998</v>
      </c>
      <c r="J47" s="399">
        <v>0.43675999999999998</v>
      </c>
      <c r="K47" s="404" t="s">
        <v>234</v>
      </c>
    </row>
    <row r="48" spans="1:11" ht="14.45" customHeight="1" thickBot="1" x14ac:dyDescent="0.25">
      <c r="A48" s="415" t="s">
        <v>276</v>
      </c>
      <c r="B48" s="393">
        <v>0</v>
      </c>
      <c r="C48" s="393">
        <v>0</v>
      </c>
      <c r="D48" s="394">
        <v>0</v>
      </c>
      <c r="E48" s="395">
        <v>1</v>
      </c>
      <c r="F48" s="393">
        <v>0</v>
      </c>
      <c r="G48" s="394">
        <v>0</v>
      </c>
      <c r="H48" s="396">
        <v>0</v>
      </c>
      <c r="I48" s="393">
        <v>0.43675999999999998</v>
      </c>
      <c r="J48" s="394">
        <v>0.43675999999999998</v>
      </c>
      <c r="K48" s="403" t="s">
        <v>234</v>
      </c>
    </row>
    <row r="49" spans="1:11" ht="14.45" customHeight="1" thickBot="1" x14ac:dyDescent="0.25">
      <c r="A49" s="414" t="s">
        <v>277</v>
      </c>
      <c r="B49" s="398">
        <v>1.274917889605</v>
      </c>
      <c r="C49" s="398">
        <v>1.7194799999999999</v>
      </c>
      <c r="D49" s="399">
        <v>0.44456211039400001</v>
      </c>
      <c r="E49" s="400">
        <v>1.348698621314</v>
      </c>
      <c r="F49" s="398">
        <v>0</v>
      </c>
      <c r="G49" s="399">
        <v>0</v>
      </c>
      <c r="H49" s="401">
        <v>0</v>
      </c>
      <c r="I49" s="398">
        <v>0</v>
      </c>
      <c r="J49" s="399">
        <v>0</v>
      </c>
      <c r="K49" s="404" t="s">
        <v>233</v>
      </c>
    </row>
    <row r="50" spans="1:11" ht="14.45" customHeight="1" thickBot="1" x14ac:dyDescent="0.25">
      <c r="A50" s="415" t="s">
        <v>278</v>
      </c>
      <c r="B50" s="393">
        <v>1.274917889605</v>
      </c>
      <c r="C50" s="393">
        <v>1.7194799999999999</v>
      </c>
      <c r="D50" s="394">
        <v>0.44456211039400001</v>
      </c>
      <c r="E50" s="395">
        <v>1.348698621314</v>
      </c>
      <c r="F50" s="393">
        <v>0</v>
      </c>
      <c r="G50" s="394">
        <v>0</v>
      </c>
      <c r="H50" s="396">
        <v>0</v>
      </c>
      <c r="I50" s="393">
        <v>0</v>
      </c>
      <c r="J50" s="394">
        <v>0</v>
      </c>
      <c r="K50" s="403" t="s">
        <v>233</v>
      </c>
    </row>
    <row r="51" spans="1:11" ht="14.45" customHeight="1" thickBot="1" x14ac:dyDescent="0.25">
      <c r="A51" s="418" t="s">
        <v>279</v>
      </c>
      <c r="B51" s="393">
        <v>0.39765726080000002</v>
      </c>
      <c r="C51" s="393">
        <v>1.4679199999999999</v>
      </c>
      <c r="D51" s="394">
        <v>1.0702627391990001</v>
      </c>
      <c r="E51" s="395">
        <v>3.6914200863470001</v>
      </c>
      <c r="F51" s="393">
        <v>0.42444813791399999</v>
      </c>
      <c r="G51" s="394">
        <v>0.28296542527599999</v>
      </c>
      <c r="H51" s="396">
        <v>0.13070999999999999</v>
      </c>
      <c r="I51" s="393">
        <v>0.68064000000000002</v>
      </c>
      <c r="J51" s="394">
        <v>0.397674574723</v>
      </c>
      <c r="K51" s="397">
        <v>1.603588139987</v>
      </c>
    </row>
    <row r="52" spans="1:11" ht="14.45" customHeight="1" thickBot="1" x14ac:dyDescent="0.25">
      <c r="A52" s="415" t="s">
        <v>280</v>
      </c>
      <c r="B52" s="393">
        <v>0</v>
      </c>
      <c r="C52" s="393">
        <v>0</v>
      </c>
      <c r="D52" s="394">
        <v>0</v>
      </c>
      <c r="E52" s="395">
        <v>1</v>
      </c>
      <c r="F52" s="393">
        <v>0.42444813791399999</v>
      </c>
      <c r="G52" s="394">
        <v>0.28296542527599999</v>
      </c>
      <c r="H52" s="396">
        <v>0.13070999999999999</v>
      </c>
      <c r="I52" s="393">
        <v>0.68064000000000002</v>
      </c>
      <c r="J52" s="394">
        <v>0.397674574723</v>
      </c>
      <c r="K52" s="397">
        <v>1.603588139987</v>
      </c>
    </row>
    <row r="53" spans="1:11" ht="14.45" customHeight="1" thickBot="1" x14ac:dyDescent="0.25">
      <c r="A53" s="415" t="s">
        <v>281</v>
      </c>
      <c r="B53" s="393">
        <v>0.39765726080000002</v>
      </c>
      <c r="C53" s="393">
        <v>1.4679199999999999</v>
      </c>
      <c r="D53" s="394">
        <v>1.0702627391990001</v>
      </c>
      <c r="E53" s="395">
        <v>3.6914200863470001</v>
      </c>
      <c r="F53" s="393">
        <v>0</v>
      </c>
      <c r="G53" s="394">
        <v>0</v>
      </c>
      <c r="H53" s="396">
        <v>0</v>
      </c>
      <c r="I53" s="393">
        <v>0</v>
      </c>
      <c r="J53" s="394">
        <v>0</v>
      </c>
      <c r="K53" s="403" t="s">
        <v>233</v>
      </c>
    </row>
    <row r="54" spans="1:11" ht="14.45" customHeight="1" thickBot="1" x14ac:dyDescent="0.25">
      <c r="A54" s="414" t="s">
        <v>282</v>
      </c>
      <c r="B54" s="398">
        <v>59.303764463341999</v>
      </c>
      <c r="C54" s="398">
        <v>95.451859999999996</v>
      </c>
      <c r="D54" s="399">
        <v>36.148095536657003</v>
      </c>
      <c r="E54" s="400">
        <v>1.609541331208</v>
      </c>
      <c r="F54" s="398">
        <v>117.424929707209</v>
      </c>
      <c r="G54" s="399">
        <v>78.283286471471996</v>
      </c>
      <c r="H54" s="401">
        <v>8.6991599999990008</v>
      </c>
      <c r="I54" s="398">
        <v>69.236580000000004</v>
      </c>
      <c r="J54" s="399">
        <v>-9.0467064714719996</v>
      </c>
      <c r="K54" s="402">
        <v>0.58962419796700005</v>
      </c>
    </row>
    <row r="55" spans="1:11" ht="14.45" customHeight="1" thickBot="1" x14ac:dyDescent="0.25">
      <c r="A55" s="415" t="s">
        <v>283</v>
      </c>
      <c r="B55" s="393">
        <v>24.835623740237999</v>
      </c>
      <c r="C55" s="393">
        <v>39.414760000000001</v>
      </c>
      <c r="D55" s="394">
        <v>14.579136259761</v>
      </c>
      <c r="E55" s="395">
        <v>1.5870251704659999</v>
      </c>
      <c r="F55" s="393">
        <v>0</v>
      </c>
      <c r="G55" s="394">
        <v>0</v>
      </c>
      <c r="H55" s="396">
        <v>0</v>
      </c>
      <c r="I55" s="393">
        <v>0</v>
      </c>
      <c r="J55" s="394">
        <v>0</v>
      </c>
      <c r="K55" s="403" t="s">
        <v>233</v>
      </c>
    </row>
    <row r="56" spans="1:11" ht="14.45" customHeight="1" thickBot="1" x14ac:dyDescent="0.25">
      <c r="A56" s="415" t="s">
        <v>284</v>
      </c>
      <c r="B56" s="393">
        <v>34.468140723104</v>
      </c>
      <c r="C56" s="393">
        <v>56.037100000000002</v>
      </c>
      <c r="D56" s="394">
        <v>21.568959276895001</v>
      </c>
      <c r="E56" s="395">
        <v>1.6257650927609999</v>
      </c>
      <c r="F56" s="393">
        <v>117.424929707209</v>
      </c>
      <c r="G56" s="394">
        <v>78.283286471471996</v>
      </c>
      <c r="H56" s="396">
        <v>8.6991599999990008</v>
      </c>
      <c r="I56" s="393">
        <v>69.236580000000004</v>
      </c>
      <c r="J56" s="394">
        <v>-9.0467064714719996</v>
      </c>
      <c r="K56" s="397">
        <v>0.58962419796700005</v>
      </c>
    </row>
    <row r="57" spans="1:11" ht="14.45" customHeight="1" thickBot="1" x14ac:dyDescent="0.25">
      <c r="A57" s="414" t="s">
        <v>285</v>
      </c>
      <c r="B57" s="398">
        <v>0</v>
      </c>
      <c r="C57" s="398">
        <v>2.3879299999999999</v>
      </c>
      <c r="D57" s="399">
        <v>2.3879299999999999</v>
      </c>
      <c r="E57" s="406" t="s">
        <v>233</v>
      </c>
      <c r="F57" s="398">
        <v>0</v>
      </c>
      <c r="G57" s="399">
        <v>0</v>
      </c>
      <c r="H57" s="401">
        <v>8.2699999989999991E-3</v>
      </c>
      <c r="I57" s="398">
        <v>1.5722700000000001</v>
      </c>
      <c r="J57" s="399">
        <v>1.5722700000000001</v>
      </c>
      <c r="K57" s="404" t="s">
        <v>233</v>
      </c>
    </row>
    <row r="58" spans="1:11" ht="14.45" customHeight="1" thickBot="1" x14ac:dyDescent="0.25">
      <c r="A58" s="415" t="s">
        <v>286</v>
      </c>
      <c r="B58" s="393">
        <v>0</v>
      </c>
      <c r="C58" s="393">
        <v>1.03813</v>
      </c>
      <c r="D58" s="394">
        <v>1.03813</v>
      </c>
      <c r="E58" s="405" t="s">
        <v>233</v>
      </c>
      <c r="F58" s="393">
        <v>0</v>
      </c>
      <c r="G58" s="394">
        <v>0</v>
      </c>
      <c r="H58" s="396">
        <v>0</v>
      </c>
      <c r="I58" s="393">
        <v>0</v>
      </c>
      <c r="J58" s="394">
        <v>0</v>
      </c>
      <c r="K58" s="403" t="s">
        <v>233</v>
      </c>
    </row>
    <row r="59" spans="1:11" ht="14.45" customHeight="1" thickBot="1" x14ac:dyDescent="0.25">
      <c r="A59" s="415" t="s">
        <v>287</v>
      </c>
      <c r="B59" s="393">
        <v>0</v>
      </c>
      <c r="C59" s="393">
        <v>1.3498000000000001</v>
      </c>
      <c r="D59" s="394">
        <v>1.3498000000000001</v>
      </c>
      <c r="E59" s="405" t="s">
        <v>233</v>
      </c>
      <c r="F59" s="393">
        <v>0</v>
      </c>
      <c r="G59" s="394">
        <v>0</v>
      </c>
      <c r="H59" s="396">
        <v>8.2699999989999991E-3</v>
      </c>
      <c r="I59" s="393">
        <v>1.5722700000000001</v>
      </c>
      <c r="J59" s="394">
        <v>1.5722700000000001</v>
      </c>
      <c r="K59" s="403" t="s">
        <v>233</v>
      </c>
    </row>
    <row r="60" spans="1:11" ht="14.45" customHeight="1" thickBot="1" x14ac:dyDescent="0.25">
      <c r="A60" s="412" t="s">
        <v>288</v>
      </c>
      <c r="B60" s="393">
        <v>0</v>
      </c>
      <c r="C60" s="393">
        <v>27.89255</v>
      </c>
      <c r="D60" s="394">
        <v>27.89255</v>
      </c>
      <c r="E60" s="405" t="s">
        <v>233</v>
      </c>
      <c r="F60" s="393">
        <v>0</v>
      </c>
      <c r="G60" s="394">
        <v>0</v>
      </c>
      <c r="H60" s="396">
        <v>0</v>
      </c>
      <c r="I60" s="393">
        <v>0</v>
      </c>
      <c r="J60" s="394">
        <v>0</v>
      </c>
      <c r="K60" s="403" t="s">
        <v>233</v>
      </c>
    </row>
    <row r="61" spans="1:11" ht="14.45" customHeight="1" thickBot="1" x14ac:dyDescent="0.25">
      <c r="A61" s="413" t="s">
        <v>289</v>
      </c>
      <c r="B61" s="393">
        <v>0</v>
      </c>
      <c r="C61" s="393">
        <v>25</v>
      </c>
      <c r="D61" s="394">
        <v>25</v>
      </c>
      <c r="E61" s="405" t="s">
        <v>233</v>
      </c>
      <c r="F61" s="393">
        <v>0</v>
      </c>
      <c r="G61" s="394">
        <v>0</v>
      </c>
      <c r="H61" s="396">
        <v>0</v>
      </c>
      <c r="I61" s="393">
        <v>0</v>
      </c>
      <c r="J61" s="394">
        <v>0</v>
      </c>
      <c r="K61" s="403" t="s">
        <v>233</v>
      </c>
    </row>
    <row r="62" spans="1:11" ht="14.45" customHeight="1" thickBot="1" x14ac:dyDescent="0.25">
      <c r="A62" s="414" t="s">
        <v>290</v>
      </c>
      <c r="B62" s="398">
        <v>0</v>
      </c>
      <c r="C62" s="398">
        <v>25</v>
      </c>
      <c r="D62" s="399">
        <v>25</v>
      </c>
      <c r="E62" s="406" t="s">
        <v>233</v>
      </c>
      <c r="F62" s="398">
        <v>0</v>
      </c>
      <c r="G62" s="399">
        <v>0</v>
      </c>
      <c r="H62" s="401">
        <v>0</v>
      </c>
      <c r="I62" s="398">
        <v>0</v>
      </c>
      <c r="J62" s="399">
        <v>0</v>
      </c>
      <c r="K62" s="404" t="s">
        <v>233</v>
      </c>
    </row>
    <row r="63" spans="1:11" ht="14.45" customHeight="1" thickBot="1" x14ac:dyDescent="0.25">
      <c r="A63" s="415" t="s">
        <v>291</v>
      </c>
      <c r="B63" s="393">
        <v>0</v>
      </c>
      <c r="C63" s="393">
        <v>25</v>
      </c>
      <c r="D63" s="394">
        <v>25</v>
      </c>
      <c r="E63" s="405" t="s">
        <v>233</v>
      </c>
      <c r="F63" s="393">
        <v>0</v>
      </c>
      <c r="G63" s="394">
        <v>0</v>
      </c>
      <c r="H63" s="396">
        <v>0</v>
      </c>
      <c r="I63" s="393">
        <v>0</v>
      </c>
      <c r="J63" s="394">
        <v>0</v>
      </c>
      <c r="K63" s="403" t="s">
        <v>233</v>
      </c>
    </row>
    <row r="64" spans="1:11" ht="14.45" customHeight="1" thickBot="1" x14ac:dyDescent="0.25">
      <c r="A64" s="417" t="s">
        <v>292</v>
      </c>
      <c r="B64" s="398">
        <v>0</v>
      </c>
      <c r="C64" s="398">
        <v>2.89255</v>
      </c>
      <c r="D64" s="399">
        <v>2.89255</v>
      </c>
      <c r="E64" s="406" t="s">
        <v>233</v>
      </c>
      <c r="F64" s="398">
        <v>0</v>
      </c>
      <c r="G64" s="399">
        <v>0</v>
      </c>
      <c r="H64" s="401">
        <v>0</v>
      </c>
      <c r="I64" s="398">
        <v>0</v>
      </c>
      <c r="J64" s="399">
        <v>0</v>
      </c>
      <c r="K64" s="404" t="s">
        <v>233</v>
      </c>
    </row>
    <row r="65" spans="1:11" ht="14.45" customHeight="1" thickBot="1" x14ac:dyDescent="0.25">
      <c r="A65" s="414" t="s">
        <v>293</v>
      </c>
      <c r="B65" s="398">
        <v>0</v>
      </c>
      <c r="C65" s="398">
        <v>-5.0000000000000002E-5</v>
      </c>
      <c r="D65" s="399">
        <v>-5.0000000000000002E-5</v>
      </c>
      <c r="E65" s="406" t="s">
        <v>233</v>
      </c>
      <c r="F65" s="398">
        <v>0</v>
      </c>
      <c r="G65" s="399">
        <v>0</v>
      </c>
      <c r="H65" s="401">
        <v>0</v>
      </c>
      <c r="I65" s="398">
        <v>0</v>
      </c>
      <c r="J65" s="399">
        <v>0</v>
      </c>
      <c r="K65" s="404" t="s">
        <v>233</v>
      </c>
    </row>
    <row r="66" spans="1:11" ht="14.45" customHeight="1" thickBot="1" x14ac:dyDescent="0.25">
      <c r="A66" s="415" t="s">
        <v>294</v>
      </c>
      <c r="B66" s="393">
        <v>0</v>
      </c>
      <c r="C66" s="393">
        <v>-5.0000000000000002E-5</v>
      </c>
      <c r="D66" s="394">
        <v>-5.0000000000000002E-5</v>
      </c>
      <c r="E66" s="405" t="s">
        <v>234</v>
      </c>
      <c r="F66" s="393">
        <v>0</v>
      </c>
      <c r="G66" s="394">
        <v>0</v>
      </c>
      <c r="H66" s="396">
        <v>0</v>
      </c>
      <c r="I66" s="393">
        <v>0</v>
      </c>
      <c r="J66" s="394">
        <v>0</v>
      </c>
      <c r="K66" s="403" t="s">
        <v>233</v>
      </c>
    </row>
    <row r="67" spans="1:11" ht="14.45" customHeight="1" thickBot="1" x14ac:dyDescent="0.25">
      <c r="A67" s="414" t="s">
        <v>295</v>
      </c>
      <c r="B67" s="398">
        <v>0</v>
      </c>
      <c r="C67" s="398">
        <v>2.8925999999999998</v>
      </c>
      <c r="D67" s="399">
        <v>2.8925999999999998</v>
      </c>
      <c r="E67" s="406" t="s">
        <v>234</v>
      </c>
      <c r="F67" s="398">
        <v>0</v>
      </c>
      <c r="G67" s="399">
        <v>0</v>
      </c>
      <c r="H67" s="401">
        <v>0</v>
      </c>
      <c r="I67" s="398">
        <v>0</v>
      </c>
      <c r="J67" s="399">
        <v>0</v>
      </c>
      <c r="K67" s="404" t="s">
        <v>233</v>
      </c>
    </row>
    <row r="68" spans="1:11" ht="14.45" customHeight="1" thickBot="1" x14ac:dyDescent="0.25">
      <c r="A68" s="415" t="s">
        <v>296</v>
      </c>
      <c r="B68" s="393">
        <v>0</v>
      </c>
      <c r="C68" s="393">
        <v>2.8925999999999998</v>
      </c>
      <c r="D68" s="394">
        <v>2.8925999999999998</v>
      </c>
      <c r="E68" s="405" t="s">
        <v>234</v>
      </c>
      <c r="F68" s="393">
        <v>0</v>
      </c>
      <c r="G68" s="394">
        <v>0</v>
      </c>
      <c r="H68" s="396">
        <v>0</v>
      </c>
      <c r="I68" s="393">
        <v>0</v>
      </c>
      <c r="J68" s="394">
        <v>0</v>
      </c>
      <c r="K68" s="403" t="s">
        <v>233</v>
      </c>
    </row>
    <row r="69" spans="1:11" ht="14.45" customHeight="1" thickBot="1" x14ac:dyDescent="0.25">
      <c r="A69" s="411" t="s">
        <v>297</v>
      </c>
      <c r="B69" s="393">
        <v>305.65539494870097</v>
      </c>
      <c r="C69" s="393">
        <v>316.08514000000002</v>
      </c>
      <c r="D69" s="394">
        <v>10.429745051298999</v>
      </c>
      <c r="E69" s="395">
        <v>1.0341225616280001</v>
      </c>
      <c r="F69" s="393">
        <v>324.41362877600699</v>
      </c>
      <c r="G69" s="394">
        <v>216.27575251733799</v>
      </c>
      <c r="H69" s="396">
        <v>21.741009999999999</v>
      </c>
      <c r="I69" s="393">
        <v>237.65880999999999</v>
      </c>
      <c r="J69" s="394">
        <v>21.383057482662</v>
      </c>
      <c r="K69" s="397">
        <v>0.732579611086</v>
      </c>
    </row>
    <row r="70" spans="1:11" ht="14.45" customHeight="1" thickBot="1" x14ac:dyDescent="0.25">
      <c r="A70" s="416" t="s">
        <v>298</v>
      </c>
      <c r="B70" s="398">
        <v>305.65539494870097</v>
      </c>
      <c r="C70" s="398">
        <v>316.08514000000002</v>
      </c>
      <c r="D70" s="399">
        <v>10.429745051298999</v>
      </c>
      <c r="E70" s="400">
        <v>1.0341225616280001</v>
      </c>
      <c r="F70" s="398">
        <v>324.41362877600699</v>
      </c>
      <c r="G70" s="399">
        <v>216.27575251733799</v>
      </c>
      <c r="H70" s="401">
        <v>21.741009999999999</v>
      </c>
      <c r="I70" s="398">
        <v>237.65880999999999</v>
      </c>
      <c r="J70" s="399">
        <v>21.383057482662</v>
      </c>
      <c r="K70" s="402">
        <v>0.732579611086</v>
      </c>
    </row>
    <row r="71" spans="1:11" ht="14.45" customHeight="1" thickBot="1" x14ac:dyDescent="0.25">
      <c r="A71" s="417" t="s">
        <v>51</v>
      </c>
      <c r="B71" s="398">
        <v>305.65539494870097</v>
      </c>
      <c r="C71" s="398">
        <v>316.08514000000002</v>
      </c>
      <c r="D71" s="399">
        <v>10.429745051298999</v>
      </c>
      <c r="E71" s="400">
        <v>1.0341225616280001</v>
      </c>
      <c r="F71" s="398">
        <v>324.41362877600699</v>
      </c>
      <c r="G71" s="399">
        <v>216.27575251733799</v>
      </c>
      <c r="H71" s="401">
        <v>21.741009999999999</v>
      </c>
      <c r="I71" s="398">
        <v>237.65880999999999</v>
      </c>
      <c r="J71" s="399">
        <v>21.383057482662</v>
      </c>
      <c r="K71" s="402">
        <v>0.732579611086</v>
      </c>
    </row>
    <row r="72" spans="1:11" ht="14.45" customHeight="1" thickBot="1" x14ac:dyDescent="0.25">
      <c r="A72" s="414" t="s">
        <v>299</v>
      </c>
      <c r="B72" s="398">
        <v>133.88959628331199</v>
      </c>
      <c r="C72" s="398">
        <v>112.13939000000001</v>
      </c>
      <c r="D72" s="399">
        <v>-21.750206283312</v>
      </c>
      <c r="E72" s="400">
        <v>0.83755118480299995</v>
      </c>
      <c r="F72" s="398">
        <v>150.56957828616299</v>
      </c>
      <c r="G72" s="399">
        <v>100.379718857442</v>
      </c>
      <c r="H72" s="401">
        <v>7.15951</v>
      </c>
      <c r="I72" s="398">
        <v>88.667150000000007</v>
      </c>
      <c r="J72" s="399">
        <v>-11.712568857440999</v>
      </c>
      <c r="K72" s="402">
        <v>0.58887825156399998</v>
      </c>
    </row>
    <row r="73" spans="1:11" ht="14.45" customHeight="1" thickBot="1" x14ac:dyDescent="0.25">
      <c r="A73" s="415" t="s">
        <v>300</v>
      </c>
      <c r="B73" s="393">
        <v>133.88959628331199</v>
      </c>
      <c r="C73" s="393">
        <v>112.13939000000001</v>
      </c>
      <c r="D73" s="394">
        <v>-21.750206283312</v>
      </c>
      <c r="E73" s="395">
        <v>0.83755118480299995</v>
      </c>
      <c r="F73" s="393">
        <v>150.56957828616299</v>
      </c>
      <c r="G73" s="394">
        <v>100.379718857442</v>
      </c>
      <c r="H73" s="396">
        <v>7.15951</v>
      </c>
      <c r="I73" s="393">
        <v>88.667150000000007</v>
      </c>
      <c r="J73" s="394">
        <v>-11.712568857440999</v>
      </c>
      <c r="K73" s="397">
        <v>0.58887825156399998</v>
      </c>
    </row>
    <row r="74" spans="1:11" ht="14.45" customHeight="1" thickBot="1" x14ac:dyDescent="0.25">
      <c r="A74" s="414" t="s">
        <v>301</v>
      </c>
      <c r="B74" s="398">
        <v>171.76579866538799</v>
      </c>
      <c r="C74" s="398">
        <v>203.94575</v>
      </c>
      <c r="D74" s="399">
        <v>32.179951334610998</v>
      </c>
      <c r="E74" s="400">
        <v>1.187347839818</v>
      </c>
      <c r="F74" s="398">
        <v>173.84405048984399</v>
      </c>
      <c r="G74" s="399">
        <v>115.89603365989601</v>
      </c>
      <c r="H74" s="401">
        <v>14.5815</v>
      </c>
      <c r="I74" s="398">
        <v>148.99166</v>
      </c>
      <c r="J74" s="399">
        <v>33.095626340103998</v>
      </c>
      <c r="K74" s="402">
        <v>0.85704204187699995</v>
      </c>
    </row>
    <row r="75" spans="1:11" ht="14.45" customHeight="1" thickBot="1" x14ac:dyDescent="0.25">
      <c r="A75" s="415" t="s">
        <v>302</v>
      </c>
      <c r="B75" s="393">
        <v>171.76579866538799</v>
      </c>
      <c r="C75" s="393">
        <v>203.94575</v>
      </c>
      <c r="D75" s="394">
        <v>32.179951334610998</v>
      </c>
      <c r="E75" s="395">
        <v>1.187347839818</v>
      </c>
      <c r="F75" s="393">
        <v>173.84405048984399</v>
      </c>
      <c r="G75" s="394">
        <v>115.89603365989601</v>
      </c>
      <c r="H75" s="396">
        <v>14.5815</v>
      </c>
      <c r="I75" s="393">
        <v>148.99166</v>
      </c>
      <c r="J75" s="394">
        <v>33.095626340103998</v>
      </c>
      <c r="K75" s="397">
        <v>0.85704204187699995</v>
      </c>
    </row>
    <row r="76" spans="1:11" ht="14.45" customHeight="1" thickBot="1" x14ac:dyDescent="0.25">
      <c r="A76" s="419"/>
      <c r="B76" s="393">
        <v>-2171.9284161892101</v>
      </c>
      <c r="C76" s="393">
        <v>-2162.3303599999999</v>
      </c>
      <c r="D76" s="394">
        <v>9.5980561892090002</v>
      </c>
      <c r="E76" s="395">
        <v>0.99558085979300004</v>
      </c>
      <c r="F76" s="393">
        <v>-2138.6630133151798</v>
      </c>
      <c r="G76" s="394">
        <v>-1425.77534221012</v>
      </c>
      <c r="H76" s="396">
        <v>-160.26557</v>
      </c>
      <c r="I76" s="393">
        <v>-1568.1189300000001</v>
      </c>
      <c r="J76" s="394">
        <v>-142.34358778987701</v>
      </c>
      <c r="K76" s="397">
        <v>0.73322394422899995</v>
      </c>
    </row>
    <row r="77" spans="1:11" ht="14.45" customHeight="1" thickBot="1" x14ac:dyDescent="0.25">
      <c r="A77" s="420" t="s">
        <v>63</v>
      </c>
      <c r="B77" s="407">
        <v>-2171.9284161892101</v>
      </c>
      <c r="C77" s="407">
        <v>-2162.3303599999999</v>
      </c>
      <c r="D77" s="408">
        <v>9.5980561892090002</v>
      </c>
      <c r="E77" s="409">
        <v>5.5273698491999999E-2</v>
      </c>
      <c r="F77" s="407">
        <v>-2138.6630133151798</v>
      </c>
      <c r="G77" s="408">
        <v>-1425.77534221012</v>
      </c>
      <c r="H77" s="407">
        <v>-160.26557</v>
      </c>
      <c r="I77" s="407">
        <v>-1568.1189300000001</v>
      </c>
      <c r="J77" s="408">
        <v>-142.34358778987701</v>
      </c>
      <c r="K77" s="410">
        <v>0.73322394422899995</v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 xr:uid="{9D91F642-8A3E-43F9-A8B3-D7E47FD187C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5" customWidth="1"/>
    <col min="2" max="2" width="34.28515625" style="115" customWidth="1"/>
    <col min="3" max="3" width="11.140625" style="115" bestFit="1" customWidth="1"/>
    <col min="4" max="4" width="7.28515625" style="115" bestFit="1" customWidth="1"/>
    <col min="5" max="5" width="11.140625" style="115" bestFit="1" customWidth="1"/>
    <col min="6" max="6" width="5.28515625" style="115" customWidth="1"/>
    <col min="7" max="7" width="7.28515625" style="115" bestFit="1" customWidth="1"/>
    <col min="8" max="8" width="5.28515625" style="115" customWidth="1"/>
    <col min="9" max="9" width="11.140625" style="115" customWidth="1"/>
    <col min="10" max="10" width="5.28515625" style="115" customWidth="1"/>
    <col min="11" max="11" width="7.28515625" style="115" customWidth="1"/>
    <col min="12" max="12" width="5.28515625" style="115" customWidth="1"/>
    <col min="13" max="13" width="0" style="115" hidden="1" customWidth="1"/>
    <col min="14" max="16384" width="8.85546875" style="115"/>
  </cols>
  <sheetData>
    <row r="1" spans="1:14" ht="18.600000000000001" customHeight="1" thickBot="1" x14ac:dyDescent="0.35">
      <c r="A1" s="317" t="s">
        <v>123</v>
      </c>
      <c r="B1" s="317"/>
      <c r="C1" s="317"/>
      <c r="D1" s="317"/>
      <c r="E1" s="317"/>
      <c r="F1" s="317"/>
      <c r="G1" s="317"/>
      <c r="H1" s="317"/>
      <c r="I1" s="289"/>
      <c r="J1" s="289"/>
      <c r="K1" s="289"/>
      <c r="L1" s="289"/>
    </row>
    <row r="2" spans="1:14" ht="14.45" customHeight="1" thickBot="1" x14ac:dyDescent="0.25">
      <c r="A2" s="214" t="s">
        <v>232</v>
      </c>
      <c r="B2" s="191"/>
      <c r="C2" s="191"/>
      <c r="D2" s="191"/>
      <c r="E2" s="191"/>
      <c r="F2" s="191"/>
      <c r="G2" s="191"/>
      <c r="H2" s="191"/>
    </row>
    <row r="3" spans="1:14" ht="14.45" customHeight="1" thickBot="1" x14ac:dyDescent="0.25">
      <c r="A3" s="128"/>
      <c r="B3" s="128"/>
      <c r="C3" s="319" t="s">
        <v>12</v>
      </c>
      <c r="D3" s="318"/>
      <c r="E3" s="318" t="s">
        <v>13</v>
      </c>
      <c r="F3" s="318"/>
      <c r="G3" s="318"/>
      <c r="H3" s="318"/>
      <c r="I3" s="318" t="s">
        <v>126</v>
      </c>
      <c r="J3" s="318"/>
      <c r="K3" s="318"/>
      <c r="L3" s="320"/>
    </row>
    <row r="4" spans="1:14" ht="14.45" customHeight="1" thickBot="1" x14ac:dyDescent="0.2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5" customHeight="1" x14ac:dyDescent="0.2">
      <c r="A5" s="421">
        <v>43</v>
      </c>
      <c r="B5" s="422" t="s">
        <v>303</v>
      </c>
      <c r="C5" s="423">
        <v>318.55</v>
      </c>
      <c r="D5" s="423">
        <v>4</v>
      </c>
      <c r="E5" s="423">
        <v>142.23000000000002</v>
      </c>
      <c r="F5" s="424">
        <v>0.4464919164966254</v>
      </c>
      <c r="G5" s="423">
        <v>3</v>
      </c>
      <c r="H5" s="424">
        <v>0.75</v>
      </c>
      <c r="I5" s="423">
        <v>176.32</v>
      </c>
      <c r="J5" s="424">
        <v>0.55350808350337466</v>
      </c>
      <c r="K5" s="423">
        <v>1</v>
      </c>
      <c r="L5" s="424">
        <v>0.25</v>
      </c>
      <c r="M5" s="423" t="s">
        <v>65</v>
      </c>
      <c r="N5" s="135"/>
    </row>
    <row r="6" spans="1:14" ht="14.45" customHeight="1" x14ac:dyDescent="0.2">
      <c r="A6" s="421">
        <v>43</v>
      </c>
      <c r="B6" s="422" t="s">
        <v>304</v>
      </c>
      <c r="C6" s="423">
        <v>318.55</v>
      </c>
      <c r="D6" s="423">
        <v>3</v>
      </c>
      <c r="E6" s="423">
        <v>142.23000000000002</v>
      </c>
      <c r="F6" s="424">
        <v>0.4464919164966254</v>
      </c>
      <c r="G6" s="423">
        <v>2</v>
      </c>
      <c r="H6" s="424">
        <v>0.66666666666666663</v>
      </c>
      <c r="I6" s="423">
        <v>176.32</v>
      </c>
      <c r="J6" s="424">
        <v>0.55350808350337466</v>
      </c>
      <c r="K6" s="423">
        <v>1</v>
      </c>
      <c r="L6" s="424">
        <v>0.33333333333333331</v>
      </c>
      <c r="M6" s="423" t="s">
        <v>1</v>
      </c>
      <c r="N6" s="135"/>
    </row>
    <row r="7" spans="1:14" ht="14.45" customHeight="1" x14ac:dyDescent="0.2">
      <c r="A7" s="421">
        <v>43</v>
      </c>
      <c r="B7" s="422" t="s">
        <v>305</v>
      </c>
      <c r="C7" s="423">
        <v>0</v>
      </c>
      <c r="D7" s="423">
        <v>1</v>
      </c>
      <c r="E7" s="423">
        <v>0</v>
      </c>
      <c r="F7" s="424" t="s">
        <v>306</v>
      </c>
      <c r="G7" s="423">
        <v>1</v>
      </c>
      <c r="H7" s="424">
        <v>1</v>
      </c>
      <c r="I7" s="423" t="s">
        <v>306</v>
      </c>
      <c r="J7" s="424" t="s">
        <v>306</v>
      </c>
      <c r="K7" s="423" t="s">
        <v>306</v>
      </c>
      <c r="L7" s="424">
        <v>0</v>
      </c>
      <c r="M7" s="423" t="s">
        <v>1</v>
      </c>
      <c r="N7" s="135"/>
    </row>
    <row r="8" spans="1:14" ht="14.45" customHeight="1" x14ac:dyDescent="0.2">
      <c r="A8" s="421" t="s">
        <v>307</v>
      </c>
      <c r="B8" s="422" t="s">
        <v>3</v>
      </c>
      <c r="C8" s="423">
        <v>318.55</v>
      </c>
      <c r="D8" s="423">
        <v>4</v>
      </c>
      <c r="E8" s="423">
        <v>142.23000000000002</v>
      </c>
      <c r="F8" s="424">
        <v>0.4464919164966254</v>
      </c>
      <c r="G8" s="423">
        <v>3</v>
      </c>
      <c r="H8" s="424">
        <v>0.75</v>
      </c>
      <c r="I8" s="423">
        <v>176.32</v>
      </c>
      <c r="J8" s="424">
        <v>0.55350808350337466</v>
      </c>
      <c r="K8" s="423">
        <v>1</v>
      </c>
      <c r="L8" s="424">
        <v>0.25</v>
      </c>
      <c r="M8" s="423" t="s">
        <v>308</v>
      </c>
      <c r="N8" s="135"/>
    </row>
    <row r="10" spans="1:14" ht="14.45" customHeight="1" x14ac:dyDescent="0.2">
      <c r="A10" s="421">
        <v>43</v>
      </c>
      <c r="B10" s="422" t="s">
        <v>303</v>
      </c>
      <c r="C10" s="423" t="s">
        <v>306</v>
      </c>
      <c r="D10" s="423" t="s">
        <v>306</v>
      </c>
      <c r="E10" s="423" t="s">
        <v>306</v>
      </c>
      <c r="F10" s="424" t="s">
        <v>306</v>
      </c>
      <c r="G10" s="423" t="s">
        <v>306</v>
      </c>
      <c r="H10" s="424" t="s">
        <v>306</v>
      </c>
      <c r="I10" s="423" t="s">
        <v>306</v>
      </c>
      <c r="J10" s="424" t="s">
        <v>306</v>
      </c>
      <c r="K10" s="423" t="s">
        <v>306</v>
      </c>
      <c r="L10" s="424" t="s">
        <v>306</v>
      </c>
      <c r="M10" s="423" t="s">
        <v>65</v>
      </c>
      <c r="N10" s="135"/>
    </row>
    <row r="11" spans="1:14" ht="14.45" customHeight="1" x14ac:dyDescent="0.2">
      <c r="A11" s="421" t="s">
        <v>309</v>
      </c>
      <c r="B11" s="422" t="s">
        <v>304</v>
      </c>
      <c r="C11" s="423">
        <v>318.55</v>
      </c>
      <c r="D11" s="423">
        <v>3</v>
      </c>
      <c r="E11" s="423">
        <v>142.23000000000002</v>
      </c>
      <c r="F11" s="424">
        <v>0.4464919164966254</v>
      </c>
      <c r="G11" s="423">
        <v>2</v>
      </c>
      <c r="H11" s="424">
        <v>0.66666666666666663</v>
      </c>
      <c r="I11" s="423">
        <v>176.32</v>
      </c>
      <c r="J11" s="424">
        <v>0.55350808350337466</v>
      </c>
      <c r="K11" s="423">
        <v>1</v>
      </c>
      <c r="L11" s="424">
        <v>0.33333333333333331</v>
      </c>
      <c r="M11" s="423" t="s">
        <v>1</v>
      </c>
      <c r="N11" s="135"/>
    </row>
    <row r="12" spans="1:14" ht="14.45" customHeight="1" x14ac:dyDescent="0.2">
      <c r="A12" s="421" t="s">
        <v>309</v>
      </c>
      <c r="B12" s="422" t="s">
        <v>305</v>
      </c>
      <c r="C12" s="423">
        <v>0</v>
      </c>
      <c r="D12" s="423">
        <v>1</v>
      </c>
      <c r="E12" s="423">
        <v>0</v>
      </c>
      <c r="F12" s="424" t="s">
        <v>306</v>
      </c>
      <c r="G12" s="423">
        <v>1</v>
      </c>
      <c r="H12" s="424">
        <v>1</v>
      </c>
      <c r="I12" s="423" t="s">
        <v>306</v>
      </c>
      <c r="J12" s="424" t="s">
        <v>306</v>
      </c>
      <c r="K12" s="423" t="s">
        <v>306</v>
      </c>
      <c r="L12" s="424">
        <v>0</v>
      </c>
      <c r="M12" s="423" t="s">
        <v>1</v>
      </c>
      <c r="N12" s="135"/>
    </row>
    <row r="13" spans="1:14" ht="14.45" customHeight="1" x14ac:dyDescent="0.2">
      <c r="A13" s="421" t="s">
        <v>309</v>
      </c>
      <c r="B13" s="422" t="s">
        <v>310</v>
      </c>
      <c r="C13" s="423">
        <v>318.55</v>
      </c>
      <c r="D13" s="423">
        <v>4</v>
      </c>
      <c r="E13" s="423">
        <v>142.23000000000002</v>
      </c>
      <c r="F13" s="424">
        <v>0.4464919164966254</v>
      </c>
      <c r="G13" s="423">
        <v>3</v>
      </c>
      <c r="H13" s="424">
        <v>0.75</v>
      </c>
      <c r="I13" s="423">
        <v>176.32</v>
      </c>
      <c r="J13" s="424">
        <v>0.55350808350337466</v>
      </c>
      <c r="K13" s="423">
        <v>1</v>
      </c>
      <c r="L13" s="424">
        <v>0.25</v>
      </c>
      <c r="M13" s="423" t="s">
        <v>311</v>
      </c>
      <c r="N13" s="135"/>
    </row>
    <row r="14" spans="1:14" ht="14.45" customHeight="1" x14ac:dyDescent="0.2">
      <c r="A14" s="421" t="s">
        <v>306</v>
      </c>
      <c r="B14" s="422" t="s">
        <v>306</v>
      </c>
      <c r="C14" s="423" t="s">
        <v>306</v>
      </c>
      <c r="D14" s="423" t="s">
        <v>306</v>
      </c>
      <c r="E14" s="423" t="s">
        <v>306</v>
      </c>
      <c r="F14" s="424" t="s">
        <v>306</v>
      </c>
      <c r="G14" s="423" t="s">
        <v>306</v>
      </c>
      <c r="H14" s="424" t="s">
        <v>306</v>
      </c>
      <c r="I14" s="423" t="s">
        <v>306</v>
      </c>
      <c r="J14" s="424" t="s">
        <v>306</v>
      </c>
      <c r="K14" s="423" t="s">
        <v>306</v>
      </c>
      <c r="L14" s="424" t="s">
        <v>306</v>
      </c>
      <c r="M14" s="423" t="s">
        <v>312</v>
      </c>
      <c r="N14" s="135"/>
    </row>
    <row r="15" spans="1:14" ht="14.45" customHeight="1" x14ac:dyDescent="0.2">
      <c r="A15" s="421" t="s">
        <v>307</v>
      </c>
      <c r="B15" s="422" t="s">
        <v>313</v>
      </c>
      <c r="C15" s="423">
        <v>318.55</v>
      </c>
      <c r="D15" s="423">
        <v>4</v>
      </c>
      <c r="E15" s="423">
        <v>142.23000000000002</v>
      </c>
      <c r="F15" s="424">
        <v>0.4464919164966254</v>
      </c>
      <c r="G15" s="423">
        <v>3</v>
      </c>
      <c r="H15" s="424">
        <v>0.75</v>
      </c>
      <c r="I15" s="423">
        <v>176.32</v>
      </c>
      <c r="J15" s="424">
        <v>0.55350808350337466</v>
      </c>
      <c r="K15" s="423">
        <v>1</v>
      </c>
      <c r="L15" s="424">
        <v>0.25</v>
      </c>
      <c r="M15" s="423" t="s">
        <v>308</v>
      </c>
      <c r="N15" s="135"/>
    </row>
    <row r="16" spans="1:14" ht="14.45" customHeight="1" x14ac:dyDescent="0.2">
      <c r="A16" s="425" t="s">
        <v>209</v>
      </c>
    </row>
    <row r="17" spans="1:1" ht="14.45" customHeight="1" x14ac:dyDescent="0.2">
      <c r="A17" s="426" t="s">
        <v>314</v>
      </c>
    </row>
    <row r="18" spans="1:1" ht="14.45" customHeight="1" x14ac:dyDescent="0.2">
      <c r="A18" s="425" t="s">
        <v>315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18" priority="15" stopIfTrue="1" operator="lessThan">
      <formula>0.6</formula>
    </cfRule>
  </conditionalFormatting>
  <conditionalFormatting sqref="B5:B8">
    <cfRule type="expression" dxfId="17" priority="10">
      <formula>AND(LEFT(M5,6)&lt;&gt;"mezera",M5&lt;&gt;"")</formula>
    </cfRule>
  </conditionalFormatting>
  <conditionalFormatting sqref="A5:A8">
    <cfRule type="expression" dxfId="16" priority="8">
      <formula>AND(M5&lt;&gt;"",M5&lt;&gt;"mezeraKL")</formula>
    </cfRule>
  </conditionalFormatting>
  <conditionalFormatting sqref="F5:F8">
    <cfRule type="cellIs" dxfId="15" priority="7" operator="lessThan">
      <formula>0.6</formula>
    </cfRule>
  </conditionalFormatting>
  <conditionalFormatting sqref="B5:L8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8">
    <cfRule type="expression" dxfId="12" priority="12">
      <formula>$M5&lt;&gt;""</formula>
    </cfRule>
  </conditionalFormatting>
  <conditionalFormatting sqref="B10:B15">
    <cfRule type="expression" dxfId="11" priority="4">
      <formula>AND(LEFT(M10,6)&lt;&gt;"mezera",M10&lt;&gt;"")</formula>
    </cfRule>
  </conditionalFormatting>
  <conditionalFormatting sqref="A10:A15">
    <cfRule type="expression" dxfId="10" priority="2">
      <formula>AND(M10&lt;&gt;"",M10&lt;&gt;"mezeraKL")</formula>
    </cfRule>
  </conditionalFormatting>
  <conditionalFormatting sqref="F10:F15">
    <cfRule type="cellIs" dxfId="9" priority="1" operator="lessThan">
      <formula>0.6</formula>
    </cfRule>
  </conditionalFormatting>
  <conditionalFormatting sqref="B10:L15">
    <cfRule type="expression" dxfId="8" priority="3">
      <formula>OR($M10="KL",$M10="SumaKL")</formula>
    </cfRule>
    <cfRule type="expression" dxfId="7" priority="5">
      <formula>$M10="SumaNS"</formula>
    </cfRule>
  </conditionalFormatting>
  <conditionalFormatting sqref="A10:L15">
    <cfRule type="expression" dxfId="6" priority="6">
      <formula>$M10&lt;&gt;""</formula>
    </cfRule>
  </conditionalFormatting>
  <hyperlinks>
    <hyperlink ref="A2" location="Obsah!A1" display="Zpět na Obsah  KL 01  1.-4.měsíc" xr:uid="{2990A4E3-A64A-4CD7-BB59-CDF56B0D2227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5" customWidth="1"/>
    <col min="2" max="2" width="11.140625" style="192" bestFit="1" customWidth="1"/>
    <col min="3" max="3" width="11.140625" style="115" hidden="1" customWidth="1"/>
    <col min="4" max="4" width="7.28515625" style="192" bestFit="1" customWidth="1"/>
    <col min="5" max="5" width="7.28515625" style="115" hidden="1" customWidth="1"/>
    <col min="6" max="6" width="11.140625" style="192" bestFit="1" customWidth="1"/>
    <col min="7" max="7" width="5.28515625" style="195" customWidth="1"/>
    <col min="8" max="8" width="7.28515625" style="192" bestFit="1" customWidth="1"/>
    <col min="9" max="9" width="5.28515625" style="195" customWidth="1"/>
    <col min="10" max="10" width="11.140625" style="192" customWidth="1"/>
    <col min="11" max="11" width="5.28515625" style="195" customWidth="1"/>
    <col min="12" max="12" width="7.28515625" style="192" customWidth="1"/>
    <col min="13" max="13" width="5.28515625" style="195" customWidth="1"/>
    <col min="14" max="14" width="0" style="115" hidden="1" customWidth="1"/>
    <col min="15" max="16384" width="8.85546875" style="115"/>
  </cols>
  <sheetData>
    <row r="1" spans="1:13" ht="18.600000000000001" customHeight="1" thickBot="1" x14ac:dyDescent="0.35">
      <c r="A1" s="317" t="s">
        <v>127</v>
      </c>
      <c r="B1" s="317"/>
      <c r="C1" s="317"/>
      <c r="D1" s="317"/>
      <c r="E1" s="317"/>
      <c r="F1" s="317"/>
      <c r="G1" s="317"/>
      <c r="H1" s="317"/>
      <c r="I1" s="317"/>
      <c r="J1" s="289"/>
      <c r="K1" s="289"/>
      <c r="L1" s="289"/>
      <c r="M1" s="289"/>
    </row>
    <row r="2" spans="1:13" ht="14.45" customHeight="1" thickBot="1" x14ac:dyDescent="0.25">
      <c r="A2" s="214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5" customHeight="1" thickBot="1" x14ac:dyDescent="0.25">
      <c r="A3" s="128"/>
      <c r="B3" s="319" t="s">
        <v>12</v>
      </c>
      <c r="C3" s="321"/>
      <c r="D3" s="318"/>
      <c r="E3" s="127"/>
      <c r="F3" s="318" t="s">
        <v>13</v>
      </c>
      <c r="G3" s="318"/>
      <c r="H3" s="318"/>
      <c r="I3" s="318"/>
      <c r="J3" s="318" t="s">
        <v>126</v>
      </c>
      <c r="K3" s="318"/>
      <c r="L3" s="318"/>
      <c r="M3" s="320"/>
    </row>
    <row r="4" spans="1:13" ht="14.45" customHeight="1" thickBot="1" x14ac:dyDescent="0.25">
      <c r="A4" s="427" t="s">
        <v>121</v>
      </c>
      <c r="B4" s="430" t="s">
        <v>16</v>
      </c>
      <c r="C4" s="431"/>
      <c r="D4" s="430" t="s">
        <v>17</v>
      </c>
      <c r="E4" s="431"/>
      <c r="F4" s="430" t="s">
        <v>16</v>
      </c>
      <c r="G4" s="440" t="s">
        <v>2</v>
      </c>
      <c r="H4" s="430" t="s">
        <v>17</v>
      </c>
      <c r="I4" s="440" t="s">
        <v>2</v>
      </c>
      <c r="J4" s="430" t="s">
        <v>16</v>
      </c>
      <c r="K4" s="440" t="s">
        <v>2</v>
      </c>
      <c r="L4" s="430" t="s">
        <v>17</v>
      </c>
      <c r="M4" s="441" t="s">
        <v>2</v>
      </c>
    </row>
    <row r="5" spans="1:13" ht="14.45" customHeight="1" x14ac:dyDescent="0.2">
      <c r="A5" s="428" t="s">
        <v>316</v>
      </c>
      <c r="B5" s="432">
        <v>279.99</v>
      </c>
      <c r="C5" s="433">
        <v>1</v>
      </c>
      <c r="D5" s="438">
        <v>1</v>
      </c>
      <c r="E5" s="446" t="s">
        <v>316</v>
      </c>
      <c r="F5" s="432">
        <v>103.67</v>
      </c>
      <c r="G5" s="442">
        <v>0.37026322368656023</v>
      </c>
      <c r="H5" s="434"/>
      <c r="I5" s="443">
        <v>0</v>
      </c>
      <c r="J5" s="448">
        <v>176.32</v>
      </c>
      <c r="K5" s="442">
        <v>0.62973677631343972</v>
      </c>
      <c r="L5" s="434">
        <v>1</v>
      </c>
      <c r="M5" s="443">
        <v>1</v>
      </c>
    </row>
    <row r="6" spans="1:13" ht="14.45" customHeight="1" thickBot="1" x14ac:dyDescent="0.25">
      <c r="A6" s="429" t="s">
        <v>317</v>
      </c>
      <c r="B6" s="435">
        <v>38.56</v>
      </c>
      <c r="C6" s="436">
        <v>1</v>
      </c>
      <c r="D6" s="439">
        <v>3</v>
      </c>
      <c r="E6" s="447" t="s">
        <v>317</v>
      </c>
      <c r="F6" s="435">
        <v>38.56</v>
      </c>
      <c r="G6" s="444">
        <v>1</v>
      </c>
      <c r="H6" s="437">
        <v>3</v>
      </c>
      <c r="I6" s="445">
        <v>1</v>
      </c>
      <c r="J6" s="449"/>
      <c r="K6" s="444">
        <v>0</v>
      </c>
      <c r="L6" s="437"/>
      <c r="M6" s="445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D7695005-1CA7-4FB9-8CE7-8E2D72BA897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5" hidden="1" customWidth="1" outlineLevel="1"/>
    <col min="2" max="2" width="28.28515625" style="115" hidden="1" customWidth="1" outlineLevel="1"/>
    <col min="3" max="3" width="9" style="115" customWidth="1" collapsed="1"/>
    <col min="4" max="4" width="18.7109375" style="200" customWidth="1"/>
    <col min="5" max="5" width="13.5703125" style="193" customWidth="1"/>
    <col min="6" max="6" width="6" style="115" bestFit="1" customWidth="1"/>
    <col min="7" max="7" width="8.7109375" style="115" customWidth="1"/>
    <col min="8" max="8" width="5" style="115" bestFit="1" customWidth="1"/>
    <col min="9" max="9" width="8.5703125" style="115" hidden="1" customWidth="1" outlineLevel="1"/>
    <col min="10" max="10" width="25.7109375" style="115" customWidth="1" collapsed="1"/>
    <col min="11" max="11" width="8.7109375" style="115" customWidth="1"/>
    <col min="12" max="12" width="7.7109375" style="194" customWidth="1"/>
    <col min="13" max="13" width="11.140625" style="194" customWidth="1"/>
    <col min="14" max="14" width="7.7109375" style="115" customWidth="1"/>
    <col min="15" max="15" width="7.7109375" style="201" customWidth="1"/>
    <col min="16" max="16" width="11.140625" style="194" customWidth="1"/>
    <col min="17" max="17" width="5.42578125" style="195" bestFit="1" customWidth="1"/>
    <col min="18" max="18" width="7.7109375" style="115" customWidth="1"/>
    <col min="19" max="19" width="5.42578125" style="195" bestFit="1" customWidth="1"/>
    <col min="20" max="20" width="7.7109375" style="201" customWidth="1"/>
    <col min="21" max="21" width="5.42578125" style="195" bestFit="1" customWidth="1"/>
    <col min="22" max="16384" width="8.85546875" style="115"/>
  </cols>
  <sheetData>
    <row r="1" spans="1:21" ht="18.600000000000001" customHeight="1" thickBot="1" x14ac:dyDescent="0.35">
      <c r="A1" s="315" t="s">
        <v>338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4.45" customHeight="1" thickBot="1" x14ac:dyDescent="0.25">
      <c r="A2" s="214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5" customHeight="1" thickBot="1" x14ac:dyDescent="0.25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 t="s">
        <v>120</v>
      </c>
      <c r="L3" s="328"/>
      <c r="M3" s="57">
        <f>SUBTOTAL(9,M7:M1048576)</f>
        <v>318.55</v>
      </c>
      <c r="N3" s="57">
        <f>SUBTOTAL(9,N7:N1048576)</f>
        <v>5</v>
      </c>
      <c r="O3" s="57">
        <f>SUBTOTAL(9,O7:O1048576)</f>
        <v>4</v>
      </c>
      <c r="P3" s="57">
        <f>SUBTOTAL(9,P7:P1048576)</f>
        <v>142.23000000000002</v>
      </c>
      <c r="Q3" s="58">
        <f>IF(M3=0,0,P3/M3)</f>
        <v>0.4464919164966254</v>
      </c>
      <c r="R3" s="57">
        <f>SUBTOTAL(9,R7:R1048576)</f>
        <v>4</v>
      </c>
      <c r="S3" s="58">
        <f>IF(N3=0,0,R3/N3)</f>
        <v>0.8</v>
      </c>
      <c r="T3" s="57">
        <f>SUBTOTAL(9,T7:T1048576)</f>
        <v>3</v>
      </c>
      <c r="U3" s="59">
        <f>IF(O3=0,0,T3/O3)</f>
        <v>0.75</v>
      </c>
    </row>
    <row r="4" spans="1:21" ht="14.45" customHeight="1" x14ac:dyDescent="0.2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29" t="s">
        <v>12</v>
      </c>
      <c r="N4" s="330"/>
      <c r="O4" s="330"/>
      <c r="P4" s="331" t="s">
        <v>18</v>
      </c>
      <c r="Q4" s="330"/>
      <c r="R4" s="330"/>
      <c r="S4" s="330"/>
      <c r="T4" s="330"/>
      <c r="U4" s="332"/>
    </row>
    <row r="5" spans="1:21" ht="14.45" customHeight="1" thickBot="1" x14ac:dyDescent="0.2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2" t="s">
        <v>19</v>
      </c>
      <c r="Q5" s="323"/>
      <c r="R5" s="322" t="s">
        <v>10</v>
      </c>
      <c r="S5" s="323"/>
      <c r="T5" s="322" t="s">
        <v>17</v>
      </c>
      <c r="U5" s="324"/>
    </row>
    <row r="6" spans="1:21" s="193" customFormat="1" ht="14.45" customHeight="1" thickBot="1" x14ac:dyDescent="0.25">
      <c r="A6" s="450" t="s">
        <v>20</v>
      </c>
      <c r="B6" s="451" t="s">
        <v>4</v>
      </c>
      <c r="C6" s="450" t="s">
        <v>21</v>
      </c>
      <c r="D6" s="451" t="s">
        <v>5</v>
      </c>
      <c r="E6" s="451" t="s">
        <v>129</v>
      </c>
      <c r="F6" s="451" t="s">
        <v>22</v>
      </c>
      <c r="G6" s="451" t="s">
        <v>23</v>
      </c>
      <c r="H6" s="451" t="s">
        <v>6</v>
      </c>
      <c r="I6" s="451" t="s">
        <v>7</v>
      </c>
      <c r="J6" s="451" t="s">
        <v>8</v>
      </c>
      <c r="K6" s="451" t="s">
        <v>9</v>
      </c>
      <c r="L6" s="451" t="s">
        <v>24</v>
      </c>
      <c r="M6" s="452" t="s">
        <v>11</v>
      </c>
      <c r="N6" s="453" t="s">
        <v>25</v>
      </c>
      <c r="O6" s="453" t="s">
        <v>25</v>
      </c>
      <c r="P6" s="453" t="s">
        <v>11</v>
      </c>
      <c r="Q6" s="453" t="s">
        <v>2</v>
      </c>
      <c r="R6" s="453" t="s">
        <v>25</v>
      </c>
      <c r="S6" s="453" t="s">
        <v>2</v>
      </c>
      <c r="T6" s="453" t="s">
        <v>25</v>
      </c>
      <c r="U6" s="454" t="s">
        <v>2</v>
      </c>
    </row>
    <row r="7" spans="1:21" ht="14.45" customHeight="1" x14ac:dyDescent="0.2">
      <c r="A7" s="455">
        <v>43</v>
      </c>
      <c r="B7" s="456" t="s">
        <v>303</v>
      </c>
      <c r="C7" s="456" t="s">
        <v>309</v>
      </c>
      <c r="D7" s="457" t="s">
        <v>337</v>
      </c>
      <c r="E7" s="458" t="s">
        <v>317</v>
      </c>
      <c r="F7" s="456" t="s">
        <v>304</v>
      </c>
      <c r="G7" s="456" t="s">
        <v>318</v>
      </c>
      <c r="H7" s="456" t="s">
        <v>306</v>
      </c>
      <c r="I7" s="456" t="s">
        <v>319</v>
      </c>
      <c r="J7" s="456" t="s">
        <v>320</v>
      </c>
      <c r="K7" s="456" t="s">
        <v>321</v>
      </c>
      <c r="L7" s="459">
        <v>38.56</v>
      </c>
      <c r="M7" s="459">
        <v>38.56</v>
      </c>
      <c r="N7" s="456">
        <v>1</v>
      </c>
      <c r="O7" s="460">
        <v>1</v>
      </c>
      <c r="P7" s="459">
        <v>38.56</v>
      </c>
      <c r="Q7" s="461">
        <v>1</v>
      </c>
      <c r="R7" s="456">
        <v>1</v>
      </c>
      <c r="S7" s="461">
        <v>1</v>
      </c>
      <c r="T7" s="460">
        <v>1</v>
      </c>
      <c r="U7" s="108">
        <v>1</v>
      </c>
    </row>
    <row r="8" spans="1:21" ht="14.45" customHeight="1" x14ac:dyDescent="0.2">
      <c r="A8" s="470">
        <v>43</v>
      </c>
      <c r="B8" s="471" t="s">
        <v>303</v>
      </c>
      <c r="C8" s="471" t="s">
        <v>309</v>
      </c>
      <c r="D8" s="472" t="s">
        <v>337</v>
      </c>
      <c r="E8" s="473" t="s">
        <v>317</v>
      </c>
      <c r="F8" s="471" t="s">
        <v>304</v>
      </c>
      <c r="G8" s="471" t="s">
        <v>322</v>
      </c>
      <c r="H8" s="471" t="s">
        <v>306</v>
      </c>
      <c r="I8" s="471" t="s">
        <v>323</v>
      </c>
      <c r="J8" s="471" t="s">
        <v>324</v>
      </c>
      <c r="K8" s="471" t="s">
        <v>325</v>
      </c>
      <c r="L8" s="474">
        <v>0</v>
      </c>
      <c r="M8" s="474">
        <v>0</v>
      </c>
      <c r="N8" s="471">
        <v>1</v>
      </c>
      <c r="O8" s="475">
        <v>1</v>
      </c>
      <c r="P8" s="474">
        <v>0</v>
      </c>
      <c r="Q8" s="476"/>
      <c r="R8" s="471">
        <v>1</v>
      </c>
      <c r="S8" s="476">
        <v>1</v>
      </c>
      <c r="T8" s="475">
        <v>1</v>
      </c>
      <c r="U8" s="477">
        <v>1</v>
      </c>
    </row>
    <row r="9" spans="1:21" ht="14.45" customHeight="1" x14ac:dyDescent="0.2">
      <c r="A9" s="470">
        <v>43</v>
      </c>
      <c r="B9" s="471" t="s">
        <v>303</v>
      </c>
      <c r="C9" s="471" t="s">
        <v>309</v>
      </c>
      <c r="D9" s="472" t="s">
        <v>337</v>
      </c>
      <c r="E9" s="473" t="s">
        <v>317</v>
      </c>
      <c r="F9" s="471" t="s">
        <v>305</v>
      </c>
      <c r="G9" s="471" t="s">
        <v>326</v>
      </c>
      <c r="H9" s="471" t="s">
        <v>306</v>
      </c>
      <c r="I9" s="471" t="s">
        <v>327</v>
      </c>
      <c r="J9" s="471" t="s">
        <v>328</v>
      </c>
      <c r="K9" s="471"/>
      <c r="L9" s="474">
        <v>0</v>
      </c>
      <c r="M9" s="474">
        <v>0</v>
      </c>
      <c r="N9" s="471">
        <v>1</v>
      </c>
      <c r="O9" s="475">
        <v>1</v>
      </c>
      <c r="P9" s="474">
        <v>0</v>
      </c>
      <c r="Q9" s="476"/>
      <c r="R9" s="471">
        <v>1</v>
      </c>
      <c r="S9" s="476">
        <v>1</v>
      </c>
      <c r="T9" s="475">
        <v>1</v>
      </c>
      <c r="U9" s="477">
        <v>1</v>
      </c>
    </row>
    <row r="10" spans="1:21" ht="14.45" customHeight="1" x14ac:dyDescent="0.2">
      <c r="A10" s="470">
        <v>43</v>
      </c>
      <c r="B10" s="471" t="s">
        <v>303</v>
      </c>
      <c r="C10" s="471" t="s">
        <v>309</v>
      </c>
      <c r="D10" s="472" t="s">
        <v>337</v>
      </c>
      <c r="E10" s="473" t="s">
        <v>316</v>
      </c>
      <c r="F10" s="471" t="s">
        <v>304</v>
      </c>
      <c r="G10" s="471" t="s">
        <v>329</v>
      </c>
      <c r="H10" s="471" t="s">
        <v>306</v>
      </c>
      <c r="I10" s="471" t="s">
        <v>330</v>
      </c>
      <c r="J10" s="471" t="s">
        <v>331</v>
      </c>
      <c r="K10" s="471" t="s">
        <v>332</v>
      </c>
      <c r="L10" s="474">
        <v>176.32</v>
      </c>
      <c r="M10" s="474">
        <v>176.32</v>
      </c>
      <c r="N10" s="471">
        <v>1</v>
      </c>
      <c r="O10" s="475">
        <v>1</v>
      </c>
      <c r="P10" s="474"/>
      <c r="Q10" s="476">
        <v>0</v>
      </c>
      <c r="R10" s="471"/>
      <c r="S10" s="476">
        <v>0</v>
      </c>
      <c r="T10" s="475"/>
      <c r="U10" s="477">
        <v>0</v>
      </c>
    </row>
    <row r="11" spans="1:21" ht="14.45" customHeight="1" thickBot="1" x14ac:dyDescent="0.25">
      <c r="A11" s="462">
        <v>43</v>
      </c>
      <c r="B11" s="463" t="s">
        <v>303</v>
      </c>
      <c r="C11" s="463" t="s">
        <v>309</v>
      </c>
      <c r="D11" s="464" t="s">
        <v>337</v>
      </c>
      <c r="E11" s="465" t="s">
        <v>316</v>
      </c>
      <c r="F11" s="463" t="s">
        <v>304</v>
      </c>
      <c r="G11" s="463" t="s">
        <v>333</v>
      </c>
      <c r="H11" s="463" t="s">
        <v>306</v>
      </c>
      <c r="I11" s="463" t="s">
        <v>334</v>
      </c>
      <c r="J11" s="463" t="s">
        <v>335</v>
      </c>
      <c r="K11" s="463" t="s">
        <v>336</v>
      </c>
      <c r="L11" s="466">
        <v>103.67</v>
      </c>
      <c r="M11" s="466">
        <v>103.67</v>
      </c>
      <c r="N11" s="463">
        <v>1</v>
      </c>
      <c r="O11" s="467"/>
      <c r="P11" s="466">
        <v>103.67</v>
      </c>
      <c r="Q11" s="468">
        <v>1</v>
      </c>
      <c r="R11" s="463">
        <v>1</v>
      </c>
      <c r="S11" s="468">
        <v>1</v>
      </c>
      <c r="T11" s="467"/>
      <c r="U11" s="469"/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7F2383AE-C93F-4A73-BD3E-7B97D4186649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2019-09-26T07:00:03Z</dcterms:modified>
</cp:coreProperties>
</file>