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xr:revisionPtr revIDLastSave="0" documentId="8_{7F997951-0E55-4284-BFE3-B7E48CA80517}" xr6:coauthVersionLast="44" xr6:coauthVersionMax="44" xr10:uidLastSave="{00000000-0000-0000-0000-000000000000}"/>
  <bookViews>
    <workbookView xWindow="-120" yWindow="-120" windowWidth="29040" windowHeight="15840" tabRatio="930" xr2:uid="{00000000-000D-0000-FFFF-FFFF00000000}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Recepty" sheetId="346" r:id="rId7"/>
    <sheet name="LRp Lékaři" sheetId="415" r:id="rId8"/>
    <sheet name="LRp Detail" sheetId="347" r:id="rId9"/>
    <sheet name="LRp PL" sheetId="388" r:id="rId10"/>
    <sheet name="LRp PL Detail" sheetId="390" r:id="rId11"/>
    <sheet name="Osobní náklady" sheetId="431" r:id="rId12"/>
    <sheet name="ON Data" sheetId="432" state="hidden" r:id="rId13"/>
    <sheet name="ZV Vykáz.-A" sheetId="344" r:id="rId14"/>
    <sheet name="ZV Vykáz.-A Lékaři" sheetId="429" r:id="rId15"/>
    <sheet name="ZV Vykáz.-A Detail" sheetId="345" r:id="rId16"/>
    <sheet name="ZV Vykáz.-A Det.Lék." sheetId="430" r:id="rId17"/>
    <sheet name="ZV Vykáz.-H" sheetId="410" r:id="rId18"/>
    <sheet name="ZV Vykáz.-H Detail" sheetId="377" r:id="rId19"/>
  </sheets>
  <definedNames>
    <definedName name="_xlnm._FilterDatabase" localSheetId="5" hidden="1">HV!$A$5:$A$5</definedName>
    <definedName name="_xlnm._FilterDatabase" localSheetId="6" hidden="1">'Léky Recepty'!$A$4:$M$4</definedName>
    <definedName name="_xlnm._FilterDatabase" localSheetId="8" hidden="1">'LRp Detail'!$A$6:$U$6</definedName>
    <definedName name="_xlnm._FilterDatabase" localSheetId="7" hidden="1">'LRp Lékaři'!$A$4:$N$4</definedName>
    <definedName name="_xlnm._FilterDatabase" localSheetId="9" hidden="1">'LRp PL'!$A$3:$F$50</definedName>
    <definedName name="_xlnm._FilterDatabase" localSheetId="10" hidden="1">'LRp PL Detail'!$A$5:$M$1005</definedName>
    <definedName name="_xlnm._FilterDatabase" localSheetId="4" hidden="1">'Man Tab'!$A$5:$A$31</definedName>
    <definedName name="_xlnm._FilterDatabase" localSheetId="16" hidden="1">'ZV Vykáz.-A Det.Lék.'!$A$5:$S$5</definedName>
    <definedName name="_xlnm._FilterDatabase" localSheetId="15" hidden="1">'ZV Vykáz.-A Detail'!$A$5:$R$5</definedName>
    <definedName name="_xlnm._FilterDatabase" localSheetId="14" hidden="1">'ZV Vykáz.-A Lékaři'!$A$4:$A$5</definedName>
    <definedName name="_xlnm._FilterDatabase" localSheetId="18" hidden="1">'ZV Vykáz.-H Detail'!$A$5:$Q$5</definedName>
    <definedName name="doměsíce">'HI Graf'!$C$11</definedName>
    <definedName name="Obdobi" localSheetId="12">'ON Data'!$B$3:$B$16</definedName>
    <definedName name="Obdobi" localSheetId="11">'ON Data'!$B$3:$B$16</definedName>
    <definedName name="Obdob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9" i="431" l="1"/>
  <c r="C13" i="431"/>
  <c r="D14" i="431"/>
  <c r="E15" i="431"/>
  <c r="G9" i="431"/>
  <c r="P10" i="431"/>
  <c r="J13" i="431"/>
  <c r="P11" i="431"/>
  <c r="C15" i="431"/>
  <c r="E9" i="431"/>
  <c r="F10" i="431"/>
  <c r="G11" i="431"/>
  <c r="H12" i="431"/>
  <c r="I13" i="431"/>
  <c r="J14" i="431"/>
  <c r="K15" i="431"/>
  <c r="M9" i="431"/>
  <c r="N10" i="431"/>
  <c r="O11" i="431"/>
  <c r="P12" i="431"/>
  <c r="Q13" i="431"/>
  <c r="D10" i="431"/>
  <c r="G13" i="431"/>
  <c r="I15" i="431"/>
  <c r="L10" i="431"/>
  <c r="N12" i="431"/>
  <c r="P14" i="431"/>
  <c r="D11" i="431"/>
  <c r="F13" i="431"/>
  <c r="H15" i="431"/>
  <c r="K10" i="431"/>
  <c r="M12" i="431"/>
  <c r="O14" i="431"/>
  <c r="C11" i="431"/>
  <c r="E13" i="431"/>
  <c r="G15" i="431"/>
  <c r="J10" i="431"/>
  <c r="L12" i="431"/>
  <c r="N14" i="431"/>
  <c r="Q9" i="431"/>
  <c r="C12" i="431"/>
  <c r="F15" i="431"/>
  <c r="I10" i="431"/>
  <c r="K12" i="431"/>
  <c r="M14" i="431"/>
  <c r="P9" i="431"/>
  <c r="I11" i="431"/>
  <c r="K13" i="431"/>
  <c r="M15" i="431"/>
  <c r="Q11" i="431"/>
  <c r="D15" i="431"/>
  <c r="H11" i="431"/>
  <c r="K14" i="431"/>
  <c r="N9" i="431"/>
  <c r="Q12" i="431"/>
  <c r="D9" i="431"/>
  <c r="E10" i="431"/>
  <c r="F11" i="431"/>
  <c r="G12" i="431"/>
  <c r="H13" i="431"/>
  <c r="I14" i="431"/>
  <c r="J15" i="431"/>
  <c r="L9" i="431"/>
  <c r="M10" i="431"/>
  <c r="N11" i="431"/>
  <c r="O12" i="431"/>
  <c r="P13" i="431"/>
  <c r="Q14" i="431"/>
  <c r="C9" i="431"/>
  <c r="E11" i="431"/>
  <c r="F12" i="431"/>
  <c r="H14" i="431"/>
  <c r="K9" i="431"/>
  <c r="M11" i="431"/>
  <c r="O13" i="431"/>
  <c r="Q15" i="431"/>
  <c r="C10" i="431"/>
  <c r="E12" i="431"/>
  <c r="G14" i="431"/>
  <c r="J9" i="431"/>
  <c r="L11" i="431"/>
  <c r="N13" i="431"/>
  <c r="P15" i="431"/>
  <c r="D12" i="431"/>
  <c r="F14" i="431"/>
  <c r="I9" i="431"/>
  <c r="K11" i="431"/>
  <c r="M13" i="431"/>
  <c r="O15" i="431"/>
  <c r="D13" i="431"/>
  <c r="E14" i="431"/>
  <c r="H9" i="431"/>
  <c r="J11" i="431"/>
  <c r="L13" i="431"/>
  <c r="N15" i="431"/>
  <c r="Q10" i="431"/>
  <c r="H10" i="431"/>
  <c r="J12" i="431"/>
  <c r="L14" i="431"/>
  <c r="O9" i="431"/>
  <c r="C14" i="431"/>
  <c r="G10" i="431"/>
  <c r="I12" i="431"/>
  <c r="L15" i="431"/>
  <c r="O10" i="431"/>
  <c r="O8" i="431"/>
  <c r="M8" i="431"/>
  <c r="J8" i="431"/>
  <c r="G8" i="431"/>
  <c r="D8" i="431"/>
  <c r="E8" i="431"/>
  <c r="P8" i="431"/>
  <c r="N8" i="431"/>
  <c r="I8" i="431"/>
  <c r="Q8" i="431"/>
  <c r="H8" i="431"/>
  <c r="C8" i="431"/>
  <c r="L8" i="431"/>
  <c r="F8" i="431"/>
  <c r="K8" i="431"/>
  <c r="S10" i="431" l="1"/>
  <c r="R10" i="431"/>
  <c r="S15" i="431"/>
  <c r="R15" i="431"/>
  <c r="R14" i="431"/>
  <c r="S14" i="431"/>
  <c r="S12" i="431"/>
  <c r="R12" i="431"/>
  <c r="R11" i="431"/>
  <c r="S11" i="431"/>
  <c r="S9" i="431"/>
  <c r="R9" i="431"/>
  <c r="S13" i="431"/>
  <c r="R13" i="431"/>
  <c r="C6" i="431"/>
  <c r="L6" i="431"/>
  <c r="R8" i="431"/>
  <c r="S8" i="431"/>
  <c r="Q6" i="431"/>
  <c r="N6" i="431"/>
  <c r="K6" i="431"/>
  <c r="M6" i="431"/>
  <c r="H6" i="431"/>
  <c r="I6" i="431"/>
  <c r="P6" i="431"/>
  <c r="G6" i="431"/>
  <c r="J6" i="431"/>
  <c r="O6" i="431"/>
  <c r="R6" i="431" l="1"/>
  <c r="S6" i="431"/>
  <c r="D20" i="414" l="1"/>
  <c r="E20" i="414" s="1"/>
  <c r="D19" i="414"/>
  <c r="A22" i="383" l="1"/>
  <c r="Q3" i="430"/>
  <c r="P3" i="430"/>
  <c r="S3" i="430" s="1"/>
  <c r="M3" i="430"/>
  <c r="R3" i="430" s="1"/>
  <c r="L3" i="430"/>
  <c r="I3" i="430"/>
  <c r="H3" i="430"/>
  <c r="H3" i="344" l="1"/>
  <c r="E11" i="339" s="1"/>
  <c r="E3" i="344"/>
  <c r="B3" i="344"/>
  <c r="I3" i="344" s="1"/>
  <c r="J3" i="344" l="1"/>
  <c r="D18" i="414" s="1"/>
  <c r="C11" i="339"/>
  <c r="E19" i="414"/>
  <c r="A20" i="414"/>
  <c r="A19" i="414"/>
  <c r="A18" i="414"/>
  <c r="A10" i="414" l="1"/>
  <c r="A9" i="414"/>
  <c r="A7" i="414"/>
  <c r="A20" i="383" l="1"/>
  <c r="G3" i="429"/>
  <c r="F3" i="429"/>
  <c r="E3" i="429"/>
  <c r="D3" i="429"/>
  <c r="C3" i="429"/>
  <c r="B3" i="429"/>
  <c r="C11" i="340" l="1"/>
  <c r="A7" i="33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3" i="414" l="1"/>
  <c r="D7" i="414"/>
  <c r="A16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2" i="414" l="1"/>
  <c r="A17" i="414"/>
  <c r="R3" i="410" l="1"/>
  <c r="Q3" i="410"/>
  <c r="P3" i="410"/>
  <c r="S3" i="410" s="1"/>
  <c r="O3" i="410"/>
  <c r="N3" i="410"/>
  <c r="L3" i="410"/>
  <c r="K3" i="410"/>
  <c r="J3" i="410"/>
  <c r="M3" i="410" s="1"/>
  <c r="I3" i="410"/>
  <c r="H3" i="410"/>
  <c r="F3" i="410"/>
  <c r="E3" i="410"/>
  <c r="D3" i="410"/>
  <c r="G3" i="410" s="1"/>
  <c r="C3" i="410"/>
  <c r="B3" i="410"/>
  <c r="D21" i="414" s="1"/>
  <c r="Z3" i="344" l="1"/>
  <c r="Y3" i="344"/>
  <c r="W3" i="344"/>
  <c r="AB3" i="344" s="1"/>
  <c r="V3" i="344"/>
  <c r="T3" i="344"/>
  <c r="AA3" i="344" s="1"/>
  <c r="Q3" i="344"/>
  <c r="P3" i="344"/>
  <c r="N3" i="344"/>
  <c r="S3" i="344" s="1"/>
  <c r="M3" i="344"/>
  <c r="K3" i="344"/>
  <c r="R3" i="344" s="1"/>
  <c r="G3" i="344"/>
  <c r="C3" i="344"/>
  <c r="B11" i="339"/>
  <c r="J11" i="339" s="1"/>
  <c r="I11" i="339" l="1"/>
  <c r="F11" i="339"/>
  <c r="H11" i="339" l="1"/>
  <c r="G11" i="339"/>
  <c r="A21" i="414"/>
  <c r="A13" i="414"/>
  <c r="A14" i="414"/>
  <c r="A4" i="414"/>
  <c r="A6" i="339" l="1"/>
  <c r="A5" i="339"/>
  <c r="D4" i="414"/>
  <c r="D14" i="414"/>
  <c r="C14" i="414"/>
  <c r="C17" i="414"/>
  <c r="D17" i="414"/>
  <c r="D10" i="414" l="1"/>
  <c r="C13" i="414" l="1"/>
  <c r="C7" i="414"/>
  <c r="D9" i="414" l="1"/>
  <c r="E9" i="414" s="1"/>
  <c r="E21" i="414"/>
  <c r="E18" i="414"/>
  <c r="E13" i="414"/>
  <c r="E7" i="414"/>
  <c r="E10" i="414"/>
  <c r="A12" i="383" l="1"/>
  <c r="A15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E12" i="339" l="1"/>
  <c r="C12" i="339"/>
  <c r="F12" i="339" s="1"/>
  <c r="B12" i="339"/>
  <c r="J12" i="339" s="1"/>
  <c r="O3" i="377"/>
  <c r="N3" i="377"/>
  <c r="Q3" i="377" s="1"/>
  <c r="K3" i="377"/>
  <c r="P3" i="377" s="1"/>
  <c r="J3" i="377"/>
  <c r="G3" i="377"/>
  <c r="F3" i="377"/>
  <c r="P3" i="345"/>
  <c r="O3" i="345"/>
  <c r="R3" i="345" s="1"/>
  <c r="L3" i="345"/>
  <c r="K3" i="345"/>
  <c r="H3" i="345"/>
  <c r="G3" i="345"/>
  <c r="M3" i="390"/>
  <c r="H3" i="390" s="1"/>
  <c r="L3" i="390"/>
  <c r="J3" i="390"/>
  <c r="I3" i="390"/>
  <c r="G3" i="390"/>
  <c r="F3" i="390"/>
  <c r="T3" i="347"/>
  <c r="R3" i="347"/>
  <c r="P3" i="347"/>
  <c r="O3" i="347"/>
  <c r="N3" i="347"/>
  <c r="M3" i="347"/>
  <c r="C22" i="414"/>
  <c r="D22" i="414"/>
  <c r="Q3" i="345" l="1"/>
  <c r="Q3" i="347"/>
  <c r="U3" i="347"/>
  <c r="S3" i="347"/>
  <c r="I12" i="339"/>
  <c r="I13" i="339" s="1"/>
  <c r="F13" i="339"/>
  <c r="E13" i="339"/>
  <c r="E15" i="339" s="1"/>
  <c r="H12" i="339"/>
  <c r="G12" i="339"/>
  <c r="K3" i="390"/>
  <c r="A4" i="383"/>
  <c r="A24" i="383"/>
  <c r="A23" i="383"/>
  <c r="A21" i="383"/>
  <c r="A19" i="383"/>
  <c r="A16" i="383"/>
  <c r="A14" i="383"/>
  <c r="A13" i="383"/>
  <c r="A11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C4" i="414"/>
  <c r="D16" i="414"/>
  <c r="H13" i="339" l="1"/>
  <c r="F15" i="339"/>
  <c r="J13" i="339"/>
  <c r="B15" i="339"/>
  <c r="E14" i="414"/>
  <c r="E4" i="414"/>
  <c r="C6" i="340"/>
  <c r="D6" i="340" s="1"/>
  <c r="B4" i="340"/>
  <c r="G13" i="339"/>
  <c r="B13" i="340" l="1"/>
  <c r="B12" i="340"/>
  <c r="G15" i="339"/>
  <c r="H15" i="339"/>
  <c r="C4" i="340"/>
  <c r="E17" i="414"/>
  <c r="E22" i="414"/>
  <c r="D4" i="340"/>
  <c r="E6" i="340"/>
  <c r="C16" i="414"/>
  <c r="E16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62361</author>
  </authors>
  <commentList>
    <comment ref="A4" authorId="0" shapeId="0" xr:uid="{00000000-0006-0000-1A00-000001000000}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<sst xmlns="http://schemas.openxmlformats.org/spreadsheetml/2006/main" count="1237" uniqueCount="491">
  <si>
    <t>NS</t>
  </si>
  <si>
    <t>Účet</t>
  </si>
  <si>
    <t>%</t>
  </si>
  <si>
    <t>Celkem</t>
  </si>
  <si>
    <t>Klinika</t>
  </si>
  <si>
    <t>Oddělení</t>
  </si>
  <si>
    <t>PL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</si>
  <si>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</si>
  <si>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</si>
  <si>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</si>
  <si>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</si>
  <si>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</si>
  <si>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</si>
  <si>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</si>
  <si>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</si>
  <si>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</si>
  <si>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</si>
  <si>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</si>
  <si>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</si>
  <si>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</si>
  <si>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</si>
  <si>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</si>
  <si>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</si>
  <si>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</si>
  <si>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</si>
  <si>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</si>
  <si>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</si>
  <si>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</si>
  <si>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</si>
  <si>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</si>
  <si>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</si>
  <si>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</si>
  <si>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</si>
  <si>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</si>
  <si>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</si>
  <si>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</si>
  <si>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</si>
  <si>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</si>
  <si>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</si>
  <si>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</si>
  <si>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</si>
  <si>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</si>
  <si>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</si>
  <si>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</si>
  <si>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</si>
  <si>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</si>
  <si>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</si>
  <si>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</si>
  <si>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</si>
  <si>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</si>
  <si>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</si>
  <si>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</si>
  <si>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</si>
  <si>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</si>
  <si>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</si>
  <si>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</si>
  <si>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</si>
  <si>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</si>
  <si>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</si>
  <si>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</si>
  <si>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</si>
  <si>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</si>
  <si>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</si>
  <si>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</si>
  <si>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</si>
  <si>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</si>
  <si>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</si>
  <si>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</si>
  <si>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</si>
  <si>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</si>
  <si>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</si>
  <si>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</si>
  <si>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</si>
  <si>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</si>
  <si>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</si>
  <si>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</si>
  <si>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</si>
  <si>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</si>
  <si>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</si>
  <si>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</si>
  <si>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</si>
  <si>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</si>
  <si>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</si>
  <si>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</si>
  <si>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</si>
  <si>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</si>
  <si>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</si>
  <si>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</si>
  <si>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</si>
  <si>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</si>
  <si>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</si>
  <si>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</si>
  <si>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</si>
  <si>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</si>
  <si>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</si>
  <si>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</si>
  <si>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</si>
  <si>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</si>
  <si>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</si>
  <si>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</si>
  <si>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</si>
  <si>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</si>
  <si>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</si>
  <si>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</si>
  <si>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</si>
  <si>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</si>
  <si>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</si>
  <si>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</si>
  <si>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</si>
  <si>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</si>
  <si>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Recepty</t>
  </si>
  <si>
    <t>LRp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</si>
  <si>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</si>
  <si>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</si>
  <si>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</si>
  <si>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</si>
  <si>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</si>
  <si>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</si>
  <si>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</si>
  <si>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</si>
  <si>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</si>
  <si>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V rámci PL</t>
  </si>
  <si>
    <t>Mimo PL</t>
  </si>
  <si>
    <t xml:space="preserve">ATC </t>
  </si>
  <si>
    <t>Název Léku</t>
  </si>
  <si>
    <t>Popis Léku</t>
  </si>
  <si>
    <t>% Kč</t>
  </si>
  <si>
    <t>Lékař</t>
  </si>
  <si>
    <t>Hospodaření zdravotnického pracoviště (v tisících)</t>
  </si>
  <si>
    <t>Preskripce a záchyt receptů a poukazů</t>
  </si>
  <si>
    <t>Přehledové sestavy</t>
  </si>
  <si>
    <t>Akt. měsíc</t>
  </si>
  <si>
    <t>LRp PL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</si>
  <si>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</si>
  <si>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</si>
  <si>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</si>
  <si>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</si>
  <si>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</si>
  <si>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</si>
  <si>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</si>
  <si>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</si>
  <si>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</si>
  <si>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</si>
  <si>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</si>
  <si>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</si>
  <si>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</si>
  <si>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</si>
  <si>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</si>
  <si>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Lékař / ATC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</si>
  <si>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</si>
  <si>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</si>
  <si>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</si>
  <si>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</si>
  <si>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</si>
  <si>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</si>
  <si>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</si>
  <si>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</si>
  <si>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</si>
  <si>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</si>
  <si>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</si>
  <si>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</si>
  <si>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</si>
  <si>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</si>
  <si>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</si>
  <si>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</si>
  <si>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</si>
  <si>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</si>
  <si>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</si>
  <si>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</si>
  <si>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</si>
  <si>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</si>
  <si>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</si>
  <si>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</si>
  <si>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</si>
  <si>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</si>
  <si>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</si>
  <si>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</si>
  <si>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</si>
  <si>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Ambulance = vykázané výkony (body)</t>
  </si>
  <si>
    <t>Počet výkonů</t>
  </si>
  <si>
    <t>ZV Vykáz.-A Lékaři</t>
  </si>
  <si>
    <t>Sml.odb./NS</t>
  </si>
  <si>
    <t>% 2015</t>
  </si>
  <si>
    <t>§</t>
  </si>
  <si>
    <t>ZV Vykáz.-A Det.Lék.</t>
  </si>
  <si>
    <t>Rozdíl 2015</t>
  </si>
  <si>
    <t>Plnění 2015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</si>
  <si>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</si>
  <si>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</si>
  <si>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</si>
  <si>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</si>
  <si>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</si>
  <si>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</si>
  <si>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</si>
  <si>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</si>
  <si>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</si>
  <si>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</si>
  <si>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</si>
  <si>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</si>
  <si>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</si>
  <si>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</si>
  <si>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</si>
  <si>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</si>
  <si>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</si>
  <si>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</si>
  <si>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</si>
  <si>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</si>
  <si>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</si>
  <si>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</si>
  <si>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</si>
  <si>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</si>
  <si>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</si>
  <si>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</si>
  <si>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</si>
  <si>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</si>
  <si>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</si>
  <si>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</si>
  <si>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</si>
  <si>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</si>
  <si>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t>POMĚROVÉ  PLNĚNÍ = Rozpočet na rok 2018 celkem a 1/12  ročního rozpočtu, skutečnost daných měsíců a % plnění načítané skutečnosti do data k poměrné části rozpočtu do data.</t>
  </si>
  <si>
    <t>Rozpočet výnosů pro rok 2019 je stanoven jako 100% skutečnosti referenčního období (2018)</t>
  </si>
  <si>
    <t>01/2019</t>
  </si>
  <si>
    <t>02/2019</t>
  </si>
  <si>
    <t>03/2019</t>
  </si>
  <si>
    <t>04/2019</t>
  </si>
  <si>
    <t>05/2019</t>
  </si>
  <si>
    <t>06/2019</t>
  </si>
  <si>
    <t>07/2019</t>
  </si>
  <si>
    <t>08/2019</t>
  </si>
  <si>
    <t>09/2019</t>
  </si>
  <si>
    <t>10/2019</t>
  </si>
  <si>
    <t>11/2019</t>
  </si>
  <si>
    <t>12/2019</t>
  </si>
  <si>
    <t>Rozp. 2018            CELKEM</t>
  </si>
  <si>
    <t>Skut. 2018 CELKEM</t>
  </si>
  <si>
    <t>ROZDÍL  Skut. - Rozp. 2018</t>
  </si>
  <si>
    <t>% plnění rozp.2018</t>
  </si>
  <si>
    <t>Rozp.rok 2019</t>
  </si>
  <si>
    <t>Sk.v tis 2019</t>
  </si>
  <si>
    <t>ROZDÍL (Sk.do data - Rozp.do data 2019)</t>
  </si>
  <si>
    <t>% plnění (Skut.do data/Rozp.rok 2019)</t>
  </si>
  <si>
    <r>
      <t>Zpět na Obsah</t>
    </r>
    <r>
      <rPr>
        <sz val="9"/>
        <rFont val="Calibri"/>
        <family val="2"/>
        <charset val="238"/>
        <scheme val="minor"/>
      </rPr>
      <t xml:space="preserve"> | 1.-12.měsíc | Ústav farmakologie</t>
    </r>
  </si>
  <si>
    <t>/0</t>
  </si>
  <si>
    <t>--</t>
  </si>
  <si>
    <t>Plnění rozpočtu po měsících</t>
  </si>
  <si>
    <t>5     Účtová třída 5 - Náklady</t>
  </si>
  <si>
    <t>50     Spotřebované nákupy</t>
  </si>
  <si>
    <t>501     Spotřeba materiálu</t>
  </si>
  <si>
    <t>50117     Všeobecný materiál</t>
  </si>
  <si>
    <t>50117004     tiskopisy a kanc.potřeby (sk.V42, 43)</t>
  </si>
  <si>
    <t>50117007     údržbový materiál ostatní - sklady (sk.T17)</t>
  </si>
  <si>
    <t>50117015     IT - spotřební materiál (sk. P37, 38, 48)</t>
  </si>
  <si>
    <t>50119     DDHM a textil</t>
  </si>
  <si>
    <t>50119077     OOPP a prádlo pro zaměstnance (sk.T14)</t>
  </si>
  <si>
    <t>51     Služby</t>
  </si>
  <si>
    <t>51802     Spoje</t>
  </si>
  <si>
    <t>51802003     telekom.styk</t>
  </si>
  <si>
    <t>521     Mzdové náklady</t>
  </si>
  <si>
    <t>52111     Hrubé mzdy</t>
  </si>
  <si>
    <t>52111000     hrubé mzdy</t>
  </si>
  <si>
    <t>52128     Náhrada mzdy po dobu dočas.prac.neschopnosti</t>
  </si>
  <si>
    <t>52128000     náhrada mzdy po dobu dočas.prac.neschop.-hraz.org.</t>
  </si>
  <si>
    <t>52148     Peněžité dary z FKSP</t>
  </si>
  <si>
    <t>52148000     peněžité dary z FKSP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</si>
  <si>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</si>
  <si>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</si>
  <si>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</si>
  <si>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</si>
  <si>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</si>
  <si>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525     Jiné sociální pojištění</t>
  </si>
  <si>
    <t>52510     Jiné sociální pojištění</t>
  </si>
  <si>
    <t>52510000     pojištění zaměstnanců (čtvrtletně)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</si>
  <si>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</si>
  <si>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</si>
  <si>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</si>
  <si>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</si>
  <si>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</si>
  <si>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</si>
  <si>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54910008     školení, kongresové poplatky tuzemské - lékaři</t>
  </si>
  <si>
    <t>54972     Školení, kongres.popl.tuzemské - lékaři (pouze OPMČ)</t>
  </si>
  <si>
    <t>54972000     školení, kongres.popl.tuzemské - lékaři (pouze OPMČ)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</si>
  <si>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</si>
  <si>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</si>
  <si>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</si>
  <si>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</si>
  <si>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60210354     zdr.služby - cizinci</t>
  </si>
  <si>
    <t>60228     Zdr. výkony - VZP sledov.položky    OZPI</t>
  </si>
  <si>
    <t>60228190     výkony pojištěncům EHS</t>
  </si>
  <si>
    <t>60229     Zdr. výkony - ZP sled.položky  OZPI</t>
  </si>
  <si>
    <t>60229202     výkony pojišť.EHS, výkony za cizinci (mimo EHS)</t>
  </si>
  <si>
    <t>60229290     výkony pojištěncům EHS</t>
  </si>
  <si>
    <t>60245     Fakturace ZP - běžný rok (paušál)   OZPI</t>
  </si>
  <si>
    <t>60245400     tržby VZP za zdrav.péči - paušál</t>
  </si>
  <si>
    <t>60245401     tržby ZP za zdrav.péči - paušál</t>
  </si>
  <si>
    <t>60246     Dorovnání péče ZP - min.let         OZPI</t>
  </si>
  <si>
    <t>60246400     tržby VZP za zdrav.péči - dorovnání min.let</t>
  </si>
  <si>
    <t>60246401     tržby ZP za zdrav.péči - dorovnání min.let</t>
  </si>
  <si>
    <t>64     Jiné provozní výnosy</t>
  </si>
  <si>
    <t>648     Čerpání fondů</t>
  </si>
  <si>
    <t>64824     Čerpání FKSP</t>
  </si>
  <si>
    <t>64824048     čerpání z FKSP - peněžité dary</t>
  </si>
  <si>
    <t>649     Ostatní výnosy z činnosti</t>
  </si>
  <si>
    <t>64908     Ostatní výnosy z činnosti</t>
  </si>
  <si>
    <t>64908000     rozdíly v zaokrouhlení</t>
  </si>
  <si>
    <t>64924     Ostatní služby - mimo zdrav.výkony  FAKTURACE</t>
  </si>
  <si>
    <t>64924459     školení, stáže, odb. semináře, konference</t>
  </si>
  <si>
    <t>7     Účtová třída 7 - Vnitropodnikové účetnictví - náklady</t>
  </si>
  <si>
    <t>79     Vnitropodnikové náklady</t>
  </si>
  <si>
    <t>79910     VPN - informační technologie</t>
  </si>
  <si>
    <t>79910001     výkony IT - fixní náklady (z 9086)</t>
  </si>
  <si>
    <t>79950     VPN - správní režie</t>
  </si>
  <si>
    <t>79950001     režie HTS</t>
  </si>
  <si>
    <t>Ústav farmakologie</t>
  </si>
  <si>
    <t>HVLP</t>
  </si>
  <si>
    <t>IPLP</t>
  </si>
  <si>
    <t/>
  </si>
  <si>
    <t>43</t>
  </si>
  <si>
    <t>SumaKL</t>
  </si>
  <si>
    <t>89301432</t>
  </si>
  <si>
    <t>Oddělení klinické farmakologie Celkem</t>
  </si>
  <si>
    <t>SumaNS</t>
  </si>
  <si>
    <t>mezeraNS</t>
  </si>
  <si>
    <t>Ústav farmakologie Celkem</t>
  </si>
  <si>
    <t>* Legenda</t>
  </si>
  <si>
    <t>DIAPZT = Pomůcky pro diabetiky, jejichž název začíná slovem "Pumpa"</t>
  </si>
  <si>
    <t>Matalová Petra</t>
  </si>
  <si>
    <t>Strojil Jan</t>
  </si>
  <si>
    <t>CEFUROXIM</t>
  </si>
  <si>
    <t>18547</t>
  </si>
  <si>
    <t>XORIMAX</t>
  </si>
  <si>
    <t>500MG TBL FLM 10</t>
  </si>
  <si>
    <t>ESCITALOPRAM</t>
  </si>
  <si>
    <t>134505</t>
  </si>
  <si>
    <t>ELICEA</t>
  </si>
  <si>
    <t>10MG TBL FLM 56</t>
  </si>
  <si>
    <t>GLUKAGON</t>
  </si>
  <si>
    <t>83741</t>
  </si>
  <si>
    <t>GLUCAGEN HYPOKIT</t>
  </si>
  <si>
    <t>1MG INJ PSO LQF 1+1ML+STŘ</t>
  </si>
  <si>
    <t>LEVOCETIRIZIN</t>
  </si>
  <si>
    <t>85142</t>
  </si>
  <si>
    <t>XYZAL</t>
  </si>
  <si>
    <t>5MG TBL FLM 90</t>
  </si>
  <si>
    <t>MEFENOXALON</t>
  </si>
  <si>
    <t>85656</t>
  </si>
  <si>
    <t>DORSIFLEX</t>
  </si>
  <si>
    <t>200MG TBL NOB 30</t>
  </si>
  <si>
    <t>MUPIROCIN</t>
  </si>
  <si>
    <t>237886</t>
  </si>
  <si>
    <t>BACTROBAN</t>
  </si>
  <si>
    <t>20MG/G UNG 15G</t>
  </si>
  <si>
    <t>PANTOPRAZOL</t>
  </si>
  <si>
    <t>109415</t>
  </si>
  <si>
    <t>NOLPAZA</t>
  </si>
  <si>
    <t>40MG TBL ENT 84</t>
  </si>
  <si>
    <t>PŘÍPRAVKY PRO LÉČBU BRADAVIC A KUŘÍCH OK</t>
  </si>
  <si>
    <t>60890</t>
  </si>
  <si>
    <t>VERRUMAL</t>
  </si>
  <si>
    <t>5MG/G+100MG/G DRM SOL 13ML</t>
  </si>
  <si>
    <t>SALBUTAMOL</t>
  </si>
  <si>
    <t>31934</t>
  </si>
  <si>
    <t>VENTOLIN INHALER N</t>
  </si>
  <si>
    <t>100MCG/DÁV INH SUS PSS 200DÁV</t>
  </si>
  <si>
    <t>TRIMETHOPRIM</t>
  </si>
  <si>
    <t>232060</t>
  </si>
  <si>
    <t>TRIMETHOPRIM TABLETS BP</t>
  </si>
  <si>
    <t>200MG TBL NOB 14</t>
  </si>
  <si>
    <t>ZOLPIDEM</t>
  </si>
  <si>
    <t>233360</t>
  </si>
  <si>
    <t>ZOLPIDEM MYLAN</t>
  </si>
  <si>
    <t>10MG TBL FLM 20</t>
  </si>
  <si>
    <t>AMOXICILIN A  INHIBITOR BETA-LAKTAMASY</t>
  </si>
  <si>
    <t>85525</t>
  </si>
  <si>
    <t>AMOKSIKLAV 625 MG</t>
  </si>
  <si>
    <t>500MG/125MG TBL FLM 21</t>
  </si>
  <si>
    <t>237658</t>
  </si>
  <si>
    <t>AUGMENTIN 625 MG</t>
  </si>
  <si>
    <t>500MG/125MG TBL FLM 21 II</t>
  </si>
  <si>
    <t>Jiná</t>
  </si>
  <si>
    <t>*3014</t>
  </si>
  <si>
    <t>Jiný</t>
  </si>
  <si>
    <t>124346</t>
  </si>
  <si>
    <t>CEZERA</t>
  </si>
  <si>
    <t>5MG TBL FLM 90 I</t>
  </si>
  <si>
    <t>OMEPRAZOL</t>
  </si>
  <si>
    <t>115318</t>
  </si>
  <si>
    <t>HELICID 20 ZENTIVA</t>
  </si>
  <si>
    <t>20MG CPS ETD 90 II</t>
  </si>
  <si>
    <t>Oddělení klinické farmakologie</t>
  </si>
  <si>
    <t>P</t>
  </si>
  <si>
    <t>Preskripce a záchyt receptů a poukazů - orientační přehled</t>
  </si>
  <si>
    <t>Přehled plnění pozitivního listu (PL) - 
   preskripce léčivých přípravků dle objemu Kč mimo PL</t>
  </si>
  <si>
    <t>A02BC02 - PANTOPRAZOL</t>
  </si>
  <si>
    <t>J01CR02 - AMOXICILIN A  INHIBITOR BETA-LAKTAMASY</t>
  </si>
  <si>
    <t>A02BC01 - OMEPRAZOL</t>
  </si>
  <si>
    <t>N06AB10 - ESCITALOPRAM</t>
  </si>
  <si>
    <t>R03AC02 - SALBUTAMOL</t>
  </si>
  <si>
    <t>J01DC02 - CEFUROXIM</t>
  </si>
  <si>
    <t>N05CF02 - ZOLPIDEM</t>
  </si>
  <si>
    <t>A02BC01</t>
  </si>
  <si>
    <t>A02BC02</t>
  </si>
  <si>
    <t>J01CR02</t>
  </si>
  <si>
    <t>J01DC02</t>
  </si>
  <si>
    <t>N05CF02</t>
  </si>
  <si>
    <t>N06AB10</t>
  </si>
  <si>
    <t>R03AC02</t>
  </si>
  <si>
    <t>Přehled plnění PL - Preskripce léčivých přípravků - orientační přehled</t>
  </si>
  <si>
    <t>2 VŠ NLZP</t>
  </si>
  <si>
    <t>4 THP</t>
  </si>
  <si>
    <t>1 Celkem</t>
  </si>
  <si>
    <t>2 Celkem</t>
  </si>
  <si>
    <t>3 Celkem</t>
  </si>
  <si>
    <t>4 Celkem</t>
  </si>
  <si>
    <t>5 Celkem</t>
  </si>
  <si>
    <t>6 Celkem</t>
  </si>
  <si>
    <t>7 Celkem</t>
  </si>
  <si>
    <t>8 Celkem</t>
  </si>
  <si>
    <t>9 Celkem</t>
  </si>
  <si>
    <t>10 Celkem</t>
  </si>
  <si>
    <t>11 Celkem</t>
  </si>
  <si>
    <t>12 Celkem</t>
  </si>
  <si>
    <t>ON Data</t>
  </si>
  <si>
    <t>lékaři pod odborným dozorem</t>
  </si>
  <si>
    <t>lékaři specialisté</t>
  </si>
  <si>
    <t>farmaceuti</t>
  </si>
  <si>
    <t>odborní pracovníci v lab. metodách</t>
  </si>
  <si>
    <t>THP</t>
  </si>
  <si>
    <t>Specializovaná ambulantní péče</t>
  </si>
  <si>
    <t>206 - Pracoviště klinické farmakologie (mimo laboratorní</t>
  </si>
  <si>
    <t>Zdravotní výkony vykázané na pracovišti v rámci ambulantní péče *</t>
  </si>
  <si>
    <t>4321</t>
  </si>
  <si>
    <t>se jménem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</si>
  <si>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</si>
  <si>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</si>
  <si>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Urbánek Karel</t>
  </si>
  <si>
    <t>Zdravotní výkony vykázané na pracovišti v rámci ambulantní péče dle lékařů *</t>
  </si>
  <si>
    <t>06</t>
  </si>
  <si>
    <t>206</t>
  </si>
  <si>
    <t>V</t>
  </si>
  <si>
    <t>26022</t>
  </si>
  <si>
    <t>CÍLENÉ VYŠETŘENÍ KLINICKÝM FARMAKOLOGEM</t>
  </si>
  <si>
    <t>26023</t>
  </si>
  <si>
    <t>KONTROLNÍ VYŠETŘENÍ KLINICKÝM FARMAKOLOGEM</t>
  </si>
  <si>
    <t>99113</t>
  </si>
  <si>
    <t>FARMAKOLOGICKÉ ZHODNOCENÍ LÉČBY KLINICKÝM FARMAKOL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</si>
  <si>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</si>
  <si>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lékařů</t>
  </si>
  <si>
    <t>01 - 1IK: I. Interní klinika - kardiologická</t>
  </si>
  <si>
    <t>02 - 2IK-GER: II. Interní klinika gastroenter. a geria.</t>
  </si>
  <si>
    <t>03 - 3IK: III. Interní klinika-nefrol.revm.a endokrin.</t>
  </si>
  <si>
    <t>04 - 1CHIR: I. Chirurgická klinika</t>
  </si>
  <si>
    <t>05 - 2CHIR: II. Chirurgická klinika</t>
  </si>
  <si>
    <t>06 - NCHIR: Neurochirurgická klinika</t>
  </si>
  <si>
    <t>07 - KARIM: Klinika anesteziologie,resuscit. a int.med.</t>
  </si>
  <si>
    <t>08 - PORGYN: Porodnicko-gynekologická klinika</t>
  </si>
  <si>
    <t>10 - DK: Dětská klinika</t>
  </si>
  <si>
    <t>11 - ORT: Ortopedická klinika</t>
  </si>
  <si>
    <t>12 - UROL: Urologická klinika</t>
  </si>
  <si>
    <t>13 - ORL: Klinika otorinolaryngolog. a chir.hlav.a krku</t>
  </si>
  <si>
    <t>14 - OCNI: Oční klinika</t>
  </si>
  <si>
    <t>16 - PLIC: Klinika plicních nemocí a tuber.</t>
  </si>
  <si>
    <t>17 - NEUR: Neurologická klinika</t>
  </si>
  <si>
    <t>20 - KOZNI: Klinika chorob kožních a pohl.</t>
  </si>
  <si>
    <t>21 - ONK: Onkologická klinika</t>
  </si>
  <si>
    <t>30 - GER: Oddělení geriatrie</t>
  </si>
  <si>
    <t>31 - TRAU: Traumatologická klinika</t>
  </si>
  <si>
    <t>32 - HOK: Hemato-onkologická klinika</t>
  </si>
  <si>
    <t>50 - KCHIR: Kardiochirurgická klinika</t>
  </si>
  <si>
    <t>59 - IPCHO: Oddělení int. péče chirurg. oborů</t>
  </si>
  <si>
    <t>01</t>
  </si>
  <si>
    <t>02</t>
  </si>
  <si>
    <t>03</t>
  </si>
  <si>
    <t>04</t>
  </si>
  <si>
    <t>05</t>
  </si>
  <si>
    <t>07</t>
  </si>
  <si>
    <t>08</t>
  </si>
  <si>
    <t>10</t>
  </si>
  <si>
    <t>11</t>
  </si>
  <si>
    <t>12</t>
  </si>
  <si>
    <t>13</t>
  </si>
  <si>
    <t>14</t>
  </si>
  <si>
    <t>16</t>
  </si>
  <si>
    <t>17</t>
  </si>
  <si>
    <t>20</t>
  </si>
  <si>
    <t>21</t>
  </si>
  <si>
    <t>30</t>
  </si>
  <si>
    <t>31</t>
  </si>
  <si>
    <t>32</t>
  </si>
  <si>
    <t>50</t>
  </si>
  <si>
    <t>59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</si>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</sst>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3">
    <numFmt numFmtId="44" formatCode="_(&quot;Kč&quot;* #,##0.00_);_(&quot;Kč&quot;* \(#,##0.00\);_(&quot;Kč&quot;* &quot;-&quot;??_);_(@_)"/>
    <numFmt numFmtId="164" formatCode="#\ ###\ ###\ ##0"/>
    <numFmt numFmtId="165" formatCode="#\ ###\ ##0.0"/>
    <numFmt numFmtId="166" formatCode="#,##0.0"/>
    <numFmt numFmtId="168" formatCode="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#,##0%;\-#,##0%;"/>
    <numFmt numFmtId="176" formatCode="#,##0.0;\-#,##0.0;"/>
    <numFmt numFmtId="177" formatCode="#,##0%"/>
  </numFmts>
  <fonts count="62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41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98">
    <xf numFmtId="0" fontId="0" fillId="0" borderId="0"/>
    <xf numFmtId="0" fontId="26" fillId="0" borderId="0" applyNumberForma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25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11" fillId="0" borderId="0"/>
    <xf numFmtId="0" fontId="12" fillId="0" borderId="0"/>
    <xf numFmtId="0" fontId="4" fillId="0" borderId="0"/>
    <xf numFmtId="0" fontId="11" fillId="0" borderId="0"/>
    <xf numFmtId="0" fontId="11" fillId="0" borderId="0"/>
    <xf numFmtId="0" fontId="4" fillId="0" borderId="0"/>
    <xf numFmtId="0" fontId="13" fillId="0" borderId="0"/>
    <xf numFmtId="0" fontId="11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1" fillId="0" borderId="0"/>
    <xf numFmtId="0" fontId="23" fillId="0" borderId="0"/>
    <xf numFmtId="0" fontId="24" fillId="0" borderId="0"/>
    <xf numFmtId="0" fontId="27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5" fillId="0" borderId="0"/>
    <xf numFmtId="0" fontId="25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5" fillId="0" borderId="0"/>
  </cellStyleXfs>
  <cellXfs count="560">
    <xf numFmtId="0" fontId="0" fillId="0" borderId="0" xfId="0"/>
    <xf numFmtId="0" fontId="28" fillId="2" borderId="17" xfId="81" applyFont="1" applyFill="1" applyBorder="1"/>
    <xf numFmtId="0" fontId="29" fillId="2" borderId="18" xfId="81" applyFont="1" applyFill="1" applyBorder="1"/>
    <xf numFmtId="3" fontId="29" fillId="2" borderId="19" xfId="81" applyNumberFormat="1" applyFont="1" applyFill="1" applyBorder="1"/>
    <xf numFmtId="0" fontId="29" fillId="4" borderId="18" xfId="81" applyFont="1" applyFill="1" applyBorder="1"/>
    <xf numFmtId="3" fontId="29" fillId="4" borderId="19" xfId="81" applyNumberFormat="1" applyFont="1" applyFill="1" applyBorder="1"/>
    <xf numFmtId="171" fontId="29" fillId="3" borderId="19" xfId="81" applyNumberFormat="1" applyFont="1" applyFill="1" applyBorder="1"/>
    <xf numFmtId="0" fontId="30" fillId="5" borderId="0" xfId="74" applyFont="1" applyFill="1"/>
    <xf numFmtId="0" fontId="33" fillId="5" borderId="0" xfId="74" applyFont="1" applyFill="1"/>
    <xf numFmtId="3" fontId="28" fillId="5" borderId="24" xfId="81" applyNumberFormat="1" applyFont="1" applyFill="1" applyBorder="1"/>
    <xf numFmtId="3" fontId="28" fillId="5" borderId="8" xfId="81" applyNumberFormat="1" applyFont="1" applyFill="1" applyBorder="1"/>
    <xf numFmtId="3" fontId="28" fillId="5" borderId="12" xfId="81" applyNumberFormat="1" applyFont="1" applyFill="1" applyBorder="1"/>
    <xf numFmtId="0" fontId="28" fillId="5" borderId="0" xfId="81" applyFont="1" applyFill="1"/>
    <xf numFmtId="10" fontId="28" fillId="5" borderId="0" xfId="81" applyNumberFormat="1" applyFont="1" applyFill="1"/>
    <xf numFmtId="0" fontId="38" fillId="2" borderId="33" xfId="0" applyFont="1" applyFill="1" applyBorder="1" applyAlignment="1">
      <alignment vertical="top"/>
    </xf>
    <xf numFmtId="0" fontId="38" fillId="2" borderId="34" xfId="0" applyFont="1" applyFill="1" applyBorder="1" applyAlignment="1">
      <alignment vertical="top"/>
    </xf>
    <xf numFmtId="0" fontId="35" fillId="2" borderId="34" xfId="0" applyFont="1" applyFill="1" applyBorder="1" applyAlignment="1">
      <alignment vertical="top"/>
    </xf>
    <xf numFmtId="0" fontId="39" fillId="2" borderId="34" xfId="0" applyFont="1" applyFill="1" applyBorder="1" applyAlignment="1">
      <alignment vertical="top"/>
    </xf>
    <xf numFmtId="0" fontId="37" fillId="2" borderId="34" xfId="0" applyFont="1" applyFill="1" applyBorder="1" applyAlignment="1">
      <alignment vertical="top"/>
    </xf>
    <xf numFmtId="0" fontId="35" fillId="2" borderId="35" xfId="0" applyFont="1" applyFill="1" applyBorder="1" applyAlignment="1">
      <alignment vertical="top"/>
    </xf>
    <xf numFmtId="0" fontId="38" fillId="2" borderId="8" xfId="0" applyFont="1" applyFill="1" applyBorder="1" applyAlignment="1">
      <alignment horizontal="center" vertical="center"/>
    </xf>
    <xf numFmtId="0" fontId="38" fillId="2" borderId="21" xfId="0" applyFont="1" applyFill="1" applyBorder="1" applyAlignment="1">
      <alignment horizontal="center" vertical="center"/>
    </xf>
    <xf numFmtId="0" fontId="38" fillId="2" borderId="23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/>
    </xf>
    <xf numFmtId="0" fontId="39" fillId="2" borderId="21" xfId="0" applyFont="1" applyFill="1" applyBorder="1" applyAlignment="1">
      <alignment horizontal="center" vertical="center" wrapText="1"/>
    </xf>
    <xf numFmtId="0" fontId="39" fillId="2" borderId="23" xfId="0" applyFont="1" applyFill="1" applyBorder="1" applyAlignment="1">
      <alignment horizontal="center" vertical="center" wrapText="1"/>
    </xf>
    <xf numFmtId="0" fontId="37" fillId="2" borderId="23" xfId="0" applyFont="1" applyFill="1" applyBorder="1" applyAlignment="1">
      <alignment horizontal="center" vertical="center" wrapText="1"/>
    </xf>
    <xf numFmtId="3" fontId="28" fillId="5" borderId="4" xfId="81" applyNumberFormat="1" applyFont="1" applyFill="1" applyBorder="1"/>
    <xf numFmtId="3" fontId="28" fillId="5" borderId="29" xfId="81" applyNumberFormat="1" applyFont="1" applyFill="1" applyBorder="1"/>
    <xf numFmtId="3" fontId="28" fillId="5" borderId="25" xfId="81" applyNumberFormat="1" applyFont="1" applyFill="1" applyBorder="1"/>
    <xf numFmtId="3" fontId="28" fillId="5" borderId="9" xfId="81" applyNumberFormat="1" applyFont="1" applyFill="1" applyBorder="1"/>
    <xf numFmtId="3" fontId="28" fillId="5" borderId="10" xfId="81" applyNumberFormat="1" applyFont="1" applyFill="1" applyBorder="1"/>
    <xf numFmtId="3" fontId="28" fillId="5" borderId="13" xfId="81" applyNumberFormat="1" applyFont="1" applyFill="1" applyBorder="1"/>
    <xf numFmtId="3" fontId="28" fillId="5" borderId="14" xfId="81" applyNumberFormat="1" applyFont="1" applyFill="1" applyBorder="1"/>
    <xf numFmtId="3" fontId="29" fillId="2" borderId="27" xfId="81" applyNumberFormat="1" applyFont="1" applyFill="1" applyBorder="1"/>
    <xf numFmtId="3" fontId="29" fillId="2" borderId="20" xfId="81" applyNumberFormat="1" applyFont="1" applyFill="1" applyBorder="1"/>
    <xf numFmtId="3" fontId="29" fillId="4" borderId="27" xfId="81" applyNumberFormat="1" applyFont="1" applyFill="1" applyBorder="1"/>
    <xf numFmtId="3" fontId="29" fillId="4" borderId="20" xfId="81" applyNumberFormat="1" applyFont="1" applyFill="1" applyBorder="1"/>
    <xf numFmtId="171" fontId="29" fillId="3" borderId="27" xfId="81" applyNumberFormat="1" applyFont="1" applyFill="1" applyBorder="1"/>
    <xf numFmtId="171" fontId="29" fillId="3" borderId="20" xfId="81" applyNumberFormat="1" applyFont="1" applyFill="1" applyBorder="1"/>
    <xf numFmtId="0" fontId="32" fillId="2" borderId="25" xfId="81" applyFont="1" applyFill="1" applyBorder="1" applyAlignment="1">
      <alignment horizontal="center"/>
    </xf>
    <xf numFmtId="0" fontId="40" fillId="0" borderId="2" xfId="0" applyFont="1" applyFill="1" applyBorder="1"/>
    <xf numFmtId="0" fontId="40" fillId="0" borderId="3" xfId="0" applyFont="1" applyFill="1" applyBorder="1"/>
    <xf numFmtId="3" fontId="29" fillId="0" borderId="27" xfId="78" applyNumberFormat="1" applyFont="1" applyFill="1" applyBorder="1" applyAlignment="1">
      <alignment horizontal="right"/>
    </xf>
    <xf numFmtId="9" fontId="29" fillId="0" borderId="27" xfId="78" applyNumberFormat="1" applyFont="1" applyFill="1" applyBorder="1" applyAlignment="1">
      <alignment horizontal="right"/>
    </xf>
    <xf numFmtId="3" fontId="29" fillId="0" borderId="20" xfId="78" applyNumberFormat="1" applyFont="1" applyFill="1" applyBorder="1" applyAlignment="1">
      <alignment horizontal="right"/>
    </xf>
    <xf numFmtId="0" fontId="33" fillId="0" borderId="43" xfId="0" applyFont="1" applyFill="1" applyBorder="1" applyAlignment="1"/>
    <xf numFmtId="0" fontId="42" fillId="0" borderId="0" xfId="0" applyFont="1" applyFill="1" applyBorder="1" applyAlignment="1"/>
    <xf numFmtId="3" fontId="34" fillId="0" borderId="7" xfId="0" applyNumberFormat="1" applyFont="1" applyFill="1" applyBorder="1" applyAlignment="1">
      <alignment horizontal="right" vertical="top"/>
    </xf>
    <xf numFmtId="3" fontId="34" fillId="0" borderId="5" xfId="0" applyNumberFormat="1" applyFont="1" applyFill="1" applyBorder="1" applyAlignment="1">
      <alignment horizontal="right" vertical="top"/>
    </xf>
    <xf numFmtId="3" fontId="35" fillId="0" borderId="5" xfId="0" applyNumberFormat="1" applyFont="1" applyFill="1" applyBorder="1" applyAlignment="1">
      <alignment horizontal="right" vertical="top"/>
    </xf>
    <xf numFmtId="3" fontId="34" fillId="0" borderId="11" xfId="0" applyNumberFormat="1" applyFont="1" applyFill="1" applyBorder="1" applyAlignment="1">
      <alignment horizontal="right" vertical="top"/>
    </xf>
    <xf numFmtId="3" fontId="34" fillId="0" borderId="9" xfId="0" applyNumberFormat="1" applyFont="1" applyFill="1" applyBorder="1" applyAlignment="1">
      <alignment horizontal="right" vertical="top"/>
    </xf>
    <xf numFmtId="3" fontId="35" fillId="0" borderId="9" xfId="0" applyNumberFormat="1" applyFont="1" applyFill="1" applyBorder="1" applyAlignment="1">
      <alignment horizontal="right" vertical="top"/>
    </xf>
    <xf numFmtId="3" fontId="36" fillId="0" borderId="11" xfId="0" applyNumberFormat="1" applyFont="1" applyFill="1" applyBorder="1" applyAlignment="1">
      <alignment horizontal="right" vertical="top"/>
    </xf>
    <xf numFmtId="3" fontId="36" fillId="0" borderId="9" xfId="0" applyNumberFormat="1" applyFont="1" applyFill="1" applyBorder="1" applyAlignment="1">
      <alignment horizontal="right" vertical="top"/>
    </xf>
    <xf numFmtId="3" fontId="37" fillId="0" borderId="9" xfId="0" applyNumberFormat="1" applyFont="1" applyFill="1" applyBorder="1" applyAlignment="1">
      <alignment horizontal="right" vertical="top"/>
    </xf>
    <xf numFmtId="3" fontId="34" fillId="0" borderId="32" xfId="0" applyNumberFormat="1" applyFont="1" applyFill="1" applyBorder="1" applyAlignment="1">
      <alignment horizontal="right" vertical="top"/>
    </xf>
    <xf numFmtId="3" fontId="34" fillId="0" borderId="23" xfId="0" applyNumberFormat="1" applyFont="1" applyFill="1" applyBorder="1" applyAlignment="1">
      <alignment horizontal="right" vertical="top"/>
    </xf>
    <xf numFmtId="3" fontId="35" fillId="0" borderId="23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3" xfId="82" applyFont="1" applyFill="1" applyBorder="1" applyAlignment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1" xfId="79" applyNumberFormat="1" applyFont="1" applyFill="1" applyBorder="1"/>
    <xf numFmtId="9" fontId="3" fillId="0" borderId="41" xfId="79" applyNumberFormat="1" applyFont="1" applyFill="1" applyBorder="1"/>
    <xf numFmtId="9" fontId="3" fillId="0" borderId="42" xfId="79" applyNumberFormat="1" applyFont="1" applyFill="1" applyBorder="1"/>
    <xf numFmtId="0" fontId="3" fillId="0" borderId="36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37" xfId="79" applyFont="1" applyFill="1" applyBorder="1"/>
    <xf numFmtId="0" fontId="3" fillId="0" borderId="38" xfId="79" applyFont="1" applyFill="1" applyBorder="1"/>
    <xf numFmtId="164" fontId="3" fillId="0" borderId="70" xfId="53" applyNumberFormat="1" applyFont="1" applyFill="1" applyBorder="1"/>
    <xf numFmtId="9" fontId="3" fillId="0" borderId="70" xfId="53" applyNumberFormat="1" applyFont="1" applyFill="1" applyBorder="1"/>
    <xf numFmtId="0" fontId="33" fillId="0" borderId="30" xfId="0" applyFont="1" applyFill="1" applyBorder="1" applyAlignment="1"/>
    <xf numFmtId="0" fontId="33" fillId="0" borderId="31" xfId="0" applyFont="1" applyFill="1" applyBorder="1" applyAlignment="1"/>
    <xf numFmtId="0" fontId="33" fillId="0" borderId="62" xfId="0" applyFont="1" applyFill="1" applyBorder="1" applyAlignment="1"/>
    <xf numFmtId="0" fontId="29" fillId="2" borderId="26" xfId="78" applyFont="1" applyFill="1" applyBorder="1" applyAlignment="1">
      <alignment horizontal="right"/>
    </xf>
    <xf numFmtId="3" fontId="29" fillId="2" borderId="61" xfId="78" applyNumberFormat="1" applyFont="1" applyFill="1" applyBorder="1"/>
    <xf numFmtId="0" fontId="3" fillId="2" borderId="19" xfId="79" applyFont="1" applyFill="1" applyBorder="1" applyAlignment="1">
      <alignment horizontal="left"/>
    </xf>
    <xf numFmtId="0" fontId="3" fillId="2" borderId="27" xfId="79" applyFont="1" applyFill="1" applyBorder="1" applyAlignment="1">
      <alignment horizontal="left"/>
    </xf>
    <xf numFmtId="0" fontId="3" fillId="2" borderId="23" xfId="80" applyFont="1" applyFill="1" applyBorder="1"/>
    <xf numFmtId="0" fontId="3" fillId="2" borderId="22" xfId="80" applyFont="1" applyFill="1" applyBorder="1"/>
    <xf numFmtId="0" fontId="3" fillId="2" borderId="40" xfId="79" applyFont="1" applyFill="1" applyBorder="1"/>
    <xf numFmtId="0" fontId="3" fillId="2" borderId="39" xfId="79" applyFont="1" applyFill="1" applyBorder="1"/>
    <xf numFmtId="0" fontId="3" fillId="2" borderId="68" xfId="53" applyFont="1" applyFill="1" applyBorder="1" applyAlignment="1">
      <alignment horizontal="right"/>
    </xf>
    <xf numFmtId="0" fontId="33" fillId="0" borderId="25" xfId="0" applyFont="1" applyBorder="1" applyAlignment="1"/>
    <xf numFmtId="0" fontId="33" fillId="5" borderId="6" xfId="0" applyFont="1" applyFill="1" applyBorder="1"/>
    <xf numFmtId="0" fontId="33" fillId="5" borderId="10" xfId="0" applyFont="1" applyFill="1" applyBorder="1"/>
    <xf numFmtId="0" fontId="33" fillId="5" borderId="22" xfId="0" applyFont="1" applyFill="1" applyBorder="1"/>
    <xf numFmtId="0" fontId="33" fillId="5" borderId="43" xfId="0" applyFont="1" applyFill="1" applyBorder="1"/>
    <xf numFmtId="0" fontId="33" fillId="5" borderId="51" xfId="0" applyFont="1" applyFill="1" applyBorder="1"/>
    <xf numFmtId="9" fontId="35" fillId="0" borderId="6" xfId="0" applyNumberFormat="1" applyFont="1" applyFill="1" applyBorder="1" applyAlignment="1">
      <alignment horizontal="right" vertical="top"/>
    </xf>
    <xf numFmtId="9" fontId="35" fillId="0" borderId="10" xfId="0" applyNumberFormat="1" applyFont="1" applyFill="1" applyBorder="1" applyAlignment="1">
      <alignment horizontal="right" vertical="top"/>
    </xf>
    <xf numFmtId="9" fontId="37" fillId="0" borderId="10" xfId="0" applyNumberFormat="1" applyFont="1" applyFill="1" applyBorder="1" applyAlignment="1">
      <alignment horizontal="right" vertical="top"/>
    </xf>
    <xf numFmtId="9" fontId="35" fillId="0" borderId="22" xfId="0" applyNumberFormat="1" applyFont="1" applyFill="1" applyBorder="1" applyAlignment="1">
      <alignment horizontal="right" vertical="top"/>
    </xf>
    <xf numFmtId="0" fontId="29" fillId="0" borderId="3" xfId="78" applyFont="1" applyFill="1" applyBorder="1" applyAlignment="1">
      <alignment horizontal="left"/>
    </xf>
    <xf numFmtId="0" fontId="32" fillId="2" borderId="51" xfId="0" applyFont="1" applyFill="1" applyBorder="1" applyAlignment="1">
      <alignment horizontal="center"/>
    </xf>
    <xf numFmtId="3" fontId="3" fillId="0" borderId="69" xfId="53" applyNumberFormat="1" applyFont="1" applyFill="1" applyBorder="1"/>
    <xf numFmtId="3" fontId="3" fillId="0" borderId="70" xfId="53" applyNumberFormat="1" applyFont="1" applyFill="1" applyBorder="1"/>
    <xf numFmtId="3" fontId="3" fillId="0" borderId="71" xfId="53" applyNumberFormat="1" applyFont="1" applyFill="1" applyBorder="1"/>
    <xf numFmtId="0" fontId="32" fillId="2" borderId="51" xfId="0" applyNumberFormat="1" applyFont="1" applyFill="1" applyBorder="1" applyAlignment="1">
      <alignment horizontal="center"/>
    </xf>
    <xf numFmtId="169" fontId="33" fillId="0" borderId="0" xfId="0" applyNumberFormat="1" applyFont="1" applyFill="1"/>
    <xf numFmtId="0" fontId="32" fillId="2" borderId="47" xfId="74" applyFont="1" applyFill="1" applyBorder="1" applyAlignment="1">
      <alignment horizontal="center"/>
    </xf>
    <xf numFmtId="0" fontId="28" fillId="5" borderId="43" xfId="81" applyFont="1" applyFill="1" applyBorder="1"/>
    <xf numFmtId="0" fontId="32" fillId="2" borderId="23" xfId="81" applyFont="1" applyFill="1" applyBorder="1" applyAlignment="1">
      <alignment horizontal="center"/>
    </xf>
    <xf numFmtId="0" fontId="32" fillId="2" borderId="22" xfId="81" applyFont="1" applyFill="1" applyBorder="1" applyAlignment="1">
      <alignment horizontal="center"/>
    </xf>
    <xf numFmtId="0" fontId="33" fillId="0" borderId="0" xfId="0" applyFont="1" applyFill="1" applyBorder="1" applyAlignment="1"/>
    <xf numFmtId="0" fontId="46" fillId="2" borderId="17" xfId="1" applyFont="1" applyFill="1" applyBorder="1"/>
    <xf numFmtId="0" fontId="47" fillId="0" borderId="0" xfId="0" applyFont="1" applyFill="1"/>
    <xf numFmtId="0" fontId="48" fillId="0" borderId="0" xfId="0" applyFont="1" applyFill="1"/>
    <xf numFmtId="0" fontId="48" fillId="0" borderId="0" xfId="0" applyFont="1" applyFill="1" applyBorder="1"/>
    <xf numFmtId="3" fontId="33" fillId="0" borderId="29" xfId="0" applyNumberFormat="1" applyFont="1" applyFill="1" applyBorder="1"/>
    <xf numFmtId="3" fontId="33" fillId="0" borderId="24" xfId="0" applyNumberFormat="1" applyFont="1" applyFill="1" applyBorder="1"/>
    <xf numFmtId="3" fontId="33" fillId="0" borderId="8" xfId="0" applyNumberFormat="1" applyFont="1" applyFill="1" applyBorder="1"/>
    <xf numFmtId="3" fontId="33" fillId="0" borderId="9" xfId="0" applyNumberFormat="1" applyFont="1" applyFill="1" applyBorder="1"/>
    <xf numFmtId="3" fontId="33" fillId="0" borderId="12" xfId="0" applyNumberFormat="1" applyFont="1" applyFill="1" applyBorder="1"/>
    <xf numFmtId="3" fontId="33" fillId="0" borderId="13" xfId="0" applyNumberFormat="1" applyFont="1" applyFill="1" applyBorder="1"/>
    <xf numFmtId="9" fontId="33" fillId="0" borderId="25" xfId="0" applyNumberFormat="1" applyFont="1" applyFill="1" applyBorder="1"/>
    <xf numFmtId="9" fontId="33" fillId="0" borderId="10" xfId="0" applyNumberFormat="1" applyFont="1" applyFill="1" applyBorder="1"/>
    <xf numFmtId="9" fontId="33" fillId="0" borderId="14" xfId="0" applyNumberFormat="1" applyFont="1" applyFill="1" applyBorder="1"/>
    <xf numFmtId="9" fontId="29" fillId="2" borderId="20" xfId="81" applyNumberFormat="1" applyFont="1" applyFill="1" applyBorder="1"/>
    <xf numFmtId="9" fontId="29" fillId="4" borderId="20" xfId="81" applyNumberFormat="1" applyFont="1" applyFill="1" applyBorder="1"/>
    <xf numFmtId="9" fontId="29" fillId="3" borderId="20" xfId="81" applyNumberFormat="1" applyFont="1" applyFill="1" applyBorder="1"/>
    <xf numFmtId="0" fontId="32" fillId="2" borderId="21" xfId="81" applyFont="1" applyFill="1" applyBorder="1" applyAlignment="1">
      <alignment horizontal="center"/>
    </xf>
    <xf numFmtId="0" fontId="33" fillId="0" borderId="0" xfId="0" applyFont="1" applyFill="1"/>
    <xf numFmtId="0" fontId="33" fillId="0" borderId="51" xfId="0" applyFont="1" applyFill="1" applyBorder="1" applyAlignment="1"/>
    <xf numFmtId="0" fontId="33" fillId="0" borderId="0" xfId="0" applyFont="1" applyFill="1" applyAlignment="1"/>
    <xf numFmtId="0" fontId="46" fillId="4" borderId="33" xfId="1" applyFont="1" applyFill="1" applyBorder="1"/>
    <xf numFmtId="0" fontId="46" fillId="4" borderId="17" xfId="1" applyFont="1" applyFill="1" applyBorder="1"/>
    <xf numFmtId="0" fontId="46" fillId="3" borderId="18" xfId="1" applyFont="1" applyFill="1" applyBorder="1"/>
    <xf numFmtId="0" fontId="49" fillId="0" borderId="0" xfId="0" applyFont="1" applyFill="1" applyBorder="1" applyAlignment="1">
      <alignment vertical="center"/>
    </xf>
    <xf numFmtId="0" fontId="49" fillId="0" borderId="0" xfId="0" applyFont="1" applyFill="1" applyAlignment="1">
      <alignment vertical="center"/>
    </xf>
    <xf numFmtId="0" fontId="33" fillId="2" borderId="29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/>
    </xf>
    <xf numFmtId="0" fontId="33" fillId="2" borderId="25" xfId="0" applyFont="1" applyFill="1" applyBorder="1" applyAlignment="1">
      <alignment horizontal="center" vertical="center"/>
    </xf>
    <xf numFmtId="0" fontId="39" fillId="2" borderId="9" xfId="0" applyFont="1" applyFill="1" applyBorder="1" applyAlignment="1">
      <alignment horizontal="center" vertical="center" wrapText="1"/>
    </xf>
    <xf numFmtId="0" fontId="3" fillId="2" borderId="29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0" fontId="46" fillId="3" borderId="8" xfId="1" applyFont="1" applyFill="1" applyBorder="1"/>
    <xf numFmtId="0" fontId="46" fillId="3" borderId="4" xfId="1" applyFont="1" applyFill="1" applyBorder="1"/>
    <xf numFmtId="0" fontId="46" fillId="6" borderId="4" xfId="1" applyFont="1" applyFill="1" applyBorder="1"/>
    <xf numFmtId="0" fontId="46" fillId="6" borderId="60" xfId="1" applyFont="1" applyFill="1" applyBorder="1"/>
    <xf numFmtId="0" fontId="46" fillId="2" borderId="4" xfId="1" applyFont="1" applyFill="1" applyBorder="1"/>
    <xf numFmtId="0" fontId="46" fillId="4" borderId="4" xfId="1" applyFont="1" applyFill="1" applyBorder="1"/>
    <xf numFmtId="0" fontId="33" fillId="0" borderId="0" xfId="0" applyFont="1"/>
    <xf numFmtId="0" fontId="33" fillId="0" borderId="0" xfId="0" applyFont="1" applyBorder="1" applyAlignment="1"/>
    <xf numFmtId="3" fontId="33" fillId="0" borderId="0" xfId="0" applyNumberFormat="1" applyFont="1"/>
    <xf numFmtId="9" fontId="33" fillId="0" borderId="0" xfId="0" applyNumberFormat="1" applyFont="1"/>
    <xf numFmtId="0" fontId="33" fillId="0" borderId="0" xfId="0" applyFont="1" applyBorder="1"/>
    <xf numFmtId="3" fontId="40" fillId="2" borderId="54" xfId="0" applyNumberFormat="1" applyFont="1" applyFill="1" applyBorder="1"/>
    <xf numFmtId="3" fontId="40" fillId="2" borderId="56" xfId="0" applyNumberFormat="1" applyFont="1" applyFill="1" applyBorder="1"/>
    <xf numFmtId="9" fontId="40" fillId="2" borderId="61" xfId="0" applyNumberFormat="1" applyFont="1" applyFill="1" applyBorder="1"/>
    <xf numFmtId="0" fontId="50" fillId="2" borderId="18" xfId="1" applyFont="1" applyFill="1" applyBorder="1" applyAlignment="1"/>
    <xf numFmtId="0" fontId="33" fillId="2" borderId="28" xfId="0" applyFont="1" applyFill="1" applyBorder="1" applyAlignment="1"/>
    <xf numFmtId="3" fontId="33" fillId="2" borderId="27" xfId="0" applyNumberFormat="1" applyFont="1" applyFill="1" applyBorder="1" applyAlignment="1"/>
    <xf numFmtId="9" fontId="33" fillId="2" borderId="20" xfId="0" applyNumberFormat="1" applyFont="1" applyFill="1" applyBorder="1" applyAlignment="1"/>
    <xf numFmtId="0" fontId="40" fillId="2" borderId="59" xfId="0" applyFont="1" applyFill="1" applyBorder="1" applyAlignment="1"/>
    <xf numFmtId="0" fontId="33" fillId="0" borderId="7" xfId="0" applyFont="1" applyBorder="1" applyAlignment="1"/>
    <xf numFmtId="3" fontId="33" fillId="0" borderId="5" xfId="0" applyNumberFormat="1" applyFont="1" applyBorder="1" applyAlignment="1"/>
    <xf numFmtId="9" fontId="33" fillId="0" borderId="10" xfId="0" applyNumberFormat="1" applyFont="1" applyBorder="1" applyAlignment="1"/>
    <xf numFmtId="0" fontId="30" fillId="2" borderId="34" xfId="1" applyFont="1" applyFill="1" applyBorder="1" applyAlignment="1">
      <alignment horizontal="left" indent="2"/>
    </xf>
    <xf numFmtId="0" fontId="33" fillId="0" borderId="11" xfId="0" applyFont="1" applyBorder="1" applyAlignment="1"/>
    <xf numFmtId="3" fontId="33" fillId="0" borderId="9" xfId="0" applyNumberFormat="1" applyFont="1" applyBorder="1" applyAlignment="1"/>
    <xf numFmtId="9" fontId="33" fillId="0" borderId="9" xfId="0" applyNumberFormat="1" applyFont="1" applyBorder="1" applyAlignment="1"/>
    <xf numFmtId="0" fontId="33" fillId="2" borderId="34" xfId="0" applyFont="1" applyFill="1" applyBorder="1" applyAlignment="1">
      <alignment horizontal="left" indent="2"/>
    </xf>
    <xf numFmtId="0" fontId="32" fillId="2" borderId="34" xfId="1" applyFont="1" applyFill="1" applyBorder="1" applyAlignment="1"/>
    <xf numFmtId="0" fontId="46" fillId="2" borderId="34" xfId="1" applyFont="1" applyFill="1" applyBorder="1" applyAlignment="1">
      <alignment horizontal="left" indent="2"/>
    </xf>
    <xf numFmtId="0" fontId="50" fillId="2" borderId="34" xfId="1" applyFont="1" applyFill="1" applyBorder="1" applyAlignment="1"/>
    <xf numFmtId="0" fontId="33" fillId="0" borderId="32" xfId="0" applyFont="1" applyBorder="1" applyAlignment="1"/>
    <xf numFmtId="3" fontId="33" fillId="0" borderId="23" xfId="0" applyNumberFormat="1" applyFont="1" applyBorder="1" applyAlignment="1"/>
    <xf numFmtId="9" fontId="33" fillId="0" borderId="22" xfId="0" applyNumberFormat="1" applyFont="1" applyBorder="1" applyAlignment="1"/>
    <xf numFmtId="0" fontId="40" fillId="0" borderId="43" xfId="0" applyFont="1" applyFill="1" applyBorder="1" applyAlignment="1">
      <alignment horizontal="left" indent="2"/>
    </xf>
    <xf numFmtId="0" fontId="33" fillId="0" borderId="43" xfId="0" applyFont="1" applyBorder="1" applyAlignment="1"/>
    <xf numFmtId="3" fontId="33" fillId="0" borderId="43" xfId="0" applyNumberFormat="1" applyFont="1" applyBorder="1" applyAlignment="1"/>
    <xf numFmtId="9" fontId="33" fillId="0" borderId="43" xfId="0" applyNumberFormat="1" applyFont="1" applyBorder="1" applyAlignment="1"/>
    <xf numFmtId="0" fontId="50" fillId="4" borderId="18" xfId="1" applyFont="1" applyFill="1" applyBorder="1" applyAlignment="1">
      <alignment horizontal="left"/>
    </xf>
    <xf numFmtId="0" fontId="33" fillId="4" borderId="28" xfId="0" applyFont="1" applyFill="1" applyBorder="1" applyAlignment="1"/>
    <xf numFmtId="3" fontId="33" fillId="4" borderId="27" xfId="0" applyNumberFormat="1" applyFont="1" applyFill="1" applyBorder="1" applyAlignment="1"/>
    <xf numFmtId="9" fontId="33" fillId="4" borderId="20" xfId="0" applyNumberFormat="1" applyFont="1" applyFill="1" applyBorder="1" applyAlignment="1"/>
    <xf numFmtId="0" fontId="50" fillId="4" borderId="59" xfId="1" applyFont="1" applyFill="1" applyBorder="1" applyAlignment="1">
      <alignment horizontal="left"/>
    </xf>
    <xf numFmtId="0" fontId="46" fillId="4" borderId="34" xfId="1" applyFont="1" applyFill="1" applyBorder="1" applyAlignment="1">
      <alignment horizontal="left" indent="2"/>
    </xf>
    <xf numFmtId="0" fontId="50" fillId="4" borderId="34" xfId="1" applyFont="1" applyFill="1" applyBorder="1" applyAlignment="1">
      <alignment horizontal="left"/>
    </xf>
    <xf numFmtId="0" fontId="33" fillId="4" borderId="35" xfId="0" applyFont="1" applyFill="1" applyBorder="1" applyAlignment="1">
      <alignment horizontal="left" indent="2"/>
    </xf>
    <xf numFmtId="0" fontId="40" fillId="0" borderId="0" xfId="0" applyFont="1" applyFill="1" applyBorder="1" applyAlignment="1"/>
    <xf numFmtId="0" fontId="33" fillId="0" borderId="0" xfId="0" applyFont="1" applyAlignment="1"/>
    <xf numFmtId="3" fontId="33" fillId="0" borderId="0" xfId="0" applyNumberFormat="1" applyFont="1" applyAlignment="1"/>
    <xf numFmtId="9" fontId="33" fillId="0" borderId="51" xfId="0" applyNumberFormat="1" applyFont="1" applyBorder="1" applyAlignment="1"/>
    <xf numFmtId="0" fontId="40" fillId="3" borderId="18" xfId="0" applyFont="1" applyFill="1" applyBorder="1" applyAlignment="1"/>
    <xf numFmtId="0" fontId="33" fillId="3" borderId="28" xfId="0" applyFont="1" applyFill="1" applyBorder="1" applyAlignment="1"/>
    <xf numFmtId="3" fontId="33" fillId="3" borderId="27" xfId="0" applyNumberFormat="1" applyFont="1" applyFill="1" applyBorder="1" applyAlignment="1"/>
    <xf numFmtId="9" fontId="33" fillId="3" borderId="20" xfId="0" applyNumberFormat="1" applyFont="1" applyFill="1" applyBorder="1" applyAlignment="1"/>
    <xf numFmtId="0" fontId="41" fillId="0" borderId="0" xfId="0" applyFont="1" applyFill="1" applyBorder="1" applyAlignment="1"/>
    <xf numFmtId="0" fontId="42" fillId="0" borderId="0" xfId="0" applyFont="1" applyFill="1"/>
    <xf numFmtId="16" fontId="42" fillId="0" borderId="0" xfId="0" quotePrefix="1" applyNumberFormat="1" applyFont="1" applyFill="1"/>
    <xf numFmtId="0" fontId="42" fillId="0" borderId="0" xfId="0" quotePrefix="1" applyFont="1" applyFill="1"/>
    <xf numFmtId="171" fontId="42" fillId="0" borderId="0" xfId="0" applyNumberFormat="1" applyFont="1" applyFill="1"/>
    <xf numFmtId="172" fontId="42" fillId="0" borderId="0" xfId="0" applyNumberFormat="1" applyFont="1" applyFill="1"/>
    <xf numFmtId="3" fontId="42" fillId="0" borderId="0" xfId="0" applyNumberFormat="1" applyFont="1" applyFill="1"/>
    <xf numFmtId="0" fontId="8" fillId="0" borderId="0" xfId="81" applyFont="1" applyFill="1"/>
    <xf numFmtId="0" fontId="51" fillId="0" borderId="43" xfId="81" applyFont="1" applyFill="1" applyBorder="1" applyAlignment="1"/>
    <xf numFmtId="0" fontId="7" fillId="0" borderId="0" xfId="78" applyFont="1" applyFill="1" applyBorder="1" applyAlignment="1"/>
    <xf numFmtId="3" fontId="33" fillId="0" borderId="0" xfId="0" applyNumberFormat="1" applyFont="1" applyFill="1"/>
    <xf numFmtId="0" fontId="33" fillId="0" borderId="0" xfId="0" applyFont="1" applyFill="1" applyAlignment="1">
      <alignment horizontal="left"/>
    </xf>
    <xf numFmtId="164" fontId="33" fillId="0" borderId="0" xfId="0" applyNumberFormat="1" applyFont="1" applyFill="1"/>
    <xf numFmtId="9" fontId="33" fillId="0" borderId="0" xfId="0" applyNumberFormat="1" applyFont="1" applyFill="1"/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3" fillId="0" borderId="0" xfId="0" applyFont="1" applyFill="1" applyAlignment="1">
      <alignment horizontal="right"/>
    </xf>
    <xf numFmtId="165" fontId="33" fillId="0" borderId="0" xfId="0" applyNumberFormat="1" applyFont="1" applyFill="1"/>
    <xf numFmtId="0" fontId="40" fillId="2" borderId="26" xfId="0" applyFont="1" applyFill="1" applyBorder="1" applyAlignment="1">
      <alignment horizontal="right"/>
    </xf>
    <xf numFmtId="169" fontId="40" fillId="0" borderId="19" xfId="0" applyNumberFormat="1" applyFont="1" applyFill="1" applyBorder="1" applyAlignment="1"/>
    <xf numFmtId="169" fontId="40" fillId="0" borderId="27" xfId="0" applyNumberFormat="1" applyFont="1" applyFill="1" applyBorder="1" applyAlignment="1"/>
    <xf numFmtId="9" fontId="40" fillId="0" borderId="20" xfId="0" applyNumberFormat="1" applyFont="1" applyFill="1" applyBorder="1" applyAlignment="1"/>
    <xf numFmtId="169" fontId="40" fillId="0" borderId="28" xfId="0" applyNumberFormat="1" applyFont="1" applyFill="1" applyBorder="1" applyAlignment="1"/>
    <xf numFmtId="9" fontId="40" fillId="0" borderId="53" xfId="0" applyNumberFormat="1" applyFont="1" applyFill="1" applyBorder="1" applyAlignment="1"/>
    <xf numFmtId="169" fontId="33" fillId="0" borderId="0" xfId="0" applyNumberFormat="1" applyFont="1" applyFill="1" applyBorder="1" applyAlignment="1"/>
    <xf numFmtId="9" fontId="33" fillId="0" borderId="0" xfId="0" applyNumberFormat="1" applyFont="1" applyFill="1" applyBorder="1" applyAlignment="1"/>
    <xf numFmtId="3" fontId="33" fillId="0" borderId="51" xfId="0" applyNumberFormat="1" applyFont="1" applyFill="1" applyBorder="1" applyAlignment="1"/>
    <xf numFmtId="9" fontId="33" fillId="0" borderId="51" xfId="0" applyNumberFormat="1" applyFont="1" applyFill="1" applyBorder="1" applyAlignment="1"/>
    <xf numFmtId="3" fontId="33" fillId="0" borderId="0" xfId="0" applyNumberFormat="1" applyFont="1" applyFill="1" applyBorder="1" applyAlignment="1"/>
    <xf numFmtId="3" fontId="0" fillId="0" borderId="0" xfId="0" applyNumberFormat="1"/>
    <xf numFmtId="3" fontId="52" fillId="0" borderId="0" xfId="26" applyNumberFormat="1" applyFont="1" applyFill="1" applyBorder="1" applyAlignment="1"/>
    <xf numFmtId="0" fontId="57" fillId="0" borderId="0" xfId="0" applyFont="1" applyAlignment="1">
      <alignment horizontal="left" vertical="center" indent="1"/>
    </xf>
    <xf numFmtId="0" fontId="57" fillId="0" borderId="0" xfId="0" applyFont="1" applyAlignment="1">
      <alignment vertical="center"/>
    </xf>
    <xf numFmtId="0" fontId="0" fillId="0" borderId="0" xfId="0" applyAlignment="1"/>
    <xf numFmtId="0" fontId="58" fillId="0" borderId="0" xfId="0" applyFont="1"/>
    <xf numFmtId="9" fontId="33" fillId="0" borderId="86" xfId="0" applyNumberFormat="1" applyFont="1" applyBorder="1" applyAlignment="1"/>
    <xf numFmtId="0" fontId="26" fillId="2" borderId="34" xfId="1" applyFill="1" applyBorder="1" applyAlignment="1">
      <alignment horizontal="left" indent="4"/>
    </xf>
    <xf numFmtId="3" fontId="40" fillId="0" borderId="19" xfId="0" applyNumberFormat="1" applyFont="1" applyFill="1" applyBorder="1" applyAlignment="1"/>
    <xf numFmtId="3" fontId="40" fillId="0" borderId="27" xfId="0" applyNumberFormat="1" applyFont="1" applyFill="1" applyBorder="1" applyAlignment="1"/>
    <xf numFmtId="169" fontId="40" fillId="0" borderId="20" xfId="0" applyNumberFormat="1" applyFont="1" applyFill="1" applyBorder="1" applyAlignment="1"/>
    <xf numFmtId="49" fontId="38" fillId="2" borderId="86" xfId="0" quotePrefix="1" applyNumberFormat="1" applyFont="1" applyFill="1" applyBorder="1" applyAlignment="1">
      <alignment horizontal="center" vertical="center"/>
    </xf>
    <xf numFmtId="0" fontId="26" fillId="4" borderId="84" xfId="1" applyFill="1" applyBorder="1" applyAlignment="1">
      <alignment horizontal="left" indent="4"/>
    </xf>
    <xf numFmtId="0" fontId="26" fillId="4" borderId="34" xfId="1" applyFill="1" applyBorder="1" applyAlignment="1">
      <alignment horizontal="left" indent="2"/>
    </xf>
    <xf numFmtId="0" fontId="33" fillId="0" borderId="85" xfId="0" applyFont="1" applyBorder="1"/>
    <xf numFmtId="0" fontId="32" fillId="2" borderId="75" xfId="0" applyFont="1" applyFill="1" applyBorder="1" applyAlignment="1">
      <alignment horizontal="center" vertical="top" wrapText="1"/>
    </xf>
    <xf numFmtId="0" fontId="26" fillId="6" borderId="4" xfId="1" applyFill="1" applyBorder="1"/>
    <xf numFmtId="0" fontId="32" fillId="2" borderId="45" xfId="81" applyFont="1" applyFill="1" applyBorder="1" applyAlignment="1">
      <alignment horizontal="center"/>
    </xf>
    <xf numFmtId="0" fontId="32" fillId="2" borderId="46" xfId="81" applyFont="1" applyFill="1" applyBorder="1" applyAlignment="1">
      <alignment horizontal="center"/>
    </xf>
    <xf numFmtId="3" fontId="40" fillId="0" borderId="20" xfId="0" applyNumberFormat="1" applyFont="1" applyFill="1" applyBorder="1" applyAlignment="1"/>
    <xf numFmtId="0" fontId="40" fillId="2" borderId="18" xfId="0" applyFont="1" applyFill="1" applyBorder="1" applyAlignment="1">
      <alignment horizontal="right"/>
    </xf>
    <xf numFmtId="9" fontId="0" fillId="0" borderId="0" xfId="0" applyNumberFormat="1"/>
    <xf numFmtId="168" fontId="0" fillId="0" borderId="0" xfId="0" applyNumberFormat="1"/>
    <xf numFmtId="0" fontId="48" fillId="0" borderId="0" xfId="0" applyFont="1" applyFill="1" applyAlignment="1">
      <alignment horizontal="left" indent="2"/>
    </xf>
    <xf numFmtId="176" fontId="40" fillId="0" borderId="15" xfId="0" applyNumberFormat="1" applyFont="1" applyBorder="1" applyAlignment="1">
      <alignment vertical="center"/>
    </xf>
    <xf numFmtId="173" fontId="40" fillId="0" borderId="31" xfId="0" applyNumberFormat="1" applyFont="1" applyBorder="1" applyAlignment="1">
      <alignment vertical="center"/>
    </xf>
    <xf numFmtId="173" fontId="33" fillId="0" borderId="16" xfId="0" applyNumberFormat="1" applyFont="1" applyBorder="1" applyAlignment="1">
      <alignment vertical="center"/>
    </xf>
    <xf numFmtId="173" fontId="33" fillId="0" borderId="0" xfId="0" applyNumberFormat="1" applyFont="1" applyBorder="1" applyAlignment="1">
      <alignment vertical="center"/>
    </xf>
    <xf numFmtId="173" fontId="33" fillId="0" borderId="15" xfId="0" applyNumberFormat="1" applyFont="1" applyBorder="1" applyAlignment="1">
      <alignment vertical="center"/>
    </xf>
    <xf numFmtId="174" fontId="33" fillId="0" borderId="0" xfId="0" applyNumberFormat="1" applyFont="1" applyBorder="1" applyAlignment="1">
      <alignment vertical="center"/>
    </xf>
    <xf numFmtId="0" fontId="55" fillId="0" borderId="16" xfId="0" applyFont="1" applyFill="1" applyBorder="1" applyAlignment="1">
      <alignment horizontal="left" vertical="center"/>
    </xf>
    <xf numFmtId="0" fontId="40" fillId="2" borderId="0" xfId="0" applyFont="1" applyFill="1" applyBorder="1" applyAlignment="1">
      <alignment horizontal="center" vertical="center"/>
    </xf>
    <xf numFmtId="173" fontId="33" fillId="0" borderId="0" xfId="0" applyNumberFormat="1" applyFont="1" applyBorder="1" applyAlignment="1">
      <alignment horizontal="right" vertical="center"/>
    </xf>
    <xf numFmtId="175" fontId="33" fillId="0" borderId="0" xfId="0" applyNumberFormat="1" applyFont="1" applyBorder="1" applyAlignment="1">
      <alignment horizontal="right" vertical="center"/>
    </xf>
    <xf numFmtId="3" fontId="40" fillId="0" borderId="67" xfId="0" applyNumberFormat="1" applyFont="1" applyBorder="1" applyAlignment="1">
      <alignment horizontal="right" vertical="center"/>
    </xf>
    <xf numFmtId="9" fontId="40" fillId="0" borderId="100" xfId="0" applyNumberFormat="1" applyFont="1" applyBorder="1" applyAlignment="1">
      <alignment horizontal="right" vertical="center"/>
    </xf>
    <xf numFmtId="173" fontId="40" fillId="0" borderId="100" xfId="0" applyNumberFormat="1" applyFont="1" applyBorder="1" applyAlignment="1">
      <alignment horizontal="right" vertical="center"/>
    </xf>
    <xf numFmtId="173" fontId="40" fillId="0" borderId="73" xfId="0" applyNumberFormat="1" applyFont="1" applyBorder="1" applyAlignment="1">
      <alignment horizontal="right" vertical="center"/>
    </xf>
    <xf numFmtId="173" fontId="40" fillId="0" borderId="75" xfId="0" applyNumberFormat="1" applyFont="1" applyBorder="1" applyAlignment="1">
      <alignment vertical="center"/>
    </xf>
    <xf numFmtId="173" fontId="40" fillId="0" borderId="101" xfId="0" applyNumberFormat="1" applyFont="1" applyBorder="1" applyAlignment="1">
      <alignment vertical="center"/>
    </xf>
    <xf numFmtId="173" fontId="40" fillId="0" borderId="100" xfId="0" applyNumberFormat="1" applyFont="1" applyBorder="1" applyAlignment="1">
      <alignment vertical="center"/>
    </xf>
    <xf numFmtId="173" fontId="40" fillId="0" borderId="73" xfId="0" applyNumberFormat="1" applyFont="1" applyBorder="1" applyAlignment="1">
      <alignment vertical="center"/>
    </xf>
    <xf numFmtId="173" fontId="40" fillId="0" borderId="102" xfId="0" applyNumberFormat="1" applyFont="1" applyBorder="1" applyAlignment="1">
      <alignment vertical="center"/>
    </xf>
    <xf numFmtId="174" fontId="40" fillId="0" borderId="103" xfId="0" applyNumberFormat="1" applyFont="1" applyBorder="1" applyAlignment="1">
      <alignment vertical="center"/>
    </xf>
    <xf numFmtId="174" fontId="40" fillId="0" borderId="100" xfId="0" applyNumberFormat="1" applyFont="1" applyBorder="1" applyAlignment="1">
      <alignment vertical="center"/>
    </xf>
    <xf numFmtId="174" fontId="40" fillId="0" borderId="73" xfId="0" applyNumberFormat="1" applyFont="1" applyBorder="1" applyAlignment="1">
      <alignment vertical="center"/>
    </xf>
    <xf numFmtId="168" fontId="40" fillId="0" borderId="96" xfId="0" applyNumberFormat="1" applyFont="1" applyBorder="1" applyAlignment="1">
      <alignment vertical="center"/>
    </xf>
    <xf numFmtId="0" fontId="33" fillId="0" borderId="101" xfId="0" applyFont="1" applyBorder="1" applyAlignment="1">
      <alignment horizontal="center" vertical="center"/>
    </xf>
    <xf numFmtId="166" fontId="40" fillId="2" borderId="73" xfId="0" applyNumberFormat="1" applyFont="1" applyFill="1" applyBorder="1" applyAlignment="1">
      <alignment horizontal="center" vertical="center"/>
    </xf>
    <xf numFmtId="173" fontId="40" fillId="0" borderId="82" xfId="0" applyNumberFormat="1" applyFont="1" applyBorder="1" applyAlignment="1">
      <alignment horizontal="right" vertical="center"/>
    </xf>
    <xf numFmtId="175" fontId="40" fillId="0" borderId="81" xfId="0" applyNumberFormat="1" applyFont="1" applyBorder="1" applyAlignment="1">
      <alignment horizontal="right" vertical="center"/>
    </xf>
    <xf numFmtId="173" fontId="40" fillId="0" borderId="81" xfId="0" applyNumberFormat="1" applyFont="1" applyBorder="1" applyAlignment="1">
      <alignment horizontal="right" vertical="center"/>
    </xf>
    <xf numFmtId="173" fontId="40" fillId="0" borderId="82" xfId="0" applyNumberFormat="1" applyFont="1" applyBorder="1" applyAlignment="1">
      <alignment vertical="center"/>
    </xf>
    <xf numFmtId="173" fontId="40" fillId="0" borderId="81" xfId="0" applyNumberFormat="1" applyFont="1" applyBorder="1" applyAlignment="1">
      <alignment vertical="center"/>
    </xf>
    <xf numFmtId="173" fontId="40" fillId="0" borderId="80" xfId="0" applyNumberFormat="1" applyFont="1" applyBorder="1" applyAlignment="1">
      <alignment vertical="center"/>
    </xf>
    <xf numFmtId="176" fontId="40" fillId="0" borderId="80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55" fillId="9" borderId="86" xfId="0" quotePrefix="1" applyFont="1" applyFill="1" applyBorder="1" applyAlignment="1">
      <alignment horizontal="center" vertical="center" wrapText="1"/>
    </xf>
    <xf numFmtId="0" fontId="41" fillId="9" borderId="86" xfId="0" quotePrefix="1" applyFont="1" applyFill="1" applyBorder="1" applyAlignment="1">
      <alignment horizontal="center" vertical="center" wrapText="1"/>
    </xf>
    <xf numFmtId="0" fontId="41" fillId="9" borderId="85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7" borderId="109" xfId="0" applyNumberFormat="1" applyFont="1" applyFill="1" applyBorder="1"/>
    <xf numFmtId="3" fontId="0" fillId="7" borderId="74" xfId="0" applyNumberFormat="1" applyFont="1" applyFill="1" applyBorder="1"/>
    <xf numFmtId="0" fontId="0" fillId="0" borderId="110" xfId="0" applyNumberFormat="1" applyFont="1" applyBorder="1"/>
    <xf numFmtId="3" fontId="0" fillId="0" borderId="111" xfId="0" applyNumberFormat="1" applyFont="1" applyBorder="1"/>
    <xf numFmtId="0" fontId="0" fillId="7" borderId="110" xfId="0" applyNumberFormat="1" applyFont="1" applyFill="1" applyBorder="1"/>
    <xf numFmtId="3" fontId="0" fillId="7" borderId="111" xfId="0" applyNumberFormat="1" applyFont="1" applyFill="1" applyBorder="1"/>
    <xf numFmtId="0" fontId="53" fillId="8" borderId="110" xfId="0" applyNumberFormat="1" applyFont="1" applyFill="1" applyBorder="1"/>
    <xf numFmtId="3" fontId="53" fillId="8" borderId="111" xfId="0" applyNumberFormat="1" applyFont="1" applyFill="1" applyBorder="1"/>
    <xf numFmtId="0" fontId="40" fillId="3" borderId="26" xfId="0" applyFont="1" applyFill="1" applyBorder="1" applyAlignment="1"/>
    <xf numFmtId="0" fontId="33" fillId="0" borderId="44" xfId="0" applyFont="1" applyBorder="1" applyAlignment="1"/>
    <xf numFmtId="0" fontId="40" fillId="2" borderId="26" xfId="0" applyFont="1" applyFill="1" applyBorder="1" applyAlignment="1"/>
    <xf numFmtId="0" fontId="40" fillId="4" borderId="26" xfId="0" applyFont="1" applyFill="1" applyBorder="1" applyAlignment="1"/>
    <xf numFmtId="0" fontId="43" fillId="0" borderId="2" xfId="0" applyFont="1" applyFill="1" applyBorder="1" applyAlignment="1"/>
    <xf numFmtId="0" fontId="43" fillId="0" borderId="2" xfId="0" applyFont="1" applyBorder="1" applyAlignment="1"/>
    <xf numFmtId="0" fontId="31" fillId="5" borderId="16" xfId="81" applyFont="1" applyFill="1" applyBorder="1" applyAlignment="1">
      <alignment horizontal="center" vertical="center"/>
    </xf>
    <xf numFmtId="0" fontId="42" fillId="0" borderId="3" xfId="0" applyFont="1" applyBorder="1" applyAlignment="1">
      <alignment horizontal="center" vertical="center"/>
    </xf>
    <xf numFmtId="0" fontId="32" fillId="2" borderId="49" xfId="81" applyFont="1" applyFill="1" applyBorder="1" applyAlignment="1">
      <alignment horizontal="center"/>
    </xf>
    <xf numFmtId="0" fontId="32" fillId="2" borderId="50" xfId="81" applyFont="1" applyFill="1" applyBorder="1" applyAlignment="1">
      <alignment horizontal="center"/>
    </xf>
    <xf numFmtId="0" fontId="32" fillId="2" borderId="47" xfId="81" applyFont="1" applyFill="1" applyBorder="1" applyAlignment="1">
      <alignment horizontal="center"/>
    </xf>
    <xf numFmtId="0" fontId="32" fillId="2" borderId="72" xfId="81" applyFont="1" applyFill="1" applyBorder="1" applyAlignment="1">
      <alignment horizontal="center"/>
    </xf>
    <xf numFmtId="0" fontId="32" fillId="2" borderId="48" xfId="81" applyFont="1" applyFill="1" applyBorder="1" applyAlignment="1">
      <alignment horizontal="center"/>
    </xf>
    <xf numFmtId="0" fontId="32" fillId="2" borderId="95" xfId="81" applyFont="1" applyFill="1" applyBorder="1" applyAlignment="1">
      <alignment horizontal="center"/>
    </xf>
    <xf numFmtId="0" fontId="32" fillId="2" borderId="83" xfId="81" applyFont="1" applyFill="1" applyBorder="1" applyAlignment="1">
      <alignment horizontal="center"/>
    </xf>
    <xf numFmtId="0" fontId="43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39" fillId="2" borderId="24" xfId="0" applyFont="1" applyFill="1" applyBorder="1" applyAlignment="1">
      <alignment horizontal="center" vertical="center"/>
    </xf>
    <xf numFmtId="0" fontId="33" fillId="2" borderId="29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/>
    </xf>
    <xf numFmtId="0" fontId="33" fillId="2" borderId="10" xfId="0" applyFont="1" applyFill="1" applyBorder="1" applyAlignment="1">
      <alignment horizontal="center" vertical="center"/>
    </xf>
    <xf numFmtId="0" fontId="6" fillId="0" borderId="2" xfId="0" applyFont="1" applyFill="1" applyBorder="1" applyAlignment="1"/>
    <xf numFmtId="0" fontId="33" fillId="2" borderId="8" xfId="0" applyFont="1" applyFill="1" applyBorder="1" applyAlignment="1">
      <alignment horizontal="center" vertical="center"/>
    </xf>
    <xf numFmtId="0" fontId="33" fillId="2" borderId="9" xfId="0" applyFont="1" applyFill="1" applyBorder="1" applyAlignment="1">
      <alignment horizontal="center" vertical="center"/>
    </xf>
    <xf numFmtId="0" fontId="39" fillId="2" borderId="29" xfId="0" applyFont="1" applyFill="1" applyBorder="1" applyAlignment="1">
      <alignment horizontal="center" vertical="center"/>
    </xf>
    <xf numFmtId="0" fontId="33" fillId="2" borderId="25" xfId="0" applyFont="1" applyFill="1" applyBorder="1" applyAlignment="1">
      <alignment horizontal="center" vertical="center"/>
    </xf>
    <xf numFmtId="0" fontId="39" fillId="2" borderId="9" xfId="0" applyFont="1" applyFill="1" applyBorder="1" applyAlignment="1">
      <alignment horizontal="center" vertical="center" wrapText="1"/>
    </xf>
    <xf numFmtId="0" fontId="33" fillId="2" borderId="23" xfId="0" applyFont="1" applyFill="1" applyBorder="1" applyAlignment="1">
      <alignment horizontal="center" vertical="center" wrapText="1"/>
    </xf>
    <xf numFmtId="0" fontId="37" fillId="2" borderId="9" xfId="0" applyFont="1" applyFill="1" applyBorder="1" applyAlignment="1">
      <alignment horizontal="center" vertical="center" wrapText="1"/>
    </xf>
    <xf numFmtId="0" fontId="37" fillId="2" borderId="10" xfId="0" applyFont="1" applyFill="1" applyBorder="1" applyAlignment="1">
      <alignment horizontal="center" vertical="center" wrapText="1"/>
    </xf>
    <xf numFmtId="0" fontId="33" fillId="2" borderId="22" xfId="0" applyFont="1" applyFill="1" applyBorder="1" applyAlignment="1">
      <alignment horizontal="center" vertical="center" wrapText="1"/>
    </xf>
    <xf numFmtId="0" fontId="2" fillId="0" borderId="2" xfId="14" applyFont="1" applyFill="1" applyBorder="1" applyAlignment="1"/>
    <xf numFmtId="0" fontId="0" fillId="0" borderId="2" xfId="0" applyBorder="1" applyAlignment="1"/>
    <xf numFmtId="0" fontId="6" fillId="0" borderId="2" xfId="14" applyFont="1" applyFill="1" applyBorder="1" applyAlignment="1">
      <alignment wrapText="1"/>
    </xf>
    <xf numFmtId="0" fontId="6" fillId="0" borderId="2" xfId="14" applyFont="1" applyFill="1" applyBorder="1" applyAlignment="1"/>
    <xf numFmtId="3" fontId="29" fillId="2" borderId="63" xfId="78" applyNumberFormat="1" applyFont="1" applyFill="1" applyBorder="1" applyAlignment="1">
      <alignment horizontal="left"/>
    </xf>
    <xf numFmtId="0" fontId="33" fillId="2" borderId="55" xfId="0" applyFont="1" applyFill="1" applyBorder="1" applyAlignment="1"/>
    <xf numFmtId="3" fontId="29" fillId="2" borderId="57" xfId="78" applyNumberFormat="1" applyFont="1" applyFill="1" applyBorder="1" applyAlignment="1"/>
    <xf numFmtId="0" fontId="40" fillId="2" borderId="63" xfId="0" applyFont="1" applyFill="1" applyBorder="1" applyAlignment="1">
      <alignment horizontal="left"/>
    </xf>
    <xf numFmtId="0" fontId="33" fillId="2" borderId="51" xfId="0" applyFont="1" applyFill="1" applyBorder="1" applyAlignment="1">
      <alignment horizontal="left"/>
    </xf>
    <xf numFmtId="0" fontId="33" fillId="2" borderId="55" xfId="0" applyFont="1" applyFill="1" applyBorder="1" applyAlignment="1">
      <alignment horizontal="left"/>
    </xf>
    <xf numFmtId="0" fontId="40" fillId="2" borderId="57" xfId="0" applyFont="1" applyFill="1" applyBorder="1" applyAlignment="1">
      <alignment horizontal="left"/>
    </xf>
    <xf numFmtId="3" fontId="40" fillId="2" borderId="57" xfId="0" applyNumberFormat="1" applyFont="1" applyFill="1" applyBorder="1" applyAlignment="1">
      <alignment horizontal="left"/>
    </xf>
    <xf numFmtId="3" fontId="33" fillId="2" borderId="52" xfId="0" applyNumberFormat="1" applyFont="1" applyFill="1" applyBorder="1" applyAlignment="1">
      <alignment horizontal="left"/>
    </xf>
    <xf numFmtId="0" fontId="3" fillId="2" borderId="29" xfId="80" applyFont="1" applyFill="1" applyBorder="1" applyAlignment="1">
      <alignment horizontal="left"/>
    </xf>
    <xf numFmtId="0" fontId="3" fillId="2" borderId="24" xfId="80" applyFont="1" applyFill="1" applyBorder="1" applyAlignment="1">
      <alignment horizontal="left"/>
    </xf>
    <xf numFmtId="0" fontId="3" fillId="2" borderId="25" xfId="80" applyFont="1" applyFill="1" applyBorder="1" applyAlignment="1">
      <alignment horizontal="left"/>
    </xf>
    <xf numFmtId="0" fontId="3" fillId="2" borderId="58" xfId="80" applyFont="1" applyFill="1" applyBorder="1" applyAlignment="1">
      <alignment horizontal="left"/>
    </xf>
    <xf numFmtId="0" fontId="3" fillId="2" borderId="39" xfId="79" applyFont="1" applyFill="1" applyBorder="1" applyAlignment="1"/>
    <xf numFmtId="0" fontId="5" fillId="2" borderId="39" xfId="79" applyFont="1" applyFill="1" applyBorder="1" applyAlignment="1"/>
    <xf numFmtId="0" fontId="5" fillId="2" borderId="66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64" xfId="53" applyFont="1" applyFill="1" applyBorder="1" applyAlignment="1">
      <alignment horizontal="right"/>
    </xf>
    <xf numFmtId="0" fontId="5" fillId="2" borderId="65" xfId="79" applyFont="1" applyFill="1" applyBorder="1" applyAlignment="1"/>
    <xf numFmtId="0" fontId="3" fillId="2" borderId="40" xfId="79" applyFont="1" applyFill="1" applyBorder="1" applyAlignment="1">
      <alignment horizontal="left"/>
    </xf>
    <xf numFmtId="0" fontId="5" fillId="2" borderId="39" xfId="79" applyFont="1" applyFill="1" applyBorder="1" applyAlignment="1">
      <alignment horizontal="left"/>
    </xf>
    <xf numFmtId="0" fontId="3" fillId="2" borderId="39" xfId="79" applyFont="1" applyFill="1" applyBorder="1" applyAlignment="1">
      <alignment horizontal="left"/>
    </xf>
    <xf numFmtId="0" fontId="5" fillId="2" borderId="66" xfId="79" applyFont="1" applyFill="1" applyBorder="1" applyAlignment="1">
      <alignment horizontal="left"/>
    </xf>
    <xf numFmtId="166" fontId="40" fillId="2" borderId="80" xfId="0" applyNumberFormat="1" applyFont="1" applyFill="1" applyBorder="1" applyAlignment="1">
      <alignment horizontal="center" vertical="center"/>
    </xf>
    <xf numFmtId="0" fontId="33" fillId="0" borderId="104" xfId="0" applyFont="1" applyBorder="1" applyAlignment="1">
      <alignment horizontal="center" vertical="center"/>
    </xf>
    <xf numFmtId="0" fontId="55" fillId="4" borderId="97" xfId="0" applyFont="1" applyFill="1" applyBorder="1" applyAlignment="1">
      <alignment horizontal="center" vertical="center" wrapText="1"/>
    </xf>
    <xf numFmtId="0" fontId="55" fillId="4" borderId="105" xfId="0" applyFont="1" applyFill="1" applyBorder="1" applyAlignment="1">
      <alignment horizontal="center" vertical="center" wrapText="1"/>
    </xf>
    <xf numFmtId="0" fontId="55" fillId="4" borderId="88" xfId="0" applyFont="1" applyFill="1" applyBorder="1" applyAlignment="1">
      <alignment horizontal="center" vertical="center" wrapText="1"/>
    </xf>
    <xf numFmtId="0" fontId="55" fillId="4" borderId="98" xfId="0" applyFont="1" applyFill="1" applyBorder="1" applyAlignment="1">
      <alignment horizontal="center" vertical="center" wrapText="1"/>
    </xf>
    <xf numFmtId="0" fontId="55" fillId="4" borderId="89" xfId="0" applyFont="1" applyFill="1" applyBorder="1" applyAlignment="1">
      <alignment horizontal="center" vertical="center" wrapText="1"/>
    </xf>
    <xf numFmtId="0" fontId="55" fillId="4" borderId="99" xfId="0" applyFont="1" applyFill="1" applyBorder="1" applyAlignment="1">
      <alignment horizontal="center" vertical="center" wrapText="1"/>
    </xf>
    <xf numFmtId="0" fontId="40" fillId="4" borderId="1" xfId="0" applyFont="1" applyFill="1" applyBorder="1" applyAlignment="1">
      <alignment horizontal="center" vertical="center" wrapText="1"/>
    </xf>
    <xf numFmtId="0" fontId="40" fillId="4" borderId="3" xfId="0" applyFont="1" applyFill="1" applyBorder="1" applyAlignment="1">
      <alignment horizontal="center" vertical="center" wrapText="1"/>
    </xf>
    <xf numFmtId="168" fontId="55" fillId="2" borderId="97" xfId="0" applyNumberFormat="1" applyFont="1" applyFill="1" applyBorder="1" applyAlignment="1">
      <alignment horizontal="center" vertical="center" wrapText="1"/>
    </xf>
    <xf numFmtId="168" fontId="55" fillId="2" borderId="105" xfId="0" applyNumberFormat="1" applyFont="1" applyFill="1" applyBorder="1" applyAlignment="1">
      <alignment horizontal="center" vertical="center" wrapText="1"/>
    </xf>
    <xf numFmtId="0" fontId="55" fillId="2" borderId="88" xfId="0" applyFont="1" applyFill="1" applyBorder="1" applyAlignment="1">
      <alignment horizontal="center" vertical="center" wrapText="1"/>
    </xf>
    <xf numFmtId="0" fontId="55" fillId="2" borderId="98" xfId="0" applyFont="1" applyFill="1" applyBorder="1" applyAlignment="1">
      <alignment horizontal="center" vertical="center" wrapText="1"/>
    </xf>
    <xf numFmtId="0" fontId="55" fillId="2" borderId="89" xfId="0" applyFont="1" applyFill="1" applyBorder="1" applyAlignment="1">
      <alignment horizontal="center" vertical="center" wrapText="1"/>
    </xf>
    <xf numFmtId="0" fontId="55" fillId="2" borderId="99" xfId="0" applyFont="1" applyFill="1" applyBorder="1" applyAlignment="1">
      <alignment horizontal="center" vertical="center" wrapText="1"/>
    </xf>
    <xf numFmtId="0" fontId="2" fillId="0" borderId="2" xfId="26" applyFont="1" applyFill="1" applyBorder="1" applyAlignment="1"/>
    <xf numFmtId="3" fontId="55" fillId="4" borderId="88" xfId="0" applyNumberFormat="1" applyFont="1" applyFill="1" applyBorder="1" applyAlignment="1">
      <alignment horizontal="center" vertical="center"/>
    </xf>
    <xf numFmtId="3" fontId="55" fillId="4" borderId="98" xfId="0" applyNumberFormat="1" applyFont="1" applyFill="1" applyBorder="1" applyAlignment="1">
      <alignment horizontal="center" vertical="center"/>
    </xf>
    <xf numFmtId="9" fontId="55" fillId="4" borderId="88" xfId="0" applyNumberFormat="1" applyFont="1" applyFill="1" applyBorder="1" applyAlignment="1">
      <alignment horizontal="center" vertical="center"/>
    </xf>
    <xf numFmtId="9" fontId="55" fillId="4" borderId="98" xfId="0" applyNumberFormat="1" applyFont="1" applyFill="1" applyBorder="1" applyAlignment="1">
      <alignment horizontal="center" vertical="center"/>
    </xf>
    <xf numFmtId="3" fontId="55" fillId="4" borderId="89" xfId="0" applyNumberFormat="1" applyFont="1" applyFill="1" applyBorder="1" applyAlignment="1">
      <alignment horizontal="center" vertical="center" wrapText="1"/>
    </xf>
    <xf numFmtId="3" fontId="55" fillId="4" borderId="99" xfId="0" applyNumberFormat="1" applyFont="1" applyFill="1" applyBorder="1" applyAlignment="1">
      <alignment horizontal="center" vertical="center" wrapText="1"/>
    </xf>
    <xf numFmtId="0" fontId="40" fillId="2" borderId="106" xfId="0" applyFont="1" applyFill="1" applyBorder="1" applyAlignment="1">
      <alignment horizontal="center" vertical="center" wrapText="1"/>
    </xf>
    <xf numFmtId="0" fontId="40" fillId="2" borderId="91" xfId="0" applyFont="1" applyFill="1" applyBorder="1" applyAlignment="1">
      <alignment horizontal="center" vertical="center" wrapText="1"/>
    </xf>
    <xf numFmtId="0" fontId="55" fillId="9" borderId="108" xfId="0" applyFont="1" applyFill="1" applyBorder="1" applyAlignment="1">
      <alignment horizontal="center"/>
    </xf>
    <xf numFmtId="0" fontId="55" fillId="9" borderId="107" xfId="0" applyFont="1" applyFill="1" applyBorder="1" applyAlignment="1">
      <alignment horizontal="center"/>
    </xf>
    <xf numFmtId="0" fontId="55" fillId="9" borderId="87" xfId="0" applyFont="1" applyFill="1" applyBorder="1" applyAlignment="1">
      <alignment horizontal="center"/>
    </xf>
    <xf numFmtId="0" fontId="40" fillId="4" borderId="96" xfId="0" applyFont="1" applyFill="1" applyBorder="1" applyAlignment="1">
      <alignment horizontal="center" vertical="center" wrapText="1"/>
    </xf>
    <xf numFmtId="0" fontId="40" fillId="4" borderId="76" xfId="0" applyFont="1" applyFill="1" applyBorder="1" applyAlignment="1">
      <alignment horizontal="center" vertical="center" wrapText="1"/>
    </xf>
    <xf numFmtId="0" fontId="59" fillId="2" borderId="47" xfId="0" applyFont="1" applyFill="1" applyBorder="1" applyAlignment="1">
      <alignment horizontal="center"/>
    </xf>
    <xf numFmtId="0" fontId="59" fillId="2" borderId="93" xfId="0" applyFont="1" applyFill="1" applyBorder="1" applyAlignment="1">
      <alignment horizontal="center"/>
    </xf>
    <xf numFmtId="0" fontId="59" fillId="2" borderId="83" xfId="0" applyFont="1" applyFill="1" applyBorder="1" applyAlignment="1">
      <alignment horizontal="center"/>
    </xf>
    <xf numFmtId="0" fontId="59" fillId="4" borderId="24" xfId="0" applyFont="1" applyFill="1" applyBorder="1" applyAlignment="1">
      <alignment horizontal="center"/>
    </xf>
    <xf numFmtId="0" fontId="59" fillId="4" borderId="78" xfId="0" applyFont="1" applyFill="1" applyBorder="1" applyAlignment="1">
      <alignment horizontal="center"/>
    </xf>
    <xf numFmtId="0" fontId="59" fillId="4" borderId="79" xfId="0" applyFont="1" applyFill="1" applyBorder="1" applyAlignment="1">
      <alignment horizontal="center"/>
    </xf>
    <xf numFmtId="0" fontId="59" fillId="2" borderId="24" xfId="0" applyFont="1" applyFill="1" applyBorder="1" applyAlignment="1">
      <alignment horizontal="center"/>
    </xf>
    <xf numFmtId="0" fontId="59" fillId="2" borderId="78" xfId="0" applyFont="1" applyFill="1" applyBorder="1" applyAlignment="1">
      <alignment horizontal="center"/>
    </xf>
    <xf numFmtId="0" fontId="59" fillId="2" borderId="79" xfId="0" applyFont="1" applyFill="1" applyBorder="1" applyAlignment="1">
      <alignment horizontal="center"/>
    </xf>
    <xf numFmtId="0" fontId="2" fillId="0" borderId="2" xfId="0" applyFont="1" applyFill="1" applyBorder="1" applyAlignment="1">
      <alignment wrapText="1"/>
    </xf>
    <xf numFmtId="0" fontId="40" fillId="2" borderId="61" xfId="0" applyFont="1" applyFill="1" applyBorder="1" applyAlignment="1">
      <alignment vertical="center"/>
    </xf>
    <xf numFmtId="3" fontId="32" fillId="2" borderId="63" xfId="26" applyNumberFormat="1" applyFont="1" applyFill="1" applyBorder="1" applyAlignment="1">
      <alignment horizontal="center"/>
    </xf>
    <xf numFmtId="3" fontId="32" fillId="2" borderId="51" xfId="26" applyNumberFormat="1" applyFont="1" applyFill="1" applyBorder="1" applyAlignment="1">
      <alignment horizontal="center"/>
    </xf>
    <xf numFmtId="3" fontId="32" fillId="2" borderId="92" xfId="26" applyNumberFormat="1" applyFont="1" applyFill="1" applyBorder="1" applyAlignment="1">
      <alignment horizontal="center"/>
    </xf>
    <xf numFmtId="3" fontId="32" fillId="2" borderId="52" xfId="26" applyNumberFormat="1" applyFont="1" applyFill="1" applyBorder="1" applyAlignment="1">
      <alignment horizontal="center"/>
    </xf>
    <xf numFmtId="3" fontId="32" fillId="2" borderId="96" xfId="26" applyNumberFormat="1" applyFont="1" applyFill="1" applyBorder="1" applyAlignment="1">
      <alignment horizontal="center"/>
    </xf>
    <xf numFmtId="3" fontId="32" fillId="2" borderId="76" xfId="26" applyNumberFormat="1" applyFont="1" applyFill="1" applyBorder="1" applyAlignment="1">
      <alignment horizontal="center"/>
    </xf>
    <xf numFmtId="0" fontId="32" fillId="2" borderId="30" xfId="0" applyFont="1" applyFill="1" applyBorder="1" applyAlignment="1">
      <alignment horizontal="center" vertical="top" wrapText="1"/>
    </xf>
    <xf numFmtId="3" fontId="32" fillId="2" borderId="52" xfId="0" applyNumberFormat="1" applyFont="1" applyFill="1" applyBorder="1" applyAlignment="1">
      <alignment horizontal="center" vertical="top"/>
    </xf>
    <xf numFmtId="0" fontId="32" fillId="2" borderId="30" xfId="0" applyFont="1" applyFill="1" applyBorder="1" applyAlignment="1">
      <alignment horizontal="center" vertical="top"/>
    </xf>
    <xf numFmtId="0" fontId="32" fillId="2" borderId="30" xfId="0" applyFont="1" applyFill="1" applyBorder="1" applyAlignment="1">
      <alignment horizontal="center" vertical="center"/>
    </xf>
    <xf numFmtId="0" fontId="32" fillId="2" borderId="63" xfId="0" quotePrefix="1" applyFont="1" applyFill="1" applyBorder="1" applyAlignment="1">
      <alignment horizontal="center"/>
    </xf>
    <xf numFmtId="0" fontId="32" fillId="2" borderId="52" xfId="0" applyFont="1" applyFill="1" applyBorder="1" applyAlignment="1">
      <alignment horizontal="center"/>
    </xf>
    <xf numFmtId="9" fontId="44" fillId="2" borderId="52" xfId="0" applyNumberFormat="1" applyFont="1" applyFill="1" applyBorder="1" applyAlignment="1">
      <alignment horizontal="center" vertical="top"/>
    </xf>
    <xf numFmtId="0" fontId="32" fillId="2" borderId="75" xfId="0" applyNumberFormat="1" applyFont="1" applyFill="1" applyBorder="1" applyAlignment="1">
      <alignment horizontal="center" vertical="top"/>
    </xf>
    <xf numFmtId="0" fontId="32" fillId="2" borderId="75" xfId="0" applyFont="1" applyFill="1" applyBorder="1" applyAlignment="1">
      <alignment horizontal="center" vertical="top" wrapText="1"/>
    </xf>
    <xf numFmtId="0" fontId="32" fillId="2" borderId="63" xfId="0" quotePrefix="1" applyNumberFormat="1" applyFont="1" applyFill="1" applyBorder="1" applyAlignment="1">
      <alignment horizontal="center"/>
    </xf>
    <xf numFmtId="0" fontId="32" fillId="2" borderId="52" xfId="0" applyNumberFormat="1" applyFont="1" applyFill="1" applyBorder="1" applyAlignment="1">
      <alignment horizontal="center"/>
    </xf>
    <xf numFmtId="49" fontId="32" fillId="2" borderId="30" xfId="0" applyNumberFormat="1" applyFont="1" applyFill="1" applyBorder="1" applyAlignment="1">
      <alignment horizontal="center" vertical="top"/>
    </xf>
    <xf numFmtId="0" fontId="44" fillId="2" borderId="52" xfId="0" applyNumberFormat="1" applyFont="1" applyFill="1" applyBorder="1" applyAlignment="1">
      <alignment horizontal="center" vertical="top"/>
    </xf>
    <xf numFmtId="0" fontId="54" fillId="0" borderId="0" xfId="1" applyFont="1"/>
    <xf numFmtId="3" fontId="34" fillId="10" borderId="113" xfId="0" applyNumberFormat="1" applyFont="1" applyFill="1" applyBorder="1" applyAlignment="1">
      <alignment horizontal="right" vertical="top"/>
    </xf>
    <xf numFmtId="3" fontId="34" fillId="10" borderId="114" xfId="0" applyNumberFormat="1" applyFont="1" applyFill="1" applyBorder="1" applyAlignment="1">
      <alignment horizontal="right" vertical="top"/>
    </xf>
    <xf numFmtId="177" fontId="34" fillId="10" borderId="115" xfId="0" applyNumberFormat="1" applyFont="1" applyFill="1" applyBorder="1" applyAlignment="1">
      <alignment horizontal="right" vertical="top"/>
    </xf>
    <xf numFmtId="3" fontId="34" fillId="0" borderId="113" xfId="0" applyNumberFormat="1" applyFont="1" applyBorder="1" applyAlignment="1">
      <alignment horizontal="right" vertical="top"/>
    </xf>
    <xf numFmtId="177" fontId="34" fillId="10" borderId="116" xfId="0" applyNumberFormat="1" applyFont="1" applyFill="1" applyBorder="1" applyAlignment="1">
      <alignment horizontal="right" vertical="top"/>
    </xf>
    <xf numFmtId="3" fontId="36" fillId="10" borderId="118" xfId="0" applyNumberFormat="1" applyFont="1" applyFill="1" applyBorder="1" applyAlignment="1">
      <alignment horizontal="right" vertical="top"/>
    </xf>
    <xf numFmtId="3" fontId="36" fillId="10" borderId="119" xfId="0" applyNumberFormat="1" applyFont="1" applyFill="1" applyBorder="1" applyAlignment="1">
      <alignment horizontal="right" vertical="top"/>
    </xf>
    <xf numFmtId="177" fontId="36" fillId="10" borderId="120" xfId="0" applyNumberFormat="1" applyFont="1" applyFill="1" applyBorder="1" applyAlignment="1">
      <alignment horizontal="right" vertical="top"/>
    </xf>
    <xf numFmtId="3" fontId="36" fillId="0" borderId="118" xfId="0" applyNumberFormat="1" applyFont="1" applyBorder="1" applyAlignment="1">
      <alignment horizontal="right" vertical="top"/>
    </xf>
    <xf numFmtId="177" fontId="36" fillId="10" borderId="121" xfId="0" applyNumberFormat="1" applyFont="1" applyFill="1" applyBorder="1" applyAlignment="1">
      <alignment horizontal="right" vertical="top"/>
    </xf>
    <xf numFmtId="0" fontId="34" fillId="10" borderId="116" xfId="0" applyFont="1" applyFill="1" applyBorder="1" applyAlignment="1">
      <alignment horizontal="right" vertical="top"/>
    </xf>
    <xf numFmtId="0" fontId="36" fillId="10" borderId="121" xfId="0" applyFont="1" applyFill="1" applyBorder="1" applyAlignment="1">
      <alignment horizontal="right" vertical="top"/>
    </xf>
    <xf numFmtId="0" fontId="34" fillId="10" borderId="115" xfId="0" applyFont="1" applyFill="1" applyBorder="1" applyAlignment="1">
      <alignment horizontal="right" vertical="top"/>
    </xf>
    <xf numFmtId="0" fontId="36" fillId="10" borderId="120" xfId="0" applyFont="1" applyFill="1" applyBorder="1" applyAlignment="1">
      <alignment horizontal="right" vertical="top"/>
    </xf>
    <xf numFmtId="3" fontId="36" fillId="0" borderId="122" xfId="0" applyNumberFormat="1" applyFont="1" applyBorder="1" applyAlignment="1">
      <alignment horizontal="right" vertical="top"/>
    </xf>
    <xf numFmtId="3" fontId="36" fillId="0" borderId="123" xfId="0" applyNumberFormat="1" applyFont="1" applyBorder="1" applyAlignment="1">
      <alignment horizontal="right" vertical="top"/>
    </xf>
    <xf numFmtId="3" fontId="36" fillId="0" borderId="124" xfId="0" applyNumberFormat="1" applyFont="1" applyBorder="1" applyAlignment="1">
      <alignment horizontal="right" vertical="top"/>
    </xf>
    <xf numFmtId="177" fontId="36" fillId="10" borderId="125" xfId="0" applyNumberFormat="1" applyFont="1" applyFill="1" applyBorder="1" applyAlignment="1">
      <alignment horizontal="right" vertical="top"/>
    </xf>
    <xf numFmtId="0" fontId="38" fillId="11" borderId="112" xfId="0" applyFont="1" applyFill="1" applyBorder="1" applyAlignment="1">
      <alignment vertical="top"/>
    </xf>
    <xf numFmtId="0" fontId="38" fillId="11" borderId="112" xfId="0" applyFont="1" applyFill="1" applyBorder="1" applyAlignment="1">
      <alignment vertical="top" indent="2"/>
    </xf>
    <xf numFmtId="0" fontId="38" fillId="11" borderId="112" xfId="0" applyFont="1" applyFill="1" applyBorder="1" applyAlignment="1">
      <alignment vertical="top" indent="4"/>
    </xf>
    <xf numFmtId="0" fontId="39" fillId="11" borderId="117" xfId="0" applyFont="1" applyFill="1" applyBorder="1" applyAlignment="1">
      <alignment vertical="top" indent="6"/>
    </xf>
    <xf numFmtId="0" fontId="38" fillId="11" borderId="112" xfId="0" applyFont="1" applyFill="1" applyBorder="1" applyAlignment="1">
      <alignment vertical="top" indent="8"/>
    </xf>
    <xf numFmtId="0" fontId="39" fillId="11" borderId="117" xfId="0" applyFont="1" applyFill="1" applyBorder="1" applyAlignment="1">
      <alignment vertical="top" indent="2"/>
    </xf>
    <xf numFmtId="0" fontId="39" fillId="11" borderId="117" xfId="0" applyFont="1" applyFill="1" applyBorder="1" applyAlignment="1">
      <alignment vertical="top" indent="4"/>
    </xf>
    <xf numFmtId="0" fontId="38" fillId="11" borderId="112" xfId="0" applyFont="1" applyFill="1" applyBorder="1" applyAlignment="1">
      <alignment vertical="top" indent="6"/>
    </xf>
    <xf numFmtId="0" fontId="33" fillId="11" borderId="112" xfId="0" applyFont="1" applyFill="1" applyBorder="1"/>
    <xf numFmtId="0" fontId="39" fillId="11" borderId="18" xfId="0" applyFont="1" applyFill="1" applyBorder="1" applyAlignment="1">
      <alignment vertical="top"/>
    </xf>
    <xf numFmtId="0" fontId="30" fillId="0" borderId="0" xfId="0" applyFont="1" applyAlignment="1">
      <alignment horizontal="left"/>
    </xf>
    <xf numFmtId="3" fontId="30" fillId="0" borderId="0" xfId="0" applyNumberFormat="1" applyFont="1" applyAlignment="1">
      <alignment horizontal="left"/>
    </xf>
    <xf numFmtId="3" fontId="30" fillId="0" borderId="0" xfId="0" applyNumberFormat="1" applyFont="1"/>
    <xf numFmtId="9" fontId="30" fillId="0" borderId="0" xfId="0" applyNumberFormat="1" applyFont="1"/>
    <xf numFmtId="0" fontId="60" fillId="0" borderId="0" xfId="0" applyFont="1" applyFill="1"/>
    <xf numFmtId="0" fontId="61" fillId="0" borderId="0" xfId="0" applyFont="1" applyFill="1"/>
    <xf numFmtId="0" fontId="3" fillId="2" borderId="102" xfId="79" applyFont="1" applyFill="1" applyBorder="1" applyAlignment="1">
      <alignment horizontal="left"/>
    </xf>
    <xf numFmtId="0" fontId="40" fillId="11" borderId="95" xfId="0" applyFont="1" applyFill="1" applyBorder="1"/>
    <xf numFmtId="0" fontId="40" fillId="11" borderId="94" xfId="0" applyFont="1" applyFill="1" applyBorder="1"/>
    <xf numFmtId="3" fontId="3" fillId="2" borderId="88" xfId="80" applyNumberFormat="1" applyFont="1" applyFill="1" applyBorder="1"/>
    <xf numFmtId="0" fontId="3" fillId="2" borderId="88" xfId="80" applyFont="1" applyFill="1" applyBorder="1"/>
    <xf numFmtId="3" fontId="33" fillId="0" borderId="77" xfId="0" applyNumberFormat="1" applyFont="1" applyFill="1" applyBorder="1"/>
    <xf numFmtId="0" fontId="33" fillId="0" borderId="78" xfId="0" applyFont="1" applyFill="1" applyBorder="1"/>
    <xf numFmtId="3" fontId="33" fillId="0" borderId="78" xfId="0" applyNumberFormat="1" applyFont="1" applyFill="1" applyBorder="1"/>
    <xf numFmtId="3" fontId="33" fillId="0" borderId="80" xfId="0" applyNumberFormat="1" applyFont="1" applyFill="1" applyBorder="1"/>
    <xf numFmtId="0" fontId="33" fillId="0" borderId="81" xfId="0" applyFont="1" applyFill="1" applyBorder="1"/>
    <xf numFmtId="3" fontId="33" fillId="0" borderId="81" xfId="0" applyNumberFormat="1" applyFont="1" applyFill="1" applyBorder="1"/>
    <xf numFmtId="3" fontId="33" fillId="0" borderId="126" xfId="0" applyNumberFormat="1" applyFont="1" applyFill="1" applyBorder="1"/>
    <xf numFmtId="3" fontId="33" fillId="0" borderId="104" xfId="0" applyNumberFormat="1" applyFont="1" applyFill="1" applyBorder="1"/>
    <xf numFmtId="9" fontId="3" fillId="2" borderId="88" xfId="80" applyNumberFormat="1" applyFont="1" applyFill="1" applyBorder="1"/>
    <xf numFmtId="9" fontId="3" fillId="2" borderId="89" xfId="80" applyNumberFormat="1" applyFont="1" applyFill="1" applyBorder="1"/>
    <xf numFmtId="9" fontId="33" fillId="0" borderId="78" xfId="0" applyNumberFormat="1" applyFont="1" applyFill="1" applyBorder="1"/>
    <xf numFmtId="9" fontId="33" fillId="0" borderId="79" xfId="0" applyNumberFormat="1" applyFont="1" applyFill="1" applyBorder="1"/>
    <xf numFmtId="9" fontId="33" fillId="0" borderId="81" xfId="0" applyNumberFormat="1" applyFont="1" applyFill="1" applyBorder="1"/>
    <xf numFmtId="9" fontId="33" fillId="0" borderId="82" xfId="0" applyNumberFormat="1" applyFont="1" applyFill="1" applyBorder="1"/>
    <xf numFmtId="0" fontId="33" fillId="0" borderId="95" xfId="0" applyFont="1" applyFill="1" applyBorder="1"/>
    <xf numFmtId="0" fontId="33" fillId="0" borderId="94" xfId="0" applyFont="1" applyFill="1" applyBorder="1"/>
    <xf numFmtId="3" fontId="33" fillId="0" borderId="127" xfId="0" applyNumberFormat="1" applyFont="1" applyFill="1" applyBorder="1"/>
    <xf numFmtId="3" fontId="33" fillId="0" borderId="90" xfId="0" applyNumberFormat="1" applyFont="1" applyFill="1" applyBorder="1"/>
    <xf numFmtId="0" fontId="3" fillId="2" borderId="128" xfId="79" applyFont="1" applyFill="1" applyBorder="1" applyAlignment="1">
      <alignment horizontal="left"/>
    </xf>
    <xf numFmtId="0" fontId="3" fillId="2" borderId="129" xfId="79" applyFont="1" applyFill="1" applyBorder="1" applyAlignment="1">
      <alignment horizontal="left"/>
    </xf>
    <xf numFmtId="0" fontId="3" fillId="2" borderId="130" xfId="80" applyFont="1" applyFill="1" applyBorder="1" applyAlignment="1">
      <alignment horizontal="left"/>
    </xf>
    <xf numFmtId="0" fontId="3" fillId="2" borderId="130" xfId="79" applyFont="1" applyFill="1" applyBorder="1" applyAlignment="1">
      <alignment horizontal="left"/>
    </xf>
    <xf numFmtId="0" fontId="3" fillId="2" borderId="131" xfId="79" applyFont="1" applyFill="1" applyBorder="1" applyAlignment="1">
      <alignment horizontal="left"/>
    </xf>
    <xf numFmtId="0" fontId="33" fillId="0" borderId="24" xfId="0" applyFont="1" applyFill="1" applyBorder="1"/>
    <xf numFmtId="0" fontId="33" fillId="0" borderId="29" xfId="0" applyFont="1" applyFill="1" applyBorder="1"/>
    <xf numFmtId="0" fontId="33" fillId="0" borderId="29" xfId="0" applyFont="1" applyFill="1" applyBorder="1" applyAlignment="1">
      <alignment horizontal="right"/>
    </xf>
    <xf numFmtId="0" fontId="33" fillId="0" borderId="29" xfId="0" applyFont="1" applyFill="1" applyBorder="1" applyAlignment="1">
      <alignment horizontal="left"/>
    </xf>
    <xf numFmtId="164" fontId="33" fillId="0" borderId="29" xfId="0" applyNumberFormat="1" applyFont="1" applyFill="1" applyBorder="1"/>
    <xf numFmtId="165" fontId="33" fillId="0" borderId="29" xfId="0" applyNumberFormat="1" applyFont="1" applyFill="1" applyBorder="1"/>
    <xf numFmtId="9" fontId="33" fillId="0" borderId="29" xfId="0" applyNumberFormat="1" applyFont="1" applyFill="1" applyBorder="1"/>
    <xf numFmtId="0" fontId="33" fillId="0" borderId="132" xfId="0" applyFont="1" applyFill="1" applyBorder="1"/>
    <xf numFmtId="0" fontId="33" fillId="0" borderId="133" xfId="0" applyFont="1" applyFill="1" applyBorder="1"/>
    <xf numFmtId="0" fontId="33" fillId="0" borderId="133" xfId="0" applyFont="1" applyFill="1" applyBorder="1" applyAlignment="1">
      <alignment horizontal="right"/>
    </xf>
    <xf numFmtId="0" fontId="33" fillId="0" borderId="133" xfId="0" applyFont="1" applyFill="1" applyBorder="1" applyAlignment="1">
      <alignment horizontal="left"/>
    </xf>
    <xf numFmtId="164" fontId="33" fillId="0" borderId="133" xfId="0" applyNumberFormat="1" applyFont="1" applyFill="1" applyBorder="1"/>
    <xf numFmtId="165" fontId="33" fillId="0" borderId="133" xfId="0" applyNumberFormat="1" applyFont="1" applyFill="1" applyBorder="1"/>
    <xf numFmtId="9" fontId="33" fillId="0" borderId="133" xfId="0" applyNumberFormat="1" applyFont="1" applyFill="1" applyBorder="1"/>
    <xf numFmtId="9" fontId="33" fillId="0" borderId="134" xfId="0" applyNumberFormat="1" applyFont="1" applyFill="1" applyBorder="1"/>
    <xf numFmtId="0" fontId="33" fillId="0" borderId="135" xfId="0" applyFont="1" applyFill="1" applyBorder="1"/>
    <xf numFmtId="0" fontId="33" fillId="0" borderId="136" xfId="0" applyFont="1" applyFill="1" applyBorder="1"/>
    <xf numFmtId="0" fontId="33" fillId="0" borderId="136" xfId="0" applyFont="1" applyFill="1" applyBorder="1" applyAlignment="1">
      <alignment horizontal="right"/>
    </xf>
    <xf numFmtId="0" fontId="33" fillId="0" borderId="136" xfId="0" applyFont="1" applyFill="1" applyBorder="1" applyAlignment="1">
      <alignment horizontal="left"/>
    </xf>
    <xf numFmtId="164" fontId="33" fillId="0" borderId="136" xfId="0" applyNumberFormat="1" applyFont="1" applyFill="1" applyBorder="1"/>
    <xf numFmtId="165" fontId="33" fillId="0" borderId="136" xfId="0" applyNumberFormat="1" applyFont="1" applyFill="1" applyBorder="1"/>
    <xf numFmtId="9" fontId="33" fillId="0" borderId="136" xfId="0" applyNumberFormat="1" applyFont="1" applyFill="1" applyBorder="1"/>
    <xf numFmtId="9" fontId="33" fillId="0" borderId="137" xfId="0" applyNumberFormat="1" applyFont="1" applyFill="1" applyBorder="1"/>
    <xf numFmtId="0" fontId="40" fillId="2" borderId="54" xfId="0" applyFont="1" applyFill="1" applyBorder="1"/>
    <xf numFmtId="3" fontId="40" fillId="2" borderId="103" xfId="0" applyNumberFormat="1" applyFont="1" applyFill="1" applyBorder="1"/>
    <xf numFmtId="9" fontId="40" fillId="2" borderId="73" xfId="0" applyNumberFormat="1" applyFont="1" applyFill="1" applyBorder="1"/>
    <xf numFmtId="3" fontId="40" fillId="2" borderId="67" xfId="0" applyNumberFormat="1" applyFont="1" applyFill="1" applyBorder="1"/>
    <xf numFmtId="3" fontId="33" fillId="0" borderId="25" xfId="0" applyNumberFormat="1" applyFont="1" applyFill="1" applyBorder="1"/>
    <xf numFmtId="3" fontId="33" fillId="0" borderId="136" xfId="0" applyNumberFormat="1" applyFont="1" applyFill="1" applyBorder="1"/>
    <xf numFmtId="3" fontId="33" fillId="0" borderId="137" xfId="0" applyNumberFormat="1" applyFont="1" applyFill="1" applyBorder="1"/>
    <xf numFmtId="3" fontId="33" fillId="0" borderId="133" xfId="0" applyNumberFormat="1" applyFont="1" applyFill="1" applyBorder="1"/>
    <xf numFmtId="3" fontId="33" fillId="0" borderId="134" xfId="0" applyNumberFormat="1" applyFont="1" applyFill="1" applyBorder="1"/>
    <xf numFmtId="3" fontId="33" fillId="0" borderId="139" xfId="0" applyNumberFormat="1" applyFont="1" applyFill="1" applyBorder="1"/>
    <xf numFmtId="9" fontId="33" fillId="0" borderId="139" xfId="0" applyNumberFormat="1" applyFont="1" applyFill="1" applyBorder="1"/>
    <xf numFmtId="3" fontId="33" fillId="0" borderId="140" xfId="0" applyNumberFormat="1" applyFont="1" applyFill="1" applyBorder="1"/>
    <xf numFmtId="0" fontId="40" fillId="11" borderId="19" xfId="0" applyFont="1" applyFill="1" applyBorder="1"/>
    <xf numFmtId="3" fontId="40" fillId="11" borderId="27" xfId="0" applyNumberFormat="1" applyFont="1" applyFill="1" applyBorder="1"/>
    <xf numFmtId="9" fontId="40" fillId="11" borderId="27" xfId="0" applyNumberFormat="1" applyFont="1" applyFill="1" applyBorder="1"/>
    <xf numFmtId="3" fontId="40" fillId="11" borderId="20" xfId="0" applyNumberFormat="1" applyFont="1" applyFill="1" applyBorder="1"/>
    <xf numFmtId="0" fontId="40" fillId="0" borderId="24" xfId="0" applyFont="1" applyFill="1" applyBorder="1"/>
    <xf numFmtId="0" fontId="40" fillId="0" borderId="138" xfId="0" applyFont="1" applyFill="1" applyBorder="1"/>
    <xf numFmtId="0" fontId="33" fillId="5" borderId="10" xfId="0" applyFont="1" applyFill="1" applyBorder="1" applyAlignment="1">
      <alignment wrapText="1"/>
    </xf>
    <xf numFmtId="0" fontId="40" fillId="0" borderId="135" xfId="0" applyFont="1" applyFill="1" applyBorder="1"/>
    <xf numFmtId="0" fontId="40" fillId="2" borderId="56" xfId="0" applyFont="1" applyFill="1" applyBorder="1"/>
    <xf numFmtId="3" fontId="40" fillId="2" borderId="0" xfId="0" applyNumberFormat="1" applyFont="1" applyFill="1" applyBorder="1"/>
    <xf numFmtId="3" fontId="40" fillId="2" borderId="16" xfId="0" applyNumberFormat="1" applyFont="1" applyFill="1" applyBorder="1"/>
    <xf numFmtId="0" fontId="33" fillId="2" borderId="67" xfId="0" applyFont="1" applyFill="1" applyBorder="1" applyAlignment="1">
      <alignment vertical="center"/>
    </xf>
    <xf numFmtId="0" fontId="32" fillId="2" borderId="15" xfId="26" applyNumberFormat="1" applyFont="1" applyFill="1" applyBorder="1"/>
    <xf numFmtId="0" fontId="32" fillId="2" borderId="0" xfId="26" applyNumberFormat="1" applyFont="1" applyFill="1" applyBorder="1"/>
    <xf numFmtId="9" fontId="32" fillId="2" borderId="0" xfId="26" quotePrefix="1" applyNumberFormat="1" applyFont="1" applyFill="1" applyBorder="1" applyAlignment="1">
      <alignment horizontal="right"/>
    </xf>
    <xf numFmtId="9" fontId="32" fillId="2" borderId="16" xfId="26" applyNumberFormat="1" applyFont="1" applyFill="1" applyBorder="1" applyAlignment="1">
      <alignment horizontal="right"/>
    </xf>
    <xf numFmtId="0" fontId="59" fillId="4" borderId="24" xfId="0" applyFont="1" applyFill="1" applyBorder="1" applyAlignment="1">
      <alignment horizontal="left"/>
    </xf>
    <xf numFmtId="169" fontId="59" fillId="4" borderId="29" xfId="0" applyNumberFormat="1" applyFont="1" applyFill="1" applyBorder="1"/>
    <xf numFmtId="9" fontId="59" fillId="4" borderId="29" xfId="0" applyNumberFormat="1" applyFont="1" applyFill="1" applyBorder="1"/>
    <xf numFmtId="9" fontId="59" fillId="4" borderId="25" xfId="0" applyNumberFormat="1" applyFont="1" applyFill="1" applyBorder="1"/>
    <xf numFmtId="169" fontId="0" fillId="0" borderId="133" xfId="0" applyNumberFormat="1" applyBorder="1"/>
    <xf numFmtId="9" fontId="0" fillId="0" borderId="133" xfId="0" applyNumberFormat="1" applyBorder="1"/>
    <xf numFmtId="9" fontId="0" fillId="0" borderId="134" xfId="0" applyNumberFormat="1" applyBorder="1"/>
    <xf numFmtId="0" fontId="59" fillId="0" borderId="132" xfId="0" applyFont="1" applyBorder="1" applyAlignment="1">
      <alignment horizontal="left" indent="1"/>
    </xf>
    <xf numFmtId="0" fontId="32" fillId="2" borderId="16" xfId="26" applyNumberFormat="1" applyFont="1" applyFill="1" applyBorder="1"/>
    <xf numFmtId="169" fontId="33" fillId="0" borderId="29" xfId="0" applyNumberFormat="1" applyFont="1" applyFill="1" applyBorder="1"/>
    <xf numFmtId="169" fontId="33" fillId="0" borderId="25" xfId="0" applyNumberFormat="1" applyFont="1" applyFill="1" applyBorder="1"/>
    <xf numFmtId="169" fontId="33" fillId="0" borderId="136" xfId="0" applyNumberFormat="1" applyFont="1" applyFill="1" applyBorder="1"/>
    <xf numFmtId="169" fontId="33" fillId="0" borderId="137" xfId="0" applyNumberFormat="1" applyFont="1" applyFill="1" applyBorder="1"/>
    <xf numFmtId="169" fontId="33" fillId="0" borderId="133" xfId="0" applyNumberFormat="1" applyFont="1" applyFill="1" applyBorder="1"/>
    <xf numFmtId="169" fontId="33" fillId="0" borderId="134" xfId="0" applyNumberFormat="1" applyFont="1" applyFill="1" applyBorder="1"/>
    <xf numFmtId="0" fontId="40" fillId="0" borderId="132" xfId="0" applyFont="1" applyFill="1" applyBorder="1"/>
    <xf numFmtId="0" fontId="33" fillId="2" borderId="31" xfId="0" applyFont="1" applyFill="1" applyBorder="1" applyAlignment="1">
      <alignment horizontal="center" vertical="top" wrapText="1"/>
    </xf>
    <xf numFmtId="0" fontId="32" fillId="2" borderId="31" xfId="0" applyFont="1" applyFill="1" applyBorder="1" applyAlignment="1">
      <alignment horizontal="center" vertical="top" wrapText="1"/>
    </xf>
    <xf numFmtId="0" fontId="32" fillId="2" borderId="31" xfId="0" applyFont="1" applyFill="1" applyBorder="1" applyAlignment="1">
      <alignment horizontal="center" vertical="top"/>
    </xf>
    <xf numFmtId="0" fontId="0" fillId="0" borderId="31" xfId="0" applyNumberFormat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center"/>
    </xf>
    <xf numFmtId="3" fontId="32" fillId="2" borderId="15" xfId="0" applyNumberFormat="1" applyFont="1" applyFill="1" applyBorder="1" applyAlignment="1">
      <alignment horizontal="left"/>
    </xf>
    <xf numFmtId="3" fontId="32" fillId="2" borderId="16" xfId="0" applyNumberFormat="1" applyFont="1" applyFill="1" applyBorder="1" applyAlignment="1">
      <alignment horizontal="center"/>
    </xf>
    <xf numFmtId="3" fontId="32" fillId="2" borderId="0" xfId="0" applyNumberFormat="1" applyFont="1" applyFill="1" applyBorder="1" applyAlignment="1">
      <alignment horizontal="center"/>
    </xf>
    <xf numFmtId="9" fontId="44" fillId="2" borderId="16" xfId="0" applyNumberFormat="1" applyFont="1" applyFill="1" applyBorder="1" applyAlignment="1">
      <alignment horizontal="center" vertical="top"/>
    </xf>
    <xf numFmtId="3" fontId="32" fillId="2" borderId="16" xfId="0" applyNumberFormat="1" applyFont="1" applyFill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top" wrapText="1"/>
    </xf>
    <xf numFmtId="0" fontId="32" fillId="2" borderId="16" xfId="26" applyNumberFormat="1" applyFont="1" applyFill="1" applyBorder="1" applyAlignment="1">
      <alignment horizontal="right"/>
    </xf>
    <xf numFmtId="49" fontId="32" fillId="2" borderId="31" xfId="0" applyNumberFormat="1" applyFont="1" applyFill="1" applyBorder="1" applyAlignment="1">
      <alignment horizontal="center" vertical="top"/>
    </xf>
    <xf numFmtId="0" fontId="32" fillId="2" borderId="15" xfId="0" applyNumberFormat="1" applyFont="1" applyFill="1" applyBorder="1" applyAlignment="1">
      <alignment horizontal="left"/>
    </xf>
    <xf numFmtId="0" fontId="32" fillId="2" borderId="16" xfId="0" applyNumberFormat="1" applyFont="1" applyFill="1" applyBorder="1" applyAlignment="1">
      <alignment horizontal="left"/>
    </xf>
    <xf numFmtId="0" fontId="32" fillId="2" borderId="0" xfId="0" applyNumberFormat="1" applyFont="1" applyFill="1" applyBorder="1" applyAlignment="1">
      <alignment horizontal="left"/>
    </xf>
    <xf numFmtId="0" fontId="44" fillId="2" borderId="16" xfId="0" applyNumberFormat="1" applyFont="1" applyFill="1" applyBorder="1" applyAlignment="1">
      <alignment horizontal="center" vertical="top"/>
    </xf>
  </cellXfs>
  <cellStyles count="98">
    <cellStyle name="Hypertextový odkaz" xfId="1" builtinId="8"/>
    <cellStyle name="Měna 10" xfId="2" xr:uid="{00000000-0005-0000-0000-000001000000}"/>
    <cellStyle name="Měna 11" xfId="3" xr:uid="{00000000-0005-0000-0000-000002000000}"/>
    <cellStyle name="Měna 12" xfId="4" xr:uid="{00000000-0005-0000-0000-000003000000}"/>
    <cellStyle name="Měna 13" xfId="5" xr:uid="{00000000-0005-0000-0000-000004000000}"/>
    <cellStyle name="Měna 2" xfId="6" xr:uid="{00000000-0005-0000-0000-000005000000}"/>
    <cellStyle name="Měna 3" xfId="7" xr:uid="{00000000-0005-0000-0000-000006000000}"/>
    <cellStyle name="Měna 4" xfId="8" xr:uid="{00000000-0005-0000-0000-000007000000}"/>
    <cellStyle name="Měna 5" xfId="9" xr:uid="{00000000-0005-0000-0000-000008000000}"/>
    <cellStyle name="Měna 6" xfId="10" xr:uid="{00000000-0005-0000-0000-000009000000}"/>
    <cellStyle name="Měna 7" xfId="11" xr:uid="{00000000-0005-0000-0000-00000A000000}"/>
    <cellStyle name="Měna 8" xfId="12" xr:uid="{00000000-0005-0000-0000-00000B000000}"/>
    <cellStyle name="Měna 9" xfId="13" xr:uid="{00000000-0005-0000-0000-00000C000000}"/>
    <cellStyle name="Normální" xfId="0" builtinId="0"/>
    <cellStyle name="Normální 10" xfId="14" xr:uid="{00000000-0005-0000-0000-00000E000000}"/>
    <cellStyle name="Normální 11" xfId="15" xr:uid="{00000000-0005-0000-0000-00000F000000}"/>
    <cellStyle name="Normální 12" xfId="16" xr:uid="{00000000-0005-0000-0000-000010000000}"/>
    <cellStyle name="Normální 13" xfId="17" xr:uid="{00000000-0005-0000-0000-000011000000}"/>
    <cellStyle name="Normální 14" xfId="18" xr:uid="{00000000-0005-0000-0000-000012000000}"/>
    <cellStyle name="Normální 15" xfId="19" xr:uid="{00000000-0005-0000-0000-000013000000}"/>
    <cellStyle name="Normální 16" xfId="20" xr:uid="{00000000-0005-0000-0000-000014000000}"/>
    <cellStyle name="Normální 17" xfId="21" xr:uid="{00000000-0005-0000-0000-000015000000}"/>
    <cellStyle name="Normální 18" xfId="22" xr:uid="{00000000-0005-0000-0000-000016000000}"/>
    <cellStyle name="Normální 19" xfId="23" xr:uid="{00000000-0005-0000-0000-000017000000}"/>
    <cellStyle name="normální 2" xfId="24" xr:uid="{00000000-0005-0000-0000-000018000000}"/>
    <cellStyle name="Normální 2 10" xfId="25" xr:uid="{00000000-0005-0000-0000-000019000000}"/>
    <cellStyle name="Normální 2 10 2" xfId="26" xr:uid="{00000000-0005-0000-0000-00001A000000}"/>
    <cellStyle name="normální 2 11" xfId="27" xr:uid="{00000000-0005-0000-0000-00001B000000}"/>
    <cellStyle name="normální 2 12" xfId="28" xr:uid="{00000000-0005-0000-0000-00001C000000}"/>
    <cellStyle name="Normální 2 13" xfId="29" xr:uid="{00000000-0005-0000-0000-00001D000000}"/>
    <cellStyle name="normální 2 2" xfId="30" xr:uid="{00000000-0005-0000-0000-00001E000000}"/>
    <cellStyle name="normální 2 3" xfId="31" xr:uid="{00000000-0005-0000-0000-00001F000000}"/>
    <cellStyle name="Normální 2 4" xfId="32" xr:uid="{00000000-0005-0000-0000-000020000000}"/>
    <cellStyle name="Normální 2 4 2" xfId="33" xr:uid="{00000000-0005-0000-0000-000021000000}"/>
    <cellStyle name="Normální 2 5" xfId="34" xr:uid="{00000000-0005-0000-0000-000022000000}"/>
    <cellStyle name="Normální 2 5 2" xfId="35" xr:uid="{00000000-0005-0000-0000-000023000000}"/>
    <cellStyle name="Normální 2 6" xfId="36" xr:uid="{00000000-0005-0000-0000-000024000000}"/>
    <cellStyle name="Normální 2 6 2" xfId="37" xr:uid="{00000000-0005-0000-0000-000025000000}"/>
    <cellStyle name="Normální 2 7" xfId="38" xr:uid="{00000000-0005-0000-0000-000026000000}"/>
    <cellStyle name="Normální 2 7 2" xfId="39" xr:uid="{00000000-0005-0000-0000-000027000000}"/>
    <cellStyle name="Normální 2 8" xfId="40" xr:uid="{00000000-0005-0000-0000-000028000000}"/>
    <cellStyle name="Normální 2 8 2" xfId="41" xr:uid="{00000000-0005-0000-0000-000029000000}"/>
    <cellStyle name="Normální 2 9" xfId="42" xr:uid="{00000000-0005-0000-0000-00002A000000}"/>
    <cellStyle name="Normální 2 9 2" xfId="43" xr:uid="{00000000-0005-0000-0000-00002B000000}"/>
    <cellStyle name="normální 2_Hodiny_Plan" xfId="44" xr:uid="{00000000-0005-0000-0000-00002C000000}"/>
    <cellStyle name="Normální 20" xfId="45" xr:uid="{00000000-0005-0000-0000-00002D000000}"/>
    <cellStyle name="Normální 21" xfId="46" xr:uid="{00000000-0005-0000-0000-00002E000000}"/>
    <cellStyle name="Normální 22" xfId="47" xr:uid="{00000000-0005-0000-0000-00002F000000}"/>
    <cellStyle name="normální 3" xfId="48" xr:uid="{00000000-0005-0000-0000-000030000000}"/>
    <cellStyle name="Normální 3 10" xfId="49" xr:uid="{00000000-0005-0000-0000-000031000000}"/>
    <cellStyle name="normální 3 11" xfId="50" xr:uid="{00000000-0005-0000-0000-000032000000}"/>
    <cellStyle name="normální 3 12" xfId="51" xr:uid="{00000000-0005-0000-0000-000033000000}"/>
    <cellStyle name="Normální 3 13" xfId="97" xr:uid="{00000000-0005-0000-0000-000034000000}"/>
    <cellStyle name="normální 3 2" xfId="52" xr:uid="{00000000-0005-0000-0000-000035000000}"/>
    <cellStyle name="Normální 3 3" xfId="53" xr:uid="{00000000-0005-0000-0000-000036000000}"/>
    <cellStyle name="Normální 3 3 2" xfId="54" xr:uid="{00000000-0005-0000-0000-000037000000}"/>
    <cellStyle name="Normální 3 4" xfId="55" xr:uid="{00000000-0005-0000-0000-000038000000}"/>
    <cellStyle name="Normální 3 5" xfId="56" xr:uid="{00000000-0005-0000-0000-000039000000}"/>
    <cellStyle name="Normální 3 6" xfId="57" xr:uid="{00000000-0005-0000-0000-00003A000000}"/>
    <cellStyle name="Normální 3 7" xfId="58" xr:uid="{00000000-0005-0000-0000-00003B000000}"/>
    <cellStyle name="Normální 3 8" xfId="59" xr:uid="{00000000-0005-0000-0000-00003C000000}"/>
    <cellStyle name="Normální 3 9" xfId="60" xr:uid="{00000000-0005-0000-0000-00003D000000}"/>
    <cellStyle name="normální 3_Hodiny_" xfId="61" xr:uid="{00000000-0005-0000-0000-00003E000000}"/>
    <cellStyle name="normální 4" xfId="62" xr:uid="{00000000-0005-0000-0000-00003F000000}"/>
    <cellStyle name="normální 4 2" xfId="63" xr:uid="{00000000-0005-0000-0000-000040000000}"/>
    <cellStyle name="normální 4 2 2" xfId="64" xr:uid="{00000000-0005-0000-0000-000041000000}"/>
    <cellStyle name="normální 4 2_Hodiny_" xfId="65" xr:uid="{00000000-0005-0000-0000-000042000000}"/>
    <cellStyle name="normální 4 3" xfId="66" xr:uid="{00000000-0005-0000-0000-000043000000}"/>
    <cellStyle name="normální 4 4" xfId="67" xr:uid="{00000000-0005-0000-0000-000044000000}"/>
    <cellStyle name="normální 4 5" xfId="68" xr:uid="{00000000-0005-0000-0000-000045000000}"/>
    <cellStyle name="normální 4 6" xfId="69" xr:uid="{00000000-0005-0000-0000-000046000000}"/>
    <cellStyle name="normální 4_Hodiny_" xfId="70" xr:uid="{00000000-0005-0000-0000-000047000000}"/>
    <cellStyle name="normální 5" xfId="71" xr:uid="{00000000-0005-0000-0000-000048000000}"/>
    <cellStyle name="normální 6" xfId="72" xr:uid="{00000000-0005-0000-0000-000049000000}"/>
    <cellStyle name="normální 7" xfId="73" xr:uid="{00000000-0005-0000-0000-00004A000000}"/>
    <cellStyle name="Normální 8" xfId="74" xr:uid="{00000000-0005-0000-0000-00004B000000}"/>
    <cellStyle name="Normální 8 2" xfId="75" xr:uid="{00000000-0005-0000-0000-00004C000000}"/>
    <cellStyle name="Normální 9" xfId="76" xr:uid="{00000000-0005-0000-0000-00004D000000}"/>
    <cellStyle name="Normální 9 2" xfId="77" xr:uid="{00000000-0005-0000-0000-00004E000000}"/>
    <cellStyle name="normální_LEK_01" xfId="78" xr:uid="{00000000-0005-0000-0000-00004F000000}"/>
    <cellStyle name="normální_LEK_FNOL" xfId="79" xr:uid="{00000000-0005-0000-0000-000050000000}"/>
    <cellStyle name="normální_LEK_FNOL 2" xfId="80" xr:uid="{00000000-0005-0000-0000-000051000000}"/>
    <cellStyle name="normální_Manažerské tabulky" xfId="81" xr:uid="{00000000-0005-0000-0000-000052000000}"/>
    <cellStyle name="normální_Sestava hospodaření" xfId="82" xr:uid="{00000000-0005-0000-0000-000053000000}"/>
    <cellStyle name="Procenta 10" xfId="83" xr:uid="{00000000-0005-0000-0000-000055000000}"/>
    <cellStyle name="Procenta 11" xfId="84" xr:uid="{00000000-0005-0000-0000-000056000000}"/>
    <cellStyle name="Procenta 2" xfId="85" xr:uid="{00000000-0005-0000-0000-000057000000}"/>
    <cellStyle name="Procenta 2 2" xfId="86" xr:uid="{00000000-0005-0000-0000-000058000000}"/>
    <cellStyle name="Procenta 2 2 2" xfId="87" xr:uid="{00000000-0005-0000-0000-000059000000}"/>
    <cellStyle name="Procenta 2 3" xfId="88" xr:uid="{00000000-0005-0000-0000-00005A000000}"/>
    <cellStyle name="Procenta 3" xfId="89" xr:uid="{00000000-0005-0000-0000-00005B000000}"/>
    <cellStyle name="Procenta 3 2" xfId="90" xr:uid="{00000000-0005-0000-0000-00005C000000}"/>
    <cellStyle name="Procenta 4" xfId="91" xr:uid="{00000000-0005-0000-0000-00005D000000}"/>
    <cellStyle name="Procenta 5" xfId="92" xr:uid="{00000000-0005-0000-0000-00005E000000}"/>
    <cellStyle name="Procenta 6" xfId="93" xr:uid="{00000000-0005-0000-0000-00005F000000}"/>
    <cellStyle name="Procenta 7" xfId="94" xr:uid="{00000000-0005-0000-0000-000060000000}"/>
    <cellStyle name="Procenta 8" xfId="95" xr:uid="{00000000-0005-0000-0000-000061000000}"/>
    <cellStyle name="Procenta 9" xfId="96" xr:uid="{00000000-0005-0000-0000-000062000000}"/>
  </cellStyles>
  <dxfs count="69">
    <dxf>
      <font>
        <b/>
        <i val="0"/>
        <color rgb="FFFF0000"/>
      </font>
    </dxf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 xr9:uid="{00000000-0011-0000-FFFF-FFFF00000000}">
      <tableStyleElement type="wholeTable" dxfId="68"/>
      <tableStyleElement type="headerRow" dxfId="67"/>
      <tableStyleElement type="totalRow" dxfId="66"/>
      <tableStyleElement type="firstColumn" dxfId="65"/>
      <tableStyleElement type="lastColumn" dxfId="64"/>
      <tableStyleElement type="firstRowStripe" dxfId="63"/>
      <tableStyleElement type="firstColumnStripe" dxfId="62"/>
    </tableStyle>
    <tableStyle name="TableStyleMedium2 2" pivot="0" count="7" xr9:uid="{00000000-0011-0000-FFFF-FFFF01000000}">
      <tableStyleElement type="wholeTable" dxfId="61"/>
      <tableStyleElement type="headerRow" dxfId="60"/>
      <tableStyleElement type="totalRow" dxfId="59"/>
      <tableStyleElement type="firstColumn" dxfId="58"/>
      <tableStyleElement type="lastColumn" dxfId="57"/>
      <tableStyleElement type="firstRowStripe" dxfId="56"/>
      <tableStyleElement type="firstColumnStripe" dxfId="55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Graf'!$B$4:$M$4</c:f>
              <c:numCache>
                <c:formatCode>General</c:formatCode>
                <c:ptCount val="12"/>
                <c:pt idx="0">
                  <c:v>5.833903185751806E-3</c:v>
                </c:pt>
                <c:pt idx="1">
                  <c:v>5.2122233765164016E-3</c:v>
                </c:pt>
                <c:pt idx="2">
                  <c:v>5.0502516602012257E-3</c:v>
                </c:pt>
                <c:pt idx="3">
                  <c:v>4.2972488335055381E-3</c:v>
                </c:pt>
                <c:pt idx="4">
                  <c:v>3.8328554732213827E-3</c:v>
                </c:pt>
                <c:pt idx="5">
                  <c:v>3.905717233281248E-3</c:v>
                </c:pt>
                <c:pt idx="6">
                  <c:v>3.2230467812611107E-3</c:v>
                </c:pt>
                <c:pt idx="7">
                  <c:v>3.1339437504658619E-3</c:v>
                </c:pt>
                <c:pt idx="8">
                  <c:v>3.2898738522246845E-3</c:v>
                </c:pt>
                <c:pt idx="9">
                  <c:v>2.9257515799288279E-3</c:v>
                </c:pt>
                <c:pt idx="10">
                  <c:v>2.5981761660024412E-3</c:v>
                </c:pt>
                <c:pt idx="11">
                  <c:v>2.2101633531083627E-3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78790560"/>
        <c:axId val="-585227104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1.0066773176403692E-3</c:v>
                </c:pt>
                <c:pt idx="1">
                  <c:v>1.0066773176403692E-3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585219488"/>
        <c:axId val="-585228192"/>
      </c:scatterChart>
      <c:catAx>
        <c:axId val="-1978790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585227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58522710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1978790560"/>
        <c:crosses val="autoZero"/>
        <c:crossBetween val="between"/>
      </c:valAx>
      <c:valAx>
        <c:axId val="-585219488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585228192"/>
        <c:crosses val="max"/>
        <c:crossBetween val="midCat"/>
      </c:valAx>
      <c:valAx>
        <c:axId val="-58522819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585219488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>
          <a:extLst>
            <a:ext uri="{FF2B5EF4-FFF2-40B4-BE49-F238E27FC236}">
              <a16:creationId xmlns:a16="http://schemas.microsoft.com/office/drawing/2014/main" id="{00000000-0008-0000-0400-000061280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0000000}" name="Tabulka" displayName="Tabulka" ref="A7:S15" totalsRowShown="0" headerRowDxfId="54" tableBorderDxfId="53">
  <autoFilter ref="A7:S15" xr:uid="{00000000-0009-0000-0100-000006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xr3:uid="{00000000-0010-0000-0000-000001000000}" name="kat" dataDxfId="52"/>
    <tableColumn id="2" xr3:uid="{00000000-0010-0000-0000-000002000000}" name="popis" dataDxfId="51"/>
    <tableColumn id="3" xr3:uid="{00000000-0010-0000-0000-000003000000}" name="01 uv_sk" dataDxfId="5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xr3:uid="{00000000-0010-0000-0000-000004000000}" name="02 uv_pla" dataDxfId="4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xr3:uid="{00000000-0010-0000-0000-000005000000}" name="03 uv_pln" dataDxfId="4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xr3:uid="{00000000-0010-0000-0000-000006000000}" name="04 uv_rozd" dataDxfId="4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xr3:uid="{00000000-0010-0000-0000-000007000000}" name="05 h_vram" dataDxfId="4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xr3:uid="{00000000-0010-0000-0000-000008000000}" name="06 h_naduv" dataDxfId="4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xr3:uid="{00000000-0010-0000-0000-000009000000}" name="07 h_nadzk" dataDxfId="4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xr3:uid="{00000000-0010-0000-0000-00000A000000}" name="08 h_oon" dataDxfId="4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xr3:uid="{00000000-0010-0000-0000-00000B000000}" name="09 m_kl" dataDxfId="4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xr3:uid="{00000000-0010-0000-0000-00000C000000}" name="10 m_gr" dataDxfId="4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xr3:uid="{00000000-0010-0000-0000-00000D000000}" name="11 m_jo" dataDxfId="4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xr3:uid="{00000000-0010-0000-0000-00000E000000}" name="12 m_oc" dataDxfId="3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xr3:uid="{00000000-0010-0000-0000-00000F000000}" name="13 m_sk" dataDxfId="3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xr3:uid="{00000000-0010-0000-0000-000011000000}" name="14_vzsk" dataDxfId="3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xr3:uid="{00000000-0010-0000-0000-000012000000}" name="15_vzpl" dataDxfId="3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xr3:uid="{00000000-0010-0000-0000-000013000000}" name="16_vzpln" dataDxfId="35">
      <calculatedColumnFormula>IF(Tabulka[[#This Row],[15_vzpl]]=0,"",Tabulka[[#This Row],[14_vzsk]]/Tabulka[[#This Row],[15_vzpl]])</calculatedColumnFormula>
    </tableColumn>
    <tableColumn id="20" xr3:uid="{00000000-0010-0000-0000-000014000000}" name="17_vzroz" dataDxfId="34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ONData" displayName="ONData" ref="C3:S111" totalsRowShown="0">
  <autoFilter ref="C3:S111" xr:uid="{00000000-0009-0000-0100-000007000000}"/>
  <tableColumns count="17">
    <tableColumn id="1" xr3:uid="{00000000-0010-0000-0100-000001000000}" name="mesic"/>
    <tableColumn id="2" xr3:uid="{00000000-0010-0000-0100-000002000000}" name="kat"/>
    <tableColumn id="3" xr3:uid="{00000000-0010-0000-0100-000003000000}" name="01 uv_sk"/>
    <tableColumn id="4" xr3:uid="{00000000-0010-0000-0100-000004000000}" name="02 uv_pla"/>
    <tableColumn id="5" xr3:uid="{00000000-0010-0000-0100-000005000000}" name="03 uv_pln"/>
    <tableColumn id="6" xr3:uid="{00000000-0010-0000-0100-000006000000}" name="04 uv_rozd"/>
    <tableColumn id="7" xr3:uid="{00000000-0010-0000-0100-000007000000}" name="05 h_vram"/>
    <tableColumn id="8" xr3:uid="{00000000-0010-0000-0100-000008000000}" name="06 h_naduv"/>
    <tableColumn id="9" xr3:uid="{00000000-0010-0000-0100-000009000000}" name="07 h_nadzk"/>
    <tableColumn id="10" xr3:uid="{00000000-0010-0000-0100-00000A000000}" name="08 h_oon"/>
    <tableColumn id="11" xr3:uid="{00000000-0010-0000-0100-00000B000000}" name="09 m_kl"/>
    <tableColumn id="12" xr3:uid="{00000000-0010-0000-0100-00000C000000}" name="10 m_gr"/>
    <tableColumn id="13" xr3:uid="{00000000-0010-0000-0100-00000D000000}" name="11 m_jo"/>
    <tableColumn id="14" xr3:uid="{00000000-0010-0000-0100-00000E000000}" name="12 m_oc"/>
    <tableColumn id="15" xr3:uid="{00000000-0010-0000-0100-00000F000000}" name="13 m_sk"/>
    <tableColumn id="16" xr3:uid="{00000000-0010-0000-0100-000010000000}" name="14_vzsk"/>
    <tableColumn id="17" xr3:uid="{00000000-0010-0000-0100-000011000000}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2.bin"/><Relationship Id="rId4" Type="http://schemas.openxmlformats.org/officeDocument/2006/relationships/comments" Target="../comments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26">
    <tabColor rgb="FF00B050"/>
    <pageSetUpPr fitToPage="1"/>
  </sheetPr>
  <dimension ref="A1:C24"/>
  <sheetViews>
    <sheetView showGridLines="0" showRowColHeaders="0" tabSelected="1" zoomScaleNormal="100" workbookViewId="0">
      <selection sqref="A1:B1"/>
    </sheetView>
  </sheetViews>
  <sheetFormatPr defaultColWidth="8.85546875" defaultRowHeight="14.45" customHeight="1" x14ac:dyDescent="0.2"/>
  <cols>
    <col min="1" max="1" width="17.85546875" style="126" bestFit="1" customWidth="1"/>
    <col min="2" max="2" width="102.28515625" style="126" bestFit="1" customWidth="1"/>
    <col min="3" max="3" width="16.140625" style="47" hidden="1" customWidth="1"/>
    <col min="4" max="16384" width="8.85546875" style="126"/>
  </cols>
  <sheetData>
    <row r="1" spans="1:3" ht="18.600000000000001" customHeight="1" thickBot="1" x14ac:dyDescent="0.35">
      <c r="A1" s="298" t="s">
        <v>104</v>
      </c>
      <c r="B1" s="298"/>
    </row>
    <row r="2" spans="1:3" ht="14.45" customHeight="1" thickBot="1" x14ac:dyDescent="0.25">
      <c r="A2" s="413" t="s">
        <v>241</v>
      </c>
      <c r="B2" s="46"/>
    </row>
    <row r="3" spans="1:3" ht="14.45" customHeight="1" thickBot="1" x14ac:dyDescent="0.25">
      <c r="A3" s="294" t="s">
        <v>130</v>
      </c>
      <c r="B3" s="295"/>
    </row>
    <row r="4" spans="1:3" ht="14.45" customHeight="1" x14ac:dyDescent="0.2">
      <c r="A4" s="140" t="str">
        <f t="shared" ref="A4:A8" si="0">HYPERLINK("#'"&amp;C4&amp;"'!A1",C4)</f>
        <v>Motivace</v>
      </c>
      <c r="B4" s="87" t="s">
        <v>113</v>
      </c>
      <c r="C4" s="47" t="s">
        <v>114</v>
      </c>
    </row>
    <row r="5" spans="1:3" ht="14.45" customHeight="1" x14ac:dyDescent="0.2">
      <c r="A5" s="141" t="str">
        <f t="shared" si="0"/>
        <v>HI</v>
      </c>
      <c r="B5" s="88" t="s">
        <v>128</v>
      </c>
      <c r="C5" s="47" t="s">
        <v>107</v>
      </c>
    </row>
    <row r="6" spans="1:3" ht="14.45" customHeight="1" x14ac:dyDescent="0.2">
      <c r="A6" s="142" t="str">
        <f t="shared" si="0"/>
        <v>HI Graf</v>
      </c>
      <c r="B6" s="89" t="s">
        <v>100</v>
      </c>
      <c r="C6" s="47" t="s">
        <v>108</v>
      </c>
    </row>
    <row r="7" spans="1:3" ht="14.45" customHeight="1" x14ac:dyDescent="0.2">
      <c r="A7" s="142" t="str">
        <f t="shared" si="0"/>
        <v>Man Tab</v>
      </c>
      <c r="B7" s="89" t="s">
        <v>244</v>
      </c>
      <c r="C7" s="47" t="s">
        <v>109</v>
      </c>
    </row>
    <row r="8" spans="1:3" ht="14.45" customHeight="1" thickBot="1" x14ac:dyDescent="0.25">
      <c r="A8" s="143" t="str">
        <f t="shared" si="0"/>
        <v>HV</v>
      </c>
      <c r="B8" s="90" t="s">
        <v>58</v>
      </c>
      <c r="C8" s="47" t="s">
        <v>63</v>
      </c>
    </row>
    <row r="9" spans="1:3" ht="14.45" customHeight="1" thickBot="1" x14ac:dyDescent="0.25">
      <c r="A9" s="91"/>
      <c r="B9" s="91"/>
    </row>
    <row r="10" spans="1:3" ht="14.45" customHeight="1" thickBot="1" x14ac:dyDescent="0.25">
      <c r="A10" s="296" t="s">
        <v>105</v>
      </c>
      <c r="B10" s="295"/>
    </row>
    <row r="11" spans="1:3" ht="14.45" customHeight="1" x14ac:dyDescent="0.2">
      <c r="A11" s="142" t="str">
        <f t="shared" ref="A11:A16" si="1">HYPERLINK("#'"&amp;C11&amp;"'!A1",C11)</f>
        <v>Léky Recepty</v>
      </c>
      <c r="B11" s="89" t="s">
        <v>129</v>
      </c>
      <c r="C11" s="47" t="s">
        <v>110</v>
      </c>
    </row>
    <row r="12" spans="1:3" ht="14.45" customHeight="1" x14ac:dyDescent="0.2">
      <c r="A12" s="142" t="str">
        <f t="shared" si="1"/>
        <v>LRp Lékaři</v>
      </c>
      <c r="B12" s="89" t="s">
        <v>135</v>
      </c>
      <c r="C12" s="47" t="s">
        <v>136</v>
      </c>
    </row>
    <row r="13" spans="1:3" ht="14.45" customHeight="1" x14ac:dyDescent="0.2">
      <c r="A13" s="142" t="str">
        <f t="shared" si="1"/>
        <v>LRp Detail</v>
      </c>
      <c r="B13" s="89" t="s">
        <v>390</v>
      </c>
      <c r="C13" s="47" t="s">
        <v>111</v>
      </c>
    </row>
    <row r="14" spans="1:3" ht="28.9" customHeight="1" x14ac:dyDescent="0.2">
      <c r="A14" s="142" t="str">
        <f t="shared" si="1"/>
        <v>LRp PL</v>
      </c>
      <c r="B14" s="517" t="s">
        <v>391</v>
      </c>
      <c r="C14" s="47" t="s">
        <v>132</v>
      </c>
    </row>
    <row r="15" spans="1:3" ht="14.45" customHeight="1" x14ac:dyDescent="0.2">
      <c r="A15" s="142" t="str">
        <f>HYPERLINK("#'"&amp;C15&amp;"'!A1",C15)</f>
        <v>LRp PL Detail</v>
      </c>
      <c r="B15" s="89" t="s">
        <v>406</v>
      </c>
      <c r="C15" s="47" t="s">
        <v>133</v>
      </c>
    </row>
    <row r="16" spans="1:3" ht="14.45" customHeight="1" thickBot="1" x14ac:dyDescent="0.25">
      <c r="A16" s="144" t="str">
        <f t="shared" si="1"/>
        <v>Osobní náklady</v>
      </c>
      <c r="B16" s="89" t="s">
        <v>102</v>
      </c>
      <c r="C16" s="47" t="s">
        <v>112</v>
      </c>
    </row>
    <row r="17" spans="1:3" ht="14.45" customHeight="1" thickBot="1" x14ac:dyDescent="0.25">
      <c r="A17" s="92"/>
      <c r="B17" s="92"/>
    </row>
    <row r="18" spans="1:3" ht="14.45" customHeight="1" thickBot="1" x14ac:dyDescent="0.25">
      <c r="A18" s="297" t="s">
        <v>106</v>
      </c>
      <c r="B18" s="295"/>
    </row>
    <row r="19" spans="1:3" ht="14.45" customHeight="1" x14ac:dyDescent="0.2">
      <c r="A19" s="145" t="str">
        <f t="shared" ref="A19:A24" si="2">HYPERLINK("#'"&amp;C19&amp;"'!A1",C19)</f>
        <v>ZV Vykáz.-A</v>
      </c>
      <c r="B19" s="88" t="s">
        <v>429</v>
      </c>
      <c r="C19" s="47" t="s">
        <v>115</v>
      </c>
    </row>
    <row r="20" spans="1:3" ht="14.45" customHeight="1" x14ac:dyDescent="0.2">
      <c r="A20" s="142" t="str">
        <f t="shared" ref="A20" si="3">HYPERLINK("#'"&amp;C20&amp;"'!A1",C20)</f>
        <v>ZV Vykáz.-A Lékaři</v>
      </c>
      <c r="B20" s="89" t="s">
        <v>435</v>
      </c>
      <c r="C20" s="47" t="s">
        <v>180</v>
      </c>
    </row>
    <row r="21" spans="1:3" ht="14.45" customHeight="1" x14ac:dyDescent="0.2">
      <c r="A21" s="142" t="str">
        <f t="shared" si="2"/>
        <v>ZV Vykáz.-A Detail</v>
      </c>
      <c r="B21" s="89" t="s">
        <v>445</v>
      </c>
      <c r="C21" s="47" t="s">
        <v>116</v>
      </c>
    </row>
    <row r="22" spans="1:3" ht="14.45" customHeight="1" x14ac:dyDescent="0.25">
      <c r="A22" s="240" t="str">
        <f>HYPERLINK("#'"&amp;C22&amp;"'!A1",C22)</f>
        <v>ZV Vykáz.-A Det.Lék.</v>
      </c>
      <c r="B22" s="89" t="s">
        <v>446</v>
      </c>
      <c r="C22" s="47" t="s">
        <v>184</v>
      </c>
    </row>
    <row r="23" spans="1:3" ht="14.45" customHeight="1" x14ac:dyDescent="0.2">
      <c r="A23" s="142" t="str">
        <f t="shared" si="2"/>
        <v>ZV Vykáz.-H</v>
      </c>
      <c r="B23" s="89" t="s">
        <v>119</v>
      </c>
      <c r="C23" s="47" t="s">
        <v>117</v>
      </c>
    </row>
    <row r="24" spans="1:3" ht="14.45" customHeight="1" x14ac:dyDescent="0.2">
      <c r="A24" s="142" t="str">
        <f t="shared" si="2"/>
        <v>ZV Vykáz.-H Detail</v>
      </c>
      <c r="B24" s="89" t="s">
        <v>490</v>
      </c>
      <c r="C24" s="47" t="s">
        <v>118</v>
      </c>
    </row>
  </sheetData>
  <mergeCells count="4">
    <mergeCell ref="A3:B3"/>
    <mergeCell ref="A10:B10"/>
    <mergeCell ref="A18:B18"/>
    <mergeCell ref="A1:B1"/>
  </mergeCells>
  <hyperlinks>
    <hyperlink ref="A2" location="Obsah!A1" display="Zpět na Obsah  KL 01  1.-4.měsíc" xr:uid="{D939E12D-CD58-4F72-B565-4E1BF4B3DBED}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List28">
    <tabColor theme="0" tint="-0.249977111117893"/>
    <pageSetUpPr fitToPage="1"/>
  </sheetPr>
  <dimension ref="A1:F16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ColWidth="8.85546875" defaultRowHeight="14.45" customHeight="1" x14ac:dyDescent="0.2"/>
  <cols>
    <col min="1" max="1" width="46.7109375" style="126" customWidth="1"/>
    <col min="2" max="2" width="10" style="203" customWidth="1"/>
    <col min="3" max="3" width="5.5703125" style="206" customWidth="1"/>
    <col min="4" max="4" width="10" style="203" customWidth="1"/>
    <col min="5" max="5" width="5.5703125" style="206" customWidth="1"/>
    <col min="6" max="6" width="10" style="203" customWidth="1"/>
    <col min="7" max="7" width="8.85546875" style="126" customWidth="1"/>
    <col min="8" max="16384" width="8.85546875" style="126"/>
  </cols>
  <sheetData>
    <row r="1" spans="1:6" ht="37.9" customHeight="1" thickBot="1" x14ac:dyDescent="0.35">
      <c r="A1" s="327" t="s">
        <v>391</v>
      </c>
      <c r="B1" s="328"/>
      <c r="C1" s="328"/>
      <c r="D1" s="328"/>
      <c r="E1" s="328"/>
      <c r="F1" s="328"/>
    </row>
    <row r="2" spans="1:6" ht="14.45" customHeight="1" thickBot="1" x14ac:dyDescent="0.25">
      <c r="A2" s="413" t="s">
        <v>241</v>
      </c>
      <c r="B2" s="62"/>
      <c r="C2" s="63"/>
      <c r="D2" s="64"/>
      <c r="E2" s="63"/>
      <c r="F2" s="64"/>
    </row>
    <row r="3" spans="1:6" ht="14.45" customHeight="1" thickBot="1" x14ac:dyDescent="0.25">
      <c r="A3" s="97"/>
      <c r="B3" s="329" t="s">
        <v>122</v>
      </c>
      <c r="C3" s="330"/>
      <c r="D3" s="331" t="s">
        <v>121</v>
      </c>
      <c r="E3" s="330"/>
      <c r="F3" s="79" t="s">
        <v>3</v>
      </c>
    </row>
    <row r="4" spans="1:6" ht="14.45" customHeight="1" thickBot="1" x14ac:dyDescent="0.25">
      <c r="A4" s="499" t="s">
        <v>148</v>
      </c>
      <c r="B4" s="500" t="s">
        <v>11</v>
      </c>
      <c r="C4" s="501" t="s">
        <v>2</v>
      </c>
      <c r="D4" s="500" t="s">
        <v>11</v>
      </c>
      <c r="E4" s="501" t="s">
        <v>2</v>
      </c>
      <c r="F4" s="502" t="s">
        <v>11</v>
      </c>
    </row>
    <row r="5" spans="1:6" ht="14.45" customHeight="1" x14ac:dyDescent="0.2">
      <c r="A5" s="515" t="s">
        <v>326</v>
      </c>
      <c r="B5" s="113">
        <v>322.43</v>
      </c>
      <c r="C5" s="482">
        <v>0.25307682647326618</v>
      </c>
      <c r="D5" s="113">
        <v>951.6099999999999</v>
      </c>
      <c r="E5" s="482">
        <v>0.74692317352673376</v>
      </c>
      <c r="F5" s="503">
        <v>1274.04</v>
      </c>
    </row>
    <row r="6" spans="1:6" ht="14.45" customHeight="1" thickBot="1" x14ac:dyDescent="0.25">
      <c r="A6" s="516" t="s">
        <v>325</v>
      </c>
      <c r="B6" s="508">
        <v>103.67</v>
      </c>
      <c r="C6" s="509">
        <v>1</v>
      </c>
      <c r="D6" s="508"/>
      <c r="E6" s="509">
        <v>0</v>
      </c>
      <c r="F6" s="510">
        <v>103.67</v>
      </c>
    </row>
    <row r="7" spans="1:6" ht="14.45" customHeight="1" thickBot="1" x14ac:dyDescent="0.25">
      <c r="A7" s="511" t="s">
        <v>3</v>
      </c>
      <c r="B7" s="512">
        <v>426.1</v>
      </c>
      <c r="C7" s="513">
        <v>0.30928134367900356</v>
      </c>
      <c r="D7" s="512">
        <v>951.6099999999999</v>
      </c>
      <c r="E7" s="513">
        <v>0.69071865632099638</v>
      </c>
      <c r="F7" s="514">
        <v>1377.71</v>
      </c>
    </row>
    <row r="8" spans="1:6" ht="14.45" customHeight="1" thickBot="1" x14ac:dyDescent="0.25"/>
    <row r="9" spans="1:6" ht="14.45" customHeight="1" x14ac:dyDescent="0.2">
      <c r="A9" s="515" t="s">
        <v>392</v>
      </c>
      <c r="B9" s="113">
        <v>172.91</v>
      </c>
      <c r="C9" s="482">
        <v>1</v>
      </c>
      <c r="D9" s="113"/>
      <c r="E9" s="482">
        <v>0</v>
      </c>
      <c r="F9" s="503">
        <v>172.91</v>
      </c>
    </row>
    <row r="10" spans="1:6" ht="14.45" customHeight="1" x14ac:dyDescent="0.2">
      <c r="A10" s="518" t="s">
        <v>393</v>
      </c>
      <c r="B10" s="504">
        <v>149.52000000000001</v>
      </c>
      <c r="C10" s="497">
        <v>0.33333333333333331</v>
      </c>
      <c r="D10" s="504">
        <v>299.04000000000002</v>
      </c>
      <c r="E10" s="497">
        <v>0.66666666666666663</v>
      </c>
      <c r="F10" s="505">
        <v>448.56000000000006</v>
      </c>
    </row>
    <row r="11" spans="1:6" ht="14.45" customHeight="1" x14ac:dyDescent="0.2">
      <c r="A11" s="518" t="s">
        <v>394</v>
      </c>
      <c r="B11" s="504">
        <v>103.67</v>
      </c>
      <c r="C11" s="497">
        <v>1</v>
      </c>
      <c r="D11" s="504"/>
      <c r="E11" s="497">
        <v>0</v>
      </c>
      <c r="F11" s="505">
        <v>103.67</v>
      </c>
    </row>
    <row r="12" spans="1:6" ht="14.45" customHeight="1" x14ac:dyDescent="0.2">
      <c r="A12" s="518" t="s">
        <v>395</v>
      </c>
      <c r="B12" s="504"/>
      <c r="C12" s="497">
        <v>0</v>
      </c>
      <c r="D12" s="504">
        <v>492.78</v>
      </c>
      <c r="E12" s="497">
        <v>1</v>
      </c>
      <c r="F12" s="505">
        <v>492.78</v>
      </c>
    </row>
    <row r="13" spans="1:6" ht="14.45" customHeight="1" x14ac:dyDescent="0.2">
      <c r="A13" s="518" t="s">
        <v>396</v>
      </c>
      <c r="B13" s="504"/>
      <c r="C13" s="497">
        <v>0</v>
      </c>
      <c r="D13" s="504">
        <v>63.75</v>
      </c>
      <c r="E13" s="497">
        <v>1</v>
      </c>
      <c r="F13" s="505">
        <v>63.75</v>
      </c>
    </row>
    <row r="14" spans="1:6" ht="14.45" customHeight="1" x14ac:dyDescent="0.2">
      <c r="A14" s="518" t="s">
        <v>397</v>
      </c>
      <c r="B14" s="504"/>
      <c r="C14" s="497">
        <v>0</v>
      </c>
      <c r="D14" s="504">
        <v>96.04</v>
      </c>
      <c r="E14" s="497">
        <v>1</v>
      </c>
      <c r="F14" s="505">
        <v>96.04</v>
      </c>
    </row>
    <row r="15" spans="1:6" ht="14.45" customHeight="1" thickBot="1" x14ac:dyDescent="0.25">
      <c r="A15" s="516" t="s">
        <v>398</v>
      </c>
      <c r="B15" s="508"/>
      <c r="C15" s="509"/>
      <c r="D15" s="508">
        <v>0</v>
      </c>
      <c r="E15" s="509"/>
      <c r="F15" s="510">
        <v>0</v>
      </c>
    </row>
    <row r="16" spans="1:6" ht="14.45" customHeight="1" thickBot="1" x14ac:dyDescent="0.25">
      <c r="A16" s="511" t="s">
        <v>3</v>
      </c>
      <c r="B16" s="512">
        <v>426.1</v>
      </c>
      <c r="C16" s="513">
        <v>0.30928134367900356</v>
      </c>
      <c r="D16" s="512">
        <v>951.6099999999999</v>
      </c>
      <c r="E16" s="513">
        <v>0.69071865632099638</v>
      </c>
      <c r="F16" s="514">
        <v>1377.71</v>
      </c>
    </row>
  </sheetData>
  <mergeCells count="3">
    <mergeCell ref="A1:F1"/>
    <mergeCell ref="B3:C3"/>
    <mergeCell ref="D3:E3"/>
  </mergeCells>
  <conditionalFormatting sqref="C5:C1048576">
    <cfRule type="cellIs" dxfId="5" priority="12" stopIfTrue="1" operator="greaterThan">
      <formula>0.2</formula>
    </cfRule>
  </conditionalFormatting>
  <conditionalFormatting sqref="F5:F6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{9B8D52AB-CAF3-4DC1-AB31-F439400BB357}</x14:id>
        </ext>
      </extLst>
    </cfRule>
  </conditionalFormatting>
  <conditionalFormatting sqref="F9:F15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{4F0F46DC-B306-4D60-8860-36C66E6F1416}</x14:id>
        </ext>
      </extLst>
    </cfRule>
  </conditionalFormatting>
  <hyperlinks>
    <hyperlink ref="A2" location="Obsah!A1" display="Zpět na Obsah  KL 01  1.-4.měsíc" xr:uid="{A1A8E52C-FA32-4823-9658-8F628C93446F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9B8D52AB-CAF3-4DC1-AB31-F439400BB357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F5:F6</xm:sqref>
        </x14:conditionalFormatting>
        <x14:conditionalFormatting xmlns:xm="http://schemas.microsoft.com/office/excel/2006/main">
          <x14:cfRule type="dataBar" id="{4F0F46DC-B306-4D60-8860-36C66E6F141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F9:F15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List31">
    <tabColor theme="0" tint="-0.249977111117893"/>
    <pageSetUpPr fitToPage="1"/>
  </sheetPr>
  <dimension ref="A1:M13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ColWidth="8.85546875" defaultRowHeight="14.45" customHeight="1" x14ac:dyDescent="0.2"/>
  <cols>
    <col min="1" max="1" width="22.28515625" style="126" customWidth="1"/>
    <col min="2" max="2" width="8.85546875" style="126" bestFit="1" customWidth="1"/>
    <col min="3" max="3" width="7" style="126" bestFit="1" customWidth="1"/>
    <col min="4" max="5" width="22.28515625" style="126" customWidth="1"/>
    <col min="6" max="6" width="6.7109375" style="203" customWidth="1"/>
    <col min="7" max="7" width="10" style="203" customWidth="1"/>
    <col min="8" max="8" width="6.7109375" style="206" customWidth="1"/>
    <col min="9" max="9" width="6.7109375" style="203" customWidth="1"/>
    <col min="10" max="10" width="10" style="203" customWidth="1"/>
    <col min="11" max="11" width="6.7109375" style="206" customWidth="1"/>
    <col min="12" max="12" width="6.7109375" style="203" customWidth="1"/>
    <col min="13" max="13" width="10" style="203" customWidth="1"/>
    <col min="14" max="16384" width="8.85546875" style="126"/>
  </cols>
  <sheetData>
    <row r="1" spans="1:13" ht="18.600000000000001" customHeight="1" thickBot="1" x14ac:dyDescent="0.35">
      <c r="A1" s="328" t="s">
        <v>406</v>
      </c>
      <c r="B1" s="328"/>
      <c r="C1" s="328"/>
      <c r="D1" s="328"/>
      <c r="E1" s="328"/>
      <c r="F1" s="328"/>
      <c r="G1" s="328"/>
      <c r="H1" s="328"/>
      <c r="I1" s="328"/>
      <c r="J1" s="328"/>
      <c r="K1" s="328"/>
      <c r="L1" s="298"/>
      <c r="M1" s="298"/>
    </row>
    <row r="2" spans="1:13" ht="14.45" customHeight="1" thickBot="1" x14ac:dyDescent="0.25">
      <c r="A2" s="413" t="s">
        <v>241</v>
      </c>
      <c r="B2" s="202"/>
      <c r="C2" s="202"/>
      <c r="D2" s="202"/>
      <c r="E2" s="202"/>
      <c r="F2" s="207"/>
      <c r="G2" s="207"/>
      <c r="H2" s="208"/>
      <c r="I2" s="207"/>
      <c r="J2" s="207"/>
      <c r="K2" s="208"/>
      <c r="L2" s="207"/>
    </row>
    <row r="3" spans="1:13" ht="14.45" customHeight="1" thickBot="1" x14ac:dyDescent="0.25">
      <c r="E3" s="78" t="s">
        <v>120</v>
      </c>
      <c r="F3" s="43">
        <f>SUBTOTAL(9,F6:F1048576)</f>
        <v>3</v>
      </c>
      <c r="G3" s="43">
        <f>SUBTOTAL(9,G6:G1048576)</f>
        <v>426.1</v>
      </c>
      <c r="H3" s="44">
        <f>IF(M3=0,0,G3/M3)</f>
        <v>0.30928134367900356</v>
      </c>
      <c r="I3" s="43">
        <f>SUBTOTAL(9,I6:I1048576)</f>
        <v>7</v>
      </c>
      <c r="J3" s="43">
        <f>SUBTOTAL(9,J6:J1048576)</f>
        <v>951.61</v>
      </c>
      <c r="K3" s="44">
        <f>IF(M3=0,0,J3/M3)</f>
        <v>0.69071865632099638</v>
      </c>
      <c r="L3" s="43">
        <f>SUBTOTAL(9,L6:L1048576)</f>
        <v>10</v>
      </c>
      <c r="M3" s="45">
        <f>SUBTOTAL(9,M6:M1048576)</f>
        <v>1377.71</v>
      </c>
    </row>
    <row r="4" spans="1:13" ht="14.45" customHeight="1" thickBot="1" x14ac:dyDescent="0.25">
      <c r="A4" s="41"/>
      <c r="B4" s="41"/>
      <c r="C4" s="41"/>
      <c r="D4" s="41"/>
      <c r="E4" s="42"/>
      <c r="F4" s="332" t="s">
        <v>122</v>
      </c>
      <c r="G4" s="333"/>
      <c r="H4" s="334"/>
      <c r="I4" s="335" t="s">
        <v>121</v>
      </c>
      <c r="J4" s="333"/>
      <c r="K4" s="334"/>
      <c r="L4" s="336" t="s">
        <v>3</v>
      </c>
      <c r="M4" s="337"/>
    </row>
    <row r="5" spans="1:13" ht="14.45" customHeight="1" thickBot="1" x14ac:dyDescent="0.25">
      <c r="A5" s="499" t="s">
        <v>127</v>
      </c>
      <c r="B5" s="519" t="s">
        <v>123</v>
      </c>
      <c r="C5" s="519" t="s">
        <v>67</v>
      </c>
      <c r="D5" s="519" t="s">
        <v>124</v>
      </c>
      <c r="E5" s="519" t="s">
        <v>125</v>
      </c>
      <c r="F5" s="520" t="s">
        <v>25</v>
      </c>
      <c r="G5" s="520" t="s">
        <v>11</v>
      </c>
      <c r="H5" s="501" t="s">
        <v>126</v>
      </c>
      <c r="I5" s="500" t="s">
        <v>25</v>
      </c>
      <c r="J5" s="520" t="s">
        <v>11</v>
      </c>
      <c r="K5" s="501" t="s">
        <v>126</v>
      </c>
      <c r="L5" s="500" t="s">
        <v>25</v>
      </c>
      <c r="M5" s="521" t="s">
        <v>11</v>
      </c>
    </row>
    <row r="6" spans="1:13" ht="14.45" customHeight="1" x14ac:dyDescent="0.2">
      <c r="A6" s="476" t="s">
        <v>325</v>
      </c>
      <c r="B6" s="477" t="s">
        <v>399</v>
      </c>
      <c r="C6" s="477" t="s">
        <v>385</v>
      </c>
      <c r="D6" s="477" t="s">
        <v>386</v>
      </c>
      <c r="E6" s="477" t="s">
        <v>387</v>
      </c>
      <c r="F6" s="113">
        <v>1</v>
      </c>
      <c r="G6" s="113">
        <v>103.67</v>
      </c>
      <c r="H6" s="482">
        <v>1</v>
      </c>
      <c r="I6" s="113"/>
      <c r="J6" s="113"/>
      <c r="K6" s="482">
        <v>0</v>
      </c>
      <c r="L6" s="113">
        <v>1</v>
      </c>
      <c r="M6" s="503">
        <v>103.67</v>
      </c>
    </row>
    <row r="7" spans="1:13" ht="14.45" customHeight="1" x14ac:dyDescent="0.2">
      <c r="A7" s="491" t="s">
        <v>326</v>
      </c>
      <c r="B7" s="492" t="s">
        <v>400</v>
      </c>
      <c r="C7" s="492" t="s">
        <v>352</v>
      </c>
      <c r="D7" s="492" t="s">
        <v>353</v>
      </c>
      <c r="E7" s="492" t="s">
        <v>354</v>
      </c>
      <c r="F7" s="504">
        <v>1</v>
      </c>
      <c r="G7" s="504">
        <v>172.91</v>
      </c>
      <c r="H7" s="497">
        <v>1</v>
      </c>
      <c r="I7" s="504"/>
      <c r="J7" s="504"/>
      <c r="K7" s="497">
        <v>0</v>
      </c>
      <c r="L7" s="504">
        <v>1</v>
      </c>
      <c r="M7" s="505">
        <v>172.91</v>
      </c>
    </row>
    <row r="8" spans="1:13" ht="14.45" customHeight="1" x14ac:dyDescent="0.2">
      <c r="A8" s="491" t="s">
        <v>326</v>
      </c>
      <c r="B8" s="492" t="s">
        <v>401</v>
      </c>
      <c r="C8" s="492" t="s">
        <v>372</v>
      </c>
      <c r="D8" s="492" t="s">
        <v>373</v>
      </c>
      <c r="E8" s="492" t="s">
        <v>374</v>
      </c>
      <c r="F8" s="504"/>
      <c r="G8" s="504"/>
      <c r="H8" s="497">
        <v>0</v>
      </c>
      <c r="I8" s="504">
        <v>2</v>
      </c>
      <c r="J8" s="504">
        <v>299.04000000000002</v>
      </c>
      <c r="K8" s="497">
        <v>1</v>
      </c>
      <c r="L8" s="504">
        <v>2</v>
      </c>
      <c r="M8" s="505">
        <v>299.04000000000002</v>
      </c>
    </row>
    <row r="9" spans="1:13" ht="14.45" customHeight="1" x14ac:dyDescent="0.2">
      <c r="A9" s="491" t="s">
        <v>326</v>
      </c>
      <c r="B9" s="492" t="s">
        <v>401</v>
      </c>
      <c r="C9" s="492" t="s">
        <v>375</v>
      </c>
      <c r="D9" s="492" t="s">
        <v>376</v>
      </c>
      <c r="E9" s="492" t="s">
        <v>377</v>
      </c>
      <c r="F9" s="504">
        <v>1</v>
      </c>
      <c r="G9" s="504">
        <v>149.52000000000001</v>
      </c>
      <c r="H9" s="497">
        <v>1</v>
      </c>
      <c r="I9" s="504"/>
      <c r="J9" s="504"/>
      <c r="K9" s="497">
        <v>0</v>
      </c>
      <c r="L9" s="504">
        <v>1</v>
      </c>
      <c r="M9" s="505">
        <v>149.52000000000001</v>
      </c>
    </row>
    <row r="10" spans="1:13" ht="14.45" customHeight="1" x14ac:dyDescent="0.2">
      <c r="A10" s="491" t="s">
        <v>326</v>
      </c>
      <c r="B10" s="492" t="s">
        <v>402</v>
      </c>
      <c r="C10" s="492" t="s">
        <v>328</v>
      </c>
      <c r="D10" s="492" t="s">
        <v>329</v>
      </c>
      <c r="E10" s="492" t="s">
        <v>330</v>
      </c>
      <c r="F10" s="504"/>
      <c r="G10" s="504"/>
      <c r="H10" s="497">
        <v>0</v>
      </c>
      <c r="I10" s="504">
        <v>1</v>
      </c>
      <c r="J10" s="504">
        <v>96.04</v>
      </c>
      <c r="K10" s="497">
        <v>1</v>
      </c>
      <c r="L10" s="504">
        <v>1</v>
      </c>
      <c r="M10" s="505">
        <v>96.04</v>
      </c>
    </row>
    <row r="11" spans="1:13" ht="14.45" customHeight="1" x14ac:dyDescent="0.2">
      <c r="A11" s="491" t="s">
        <v>326</v>
      </c>
      <c r="B11" s="492" t="s">
        <v>403</v>
      </c>
      <c r="C11" s="492" t="s">
        <v>368</v>
      </c>
      <c r="D11" s="492" t="s">
        <v>369</v>
      </c>
      <c r="E11" s="492" t="s">
        <v>370</v>
      </c>
      <c r="F11" s="504"/>
      <c r="G11" s="504"/>
      <c r="H11" s="497"/>
      <c r="I11" s="504">
        <v>1</v>
      </c>
      <c r="J11" s="504">
        <v>0</v>
      </c>
      <c r="K11" s="497"/>
      <c r="L11" s="504">
        <v>1</v>
      </c>
      <c r="M11" s="505">
        <v>0</v>
      </c>
    </row>
    <row r="12" spans="1:13" ht="14.45" customHeight="1" x14ac:dyDescent="0.2">
      <c r="A12" s="491" t="s">
        <v>326</v>
      </c>
      <c r="B12" s="492" t="s">
        <v>404</v>
      </c>
      <c r="C12" s="492" t="s">
        <v>332</v>
      </c>
      <c r="D12" s="492" t="s">
        <v>333</v>
      </c>
      <c r="E12" s="492" t="s">
        <v>334</v>
      </c>
      <c r="F12" s="504"/>
      <c r="G12" s="504"/>
      <c r="H12" s="497">
        <v>0</v>
      </c>
      <c r="I12" s="504">
        <v>2</v>
      </c>
      <c r="J12" s="504">
        <v>492.78</v>
      </c>
      <c r="K12" s="497">
        <v>1</v>
      </c>
      <c r="L12" s="504">
        <v>2</v>
      </c>
      <c r="M12" s="505">
        <v>492.78</v>
      </c>
    </row>
    <row r="13" spans="1:13" ht="14.45" customHeight="1" thickBot="1" x14ac:dyDescent="0.25">
      <c r="A13" s="483" t="s">
        <v>326</v>
      </c>
      <c r="B13" s="484" t="s">
        <v>405</v>
      </c>
      <c r="C13" s="484" t="s">
        <v>360</v>
      </c>
      <c r="D13" s="484" t="s">
        <v>361</v>
      </c>
      <c r="E13" s="484" t="s">
        <v>362</v>
      </c>
      <c r="F13" s="506"/>
      <c r="G13" s="506"/>
      <c r="H13" s="489">
        <v>0</v>
      </c>
      <c r="I13" s="506">
        <v>1</v>
      </c>
      <c r="J13" s="506">
        <v>63.75</v>
      </c>
      <c r="K13" s="489">
        <v>1</v>
      </c>
      <c r="L13" s="506">
        <v>1</v>
      </c>
      <c r="M13" s="507">
        <v>63.75</v>
      </c>
    </row>
  </sheetData>
  <autoFilter ref="A5:M1005" xr:uid="{00000000-0009-0000-0000-000016000000}"/>
  <mergeCells count="4">
    <mergeCell ref="A1:M1"/>
    <mergeCell ref="F4:H4"/>
    <mergeCell ref="I4:K4"/>
    <mergeCell ref="L4:M4"/>
  </mergeCells>
  <hyperlinks>
    <hyperlink ref="A2" location="Obsah!A1" display="Zpět na Obsah  KL 01  1.-4.měsíc" xr:uid="{169F6263-CEEC-4CE8-8959-6F3C50BEB547}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List13">
    <tabColor theme="3" tint="0.39997558519241921"/>
    <pageSetUpPr fitToPage="1"/>
  </sheetPr>
  <dimension ref="A1:S21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28515625" defaultRowHeight="15" outlineLevelCol="1" x14ac:dyDescent="0.25"/>
  <cols>
    <col min="1" max="1" width="8.28515625" customWidth="1"/>
    <col min="2" max="2" width="27.42578125" bestFit="1" customWidth="1" outlineLevel="1"/>
    <col min="3" max="3" width="10.85546875" style="246" bestFit="1" customWidth="1"/>
    <col min="4" max="6" width="10.28515625" hidden="1" customWidth="1" outlineLevel="1"/>
    <col min="7" max="7" width="10" customWidth="1" collapsed="1"/>
    <col min="8" max="10" width="10" customWidth="1"/>
    <col min="11" max="14" width="10.7109375" customWidth="1"/>
    <col min="15" max="15" width="12.28515625" customWidth="1"/>
    <col min="16" max="17" width="8.85546875" style="224" customWidth="1"/>
    <col min="18" max="18" width="7.28515625" style="245" customWidth="1"/>
    <col min="19" max="19" width="8" style="224" customWidth="1"/>
    <col min="21" max="21" width="11.28515625" bestFit="1" customWidth="1"/>
  </cols>
  <sheetData>
    <row r="1" spans="1:19" ht="19.5" thickBot="1" x14ac:dyDescent="0.35">
      <c r="A1" s="369" t="s">
        <v>102</v>
      </c>
      <c r="B1" s="326"/>
      <c r="C1" s="326"/>
      <c r="D1" s="326"/>
      <c r="E1" s="326"/>
      <c r="F1" s="326"/>
      <c r="G1" s="326"/>
      <c r="H1" s="326"/>
      <c r="I1" s="326"/>
      <c r="J1" s="326"/>
      <c r="K1" s="326"/>
      <c r="L1" s="326"/>
      <c r="M1" s="326"/>
      <c r="N1" s="326"/>
      <c r="O1" s="326"/>
      <c r="P1" s="326"/>
      <c r="Q1" s="326"/>
      <c r="R1" s="326"/>
      <c r="S1" s="326"/>
    </row>
    <row r="2" spans="1:19" ht="15.75" thickBot="1" x14ac:dyDescent="0.3">
      <c r="A2" s="413" t="s">
        <v>241</v>
      </c>
      <c r="B2" s="225"/>
    </row>
    <row r="3" spans="1:19" x14ac:dyDescent="0.25">
      <c r="A3" s="381" t="s">
        <v>174</v>
      </c>
      <c r="B3" s="382"/>
      <c r="C3" s="383" t="s">
        <v>163</v>
      </c>
      <c r="D3" s="384"/>
      <c r="E3" s="384"/>
      <c r="F3" s="385"/>
      <c r="G3" s="386" t="s">
        <v>164</v>
      </c>
      <c r="H3" s="387"/>
      <c r="I3" s="387"/>
      <c r="J3" s="388"/>
      <c r="K3" s="389" t="s">
        <v>173</v>
      </c>
      <c r="L3" s="390"/>
      <c r="M3" s="390"/>
      <c r="N3" s="390"/>
      <c r="O3" s="391"/>
      <c r="P3" s="387" t="s">
        <v>216</v>
      </c>
      <c r="Q3" s="387"/>
      <c r="R3" s="387"/>
      <c r="S3" s="388"/>
    </row>
    <row r="4" spans="1:19" ht="15.75" thickBot="1" x14ac:dyDescent="0.3">
      <c r="A4" s="361">
        <v>2019</v>
      </c>
      <c r="B4" s="362"/>
      <c r="C4" s="363" t="s">
        <v>215</v>
      </c>
      <c r="D4" s="365" t="s">
        <v>103</v>
      </c>
      <c r="E4" s="365" t="s">
        <v>71</v>
      </c>
      <c r="F4" s="367" t="s">
        <v>64</v>
      </c>
      <c r="G4" s="355" t="s">
        <v>165</v>
      </c>
      <c r="H4" s="357" t="s">
        <v>169</v>
      </c>
      <c r="I4" s="357" t="s">
        <v>214</v>
      </c>
      <c r="J4" s="359" t="s">
        <v>166</v>
      </c>
      <c r="K4" s="378" t="s">
        <v>213</v>
      </c>
      <c r="L4" s="379"/>
      <c r="M4" s="379"/>
      <c r="N4" s="380"/>
      <c r="O4" s="367" t="s">
        <v>212</v>
      </c>
      <c r="P4" s="370" t="s">
        <v>211</v>
      </c>
      <c r="Q4" s="370" t="s">
        <v>176</v>
      </c>
      <c r="R4" s="372" t="s">
        <v>71</v>
      </c>
      <c r="S4" s="374" t="s">
        <v>175</v>
      </c>
    </row>
    <row r="5" spans="1:19" s="280" customFormat="1" ht="19.149999999999999" customHeight="1" x14ac:dyDescent="0.25">
      <c r="A5" s="376" t="s">
        <v>210</v>
      </c>
      <c r="B5" s="377"/>
      <c r="C5" s="364"/>
      <c r="D5" s="366"/>
      <c r="E5" s="366"/>
      <c r="F5" s="368"/>
      <c r="G5" s="356"/>
      <c r="H5" s="358"/>
      <c r="I5" s="358"/>
      <c r="J5" s="360"/>
      <c r="K5" s="283" t="s">
        <v>167</v>
      </c>
      <c r="L5" s="282" t="s">
        <v>168</v>
      </c>
      <c r="M5" s="282" t="s">
        <v>209</v>
      </c>
      <c r="N5" s="281" t="s">
        <v>3</v>
      </c>
      <c r="O5" s="368"/>
      <c r="P5" s="371"/>
      <c r="Q5" s="371"/>
      <c r="R5" s="373"/>
      <c r="S5" s="375"/>
    </row>
    <row r="6" spans="1:19" ht="15.75" thickBot="1" x14ac:dyDescent="0.3">
      <c r="A6" s="353" t="s">
        <v>162</v>
      </c>
      <c r="B6" s="354"/>
      <c r="C6" s="279">
        <f ca="1">SUM(Tabulka[01 uv_sk])/2</f>
        <v>2.7249999999999992</v>
      </c>
      <c r="D6" s="277"/>
      <c r="E6" s="277"/>
      <c r="F6" s="276"/>
      <c r="G6" s="278">
        <f ca="1">SUM(Tabulka[05 h_vram])/2</f>
        <v>5076.3999999999996</v>
      </c>
      <c r="H6" s="277">
        <f ca="1">SUM(Tabulka[06 h_naduv])/2</f>
        <v>0</v>
      </c>
      <c r="I6" s="277">
        <f ca="1">SUM(Tabulka[07 h_nadzk])/2</f>
        <v>0</v>
      </c>
      <c r="J6" s="276">
        <f ca="1">SUM(Tabulka[08 h_oon])/2</f>
        <v>0</v>
      </c>
      <c r="K6" s="278">
        <f ca="1">SUM(Tabulka[09 m_kl])/2</f>
        <v>0</v>
      </c>
      <c r="L6" s="277">
        <f ca="1">SUM(Tabulka[10 m_gr])/2</f>
        <v>0</v>
      </c>
      <c r="M6" s="277">
        <f ca="1">SUM(Tabulka[11 m_jo])/2</f>
        <v>246586</v>
      </c>
      <c r="N6" s="277">
        <f ca="1">SUM(Tabulka[12 m_oc])/2</f>
        <v>246586</v>
      </c>
      <c r="O6" s="276">
        <f ca="1">SUM(Tabulka[13 m_sk])/2</f>
        <v>1689101</v>
      </c>
      <c r="P6" s="275">
        <f ca="1">SUM(Tabulka[14_vzsk])/2</f>
        <v>0</v>
      </c>
      <c r="Q6" s="275">
        <f ca="1">SUM(Tabulka[15_vzpl])/2</f>
        <v>7111.436950146629</v>
      </c>
      <c r="R6" s="274">
        <f ca="1">IF(Q6=0,0,P6/Q6)</f>
        <v>0</v>
      </c>
      <c r="S6" s="273">
        <f ca="1">Q6-P6</f>
        <v>7111.436950146629</v>
      </c>
    </row>
    <row r="7" spans="1:19" hidden="1" x14ac:dyDescent="0.25">
      <c r="A7" s="272" t="s">
        <v>208</v>
      </c>
      <c r="B7" s="271" t="s">
        <v>207</v>
      </c>
      <c r="C7" s="270" t="s">
        <v>206</v>
      </c>
      <c r="D7" s="269" t="s">
        <v>205</v>
      </c>
      <c r="E7" s="268" t="s">
        <v>204</v>
      </c>
      <c r="F7" s="267" t="s">
        <v>203</v>
      </c>
      <c r="G7" s="266" t="s">
        <v>202</v>
      </c>
      <c r="H7" s="264" t="s">
        <v>201</v>
      </c>
      <c r="I7" s="264" t="s">
        <v>200</v>
      </c>
      <c r="J7" s="263" t="s">
        <v>199</v>
      </c>
      <c r="K7" s="265" t="s">
        <v>198</v>
      </c>
      <c r="L7" s="264" t="s">
        <v>197</v>
      </c>
      <c r="M7" s="264" t="s">
        <v>196</v>
      </c>
      <c r="N7" s="263" t="s">
        <v>195</v>
      </c>
      <c r="O7" s="262" t="s">
        <v>194</v>
      </c>
      <c r="P7" s="261" t="s">
        <v>193</v>
      </c>
      <c r="Q7" s="260" t="s">
        <v>192</v>
      </c>
      <c r="R7" s="259" t="s">
        <v>191</v>
      </c>
      <c r="S7" s="258" t="s">
        <v>190</v>
      </c>
    </row>
    <row r="8" spans="1:19" x14ac:dyDescent="0.25">
      <c r="A8" s="255" t="s">
        <v>189</v>
      </c>
      <c r="B8" s="254"/>
      <c r="C8" s="24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1.9499999999999995</v>
      </c>
      <c r="D8" s="25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25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25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25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3623.5999999999995</v>
      </c>
      <c r="H8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8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8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8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8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237778</v>
      </c>
      <c r="N8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237778</v>
      </c>
      <c r="O8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1465738</v>
      </c>
      <c r="P8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8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7111.436950146629</v>
      </c>
      <c r="R8" s="257">
        <f ca="1">IF(Tabulka[[#This Row],[15_vzpl]]=0,"",Tabulka[[#This Row],[14_vzsk]]/Tabulka[[#This Row],[15_vzpl]])</f>
        <v>0</v>
      </c>
      <c r="S8" s="256">
        <f ca="1">IF(Tabulka[[#This Row],[15_vzpl]]-Tabulka[[#This Row],[14_vzsk]]=0,"",Tabulka[[#This Row],[15_vzpl]]-Tabulka[[#This Row],[14_vzsk]])</f>
        <v>7111.436950146629</v>
      </c>
    </row>
    <row r="9" spans="1:19" x14ac:dyDescent="0.25">
      <c r="A9" s="255">
        <v>99</v>
      </c>
      <c r="B9" s="254" t="s">
        <v>422</v>
      </c>
      <c r="C9" s="24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0.25</v>
      </c>
      <c r="D9" s="25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25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25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25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480</v>
      </c>
      <c r="H9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9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9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9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9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9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101463</v>
      </c>
      <c r="P9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9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7111.436950146629</v>
      </c>
      <c r="R9" s="257">
        <f ca="1">IF(Tabulka[[#This Row],[15_vzpl]]=0,"",Tabulka[[#This Row],[14_vzsk]]/Tabulka[[#This Row],[15_vzpl]])</f>
        <v>0</v>
      </c>
      <c r="S9" s="256">
        <f ca="1">IF(Tabulka[[#This Row],[15_vzpl]]-Tabulka[[#This Row],[14_vzsk]]=0,"",Tabulka[[#This Row],[15_vzpl]]-Tabulka[[#This Row],[14_vzsk]])</f>
        <v>7111.436950146629</v>
      </c>
    </row>
    <row r="10" spans="1:19" x14ac:dyDescent="0.25">
      <c r="A10" s="255">
        <v>101</v>
      </c>
      <c r="B10" s="254" t="s">
        <v>423</v>
      </c>
      <c r="C10" s="24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1.5</v>
      </c>
      <c r="D10" s="25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25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25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25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2762</v>
      </c>
      <c r="H10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0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0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0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237778</v>
      </c>
      <c r="N10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237778</v>
      </c>
      <c r="O10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1299236</v>
      </c>
      <c r="P10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0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0" s="257" t="str">
        <f ca="1">IF(Tabulka[[#This Row],[15_vzpl]]=0,"",Tabulka[[#This Row],[14_vzsk]]/Tabulka[[#This Row],[15_vzpl]])</f>
        <v/>
      </c>
      <c r="S10" s="256" t="str">
        <f ca="1">IF(Tabulka[[#This Row],[15_vzpl]]-Tabulka[[#This Row],[14_vzsk]]=0,"",Tabulka[[#This Row],[15_vzpl]]-Tabulka[[#This Row],[14_vzsk]])</f>
        <v/>
      </c>
    </row>
    <row r="11" spans="1:19" x14ac:dyDescent="0.25">
      <c r="A11" s="255">
        <v>203</v>
      </c>
      <c r="B11" s="254" t="s">
        <v>424</v>
      </c>
      <c r="C11" s="24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0.19999999999999998</v>
      </c>
      <c r="D11" s="25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25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25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25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381.6</v>
      </c>
      <c r="H11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1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1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1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1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1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1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65039</v>
      </c>
      <c r="P11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1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1" s="257" t="str">
        <f ca="1">IF(Tabulka[[#This Row],[15_vzpl]]=0,"",Tabulka[[#This Row],[14_vzsk]]/Tabulka[[#This Row],[15_vzpl]])</f>
        <v/>
      </c>
      <c r="S11" s="256" t="str">
        <f ca="1">IF(Tabulka[[#This Row],[15_vzpl]]-Tabulka[[#This Row],[14_vzsk]]=0,"",Tabulka[[#This Row],[15_vzpl]]-Tabulka[[#This Row],[14_vzsk]])</f>
        <v/>
      </c>
    </row>
    <row r="12" spans="1:19" x14ac:dyDescent="0.25">
      <c r="A12" s="255" t="s">
        <v>407</v>
      </c>
      <c r="B12" s="254"/>
      <c r="C12" s="24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4.9999999999999996E-2</v>
      </c>
      <c r="D12" s="25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25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25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25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91.200000000000017</v>
      </c>
      <c r="H12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2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2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2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2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948</v>
      </c>
      <c r="N12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948</v>
      </c>
      <c r="O12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33912</v>
      </c>
      <c r="P12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2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2" s="257" t="str">
        <f ca="1">IF(Tabulka[[#This Row],[15_vzpl]]=0,"",Tabulka[[#This Row],[14_vzsk]]/Tabulka[[#This Row],[15_vzpl]])</f>
        <v/>
      </c>
      <c r="S12" s="256" t="str">
        <f ca="1">IF(Tabulka[[#This Row],[15_vzpl]]-Tabulka[[#This Row],[14_vzsk]]=0,"",Tabulka[[#This Row],[15_vzpl]]-Tabulka[[#This Row],[14_vzsk]])</f>
        <v/>
      </c>
    </row>
    <row r="13" spans="1:19" x14ac:dyDescent="0.25">
      <c r="A13" s="255">
        <v>526</v>
      </c>
      <c r="B13" s="254" t="s">
        <v>425</v>
      </c>
      <c r="C13" s="24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4.9999999999999996E-2</v>
      </c>
      <c r="D13" s="25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25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25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25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91.200000000000017</v>
      </c>
      <c r="H13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3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3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3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3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948</v>
      </c>
      <c r="N13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948</v>
      </c>
      <c r="O13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33912</v>
      </c>
      <c r="P13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3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3" s="257" t="str">
        <f ca="1">IF(Tabulka[[#This Row],[15_vzpl]]=0,"",Tabulka[[#This Row],[14_vzsk]]/Tabulka[[#This Row],[15_vzpl]])</f>
        <v/>
      </c>
      <c r="S13" s="256" t="str">
        <f ca="1">IF(Tabulka[[#This Row],[15_vzpl]]-Tabulka[[#This Row],[14_vzsk]]=0,"",Tabulka[[#This Row],[15_vzpl]]-Tabulka[[#This Row],[14_vzsk]])</f>
        <v/>
      </c>
    </row>
    <row r="14" spans="1:19" x14ac:dyDescent="0.25">
      <c r="A14" s="255" t="s">
        <v>408</v>
      </c>
      <c r="B14" s="254"/>
      <c r="C14" s="24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0.72499999999999976</v>
      </c>
      <c r="D14" s="25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4" s="25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4" s="25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4" s="25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1361.6</v>
      </c>
      <c r="H14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4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4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4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4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4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7860</v>
      </c>
      <c r="N14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7860</v>
      </c>
      <c r="O14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189451</v>
      </c>
      <c r="P14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4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4" s="257" t="str">
        <f ca="1">IF(Tabulka[[#This Row],[15_vzpl]]=0,"",Tabulka[[#This Row],[14_vzsk]]/Tabulka[[#This Row],[15_vzpl]])</f>
        <v/>
      </c>
      <c r="S14" s="256" t="str">
        <f ca="1">IF(Tabulka[[#This Row],[15_vzpl]]-Tabulka[[#This Row],[14_vzsk]]=0,"",Tabulka[[#This Row],[15_vzpl]]-Tabulka[[#This Row],[14_vzsk]])</f>
        <v/>
      </c>
    </row>
    <row r="15" spans="1:19" x14ac:dyDescent="0.25">
      <c r="A15" s="255">
        <v>30</v>
      </c>
      <c r="B15" s="254" t="s">
        <v>426</v>
      </c>
      <c r="C15" s="24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0.72499999999999976</v>
      </c>
      <c r="D15" s="25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5" s="25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5" s="25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5" s="25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1361.6</v>
      </c>
      <c r="H15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5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5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5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5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5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7860</v>
      </c>
      <c r="N15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7860</v>
      </c>
      <c r="O15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189451</v>
      </c>
      <c r="P15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5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5" s="257" t="str">
        <f ca="1">IF(Tabulka[[#This Row],[15_vzpl]]=0,"",Tabulka[[#This Row],[14_vzsk]]/Tabulka[[#This Row],[15_vzpl]])</f>
        <v/>
      </c>
      <c r="S15" s="256" t="str">
        <f ca="1">IF(Tabulka[[#This Row],[15_vzpl]]-Tabulka[[#This Row],[14_vzsk]]=0,"",Tabulka[[#This Row],[15_vzpl]]-Tabulka[[#This Row],[14_vzsk]])</f>
        <v/>
      </c>
    </row>
    <row r="16" spans="1:19" x14ac:dyDescent="0.25">
      <c r="A16" t="s">
        <v>218</v>
      </c>
    </row>
    <row r="17" spans="1:1" x14ac:dyDescent="0.25">
      <c r="A17" s="110" t="s">
        <v>145</v>
      </c>
    </row>
    <row r="18" spans="1:1" x14ac:dyDescent="0.25">
      <c r="A18" s="111" t="s">
        <v>188</v>
      </c>
    </row>
    <row r="19" spans="1:1" x14ac:dyDescent="0.25">
      <c r="A19" s="247" t="s">
        <v>187</v>
      </c>
    </row>
    <row r="20" spans="1:1" x14ac:dyDescent="0.25">
      <c r="A20" s="227" t="s">
        <v>172</v>
      </c>
    </row>
    <row r="21" spans="1:1" x14ac:dyDescent="0.25">
      <c r="A21" s="229" t="s">
        <v>177</v>
      </c>
    </row>
  </sheetData>
  <mergeCells count="23"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</mergeCells>
  <conditionalFormatting sqref="S6:S15">
    <cfRule type="cellIs" dxfId="4" priority="3" operator="lessThan">
      <formula>0</formula>
    </cfRule>
  </conditionalFormatting>
  <conditionalFormatting sqref="R6:R15">
    <cfRule type="cellIs" dxfId="3" priority="4" operator="greaterThan">
      <formula>1</formula>
    </cfRule>
  </conditionalFormatting>
  <conditionalFormatting sqref="A8:S15">
    <cfRule type="expression" dxfId="2" priority="2">
      <formula>$B8=""</formula>
    </cfRule>
  </conditionalFormatting>
  <conditionalFormatting sqref="P8:S15">
    <cfRule type="expression" dxfId="1" priority="1">
      <formula>$B8&lt;&gt;""</formula>
    </cfRule>
  </conditionalFormatting>
  <dataValidations count="1">
    <dataValidation type="list" allowBlank="1" showInputMessage="1" showErrorMessage="1" sqref="A4:B4" xr:uid="{00000000-0002-0000-1A00-000000000000}">
      <formula1>Obdobi</formula1>
    </dataValidation>
  </dataValidations>
  <hyperlinks>
    <hyperlink ref="A2" location="Obsah!A1" display="Zpět na Obsah  KL 01  1.-4.měsíc" xr:uid="{D5A2D6A6-BD67-40F0-9090-7244A504D6C6}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List16">
    <tabColor theme="7" tint="0.39997558519241921"/>
  </sheetPr>
  <dimension ref="A1:S111"/>
  <sheetViews>
    <sheetView workbookViewId="0"/>
  </sheetViews>
  <sheetFormatPr defaultRowHeight="15" x14ac:dyDescent="0.25"/>
  <cols>
    <col min="1" max="1" width="9.42578125" customWidth="1"/>
    <col min="5" max="5" width="10.28515625" customWidth="1"/>
    <col min="6" max="6" width="11" customWidth="1"/>
    <col min="7" max="7" width="11.140625" customWidth="1"/>
    <col min="8" max="8" width="12.140625" customWidth="1"/>
    <col min="9" max="9" width="11.7109375" customWidth="1"/>
    <col min="10" max="10" width="12.7109375" customWidth="1"/>
    <col min="11" max="11" width="12.42578125" customWidth="1"/>
    <col min="12" max="12" width="10.7109375" customWidth="1"/>
    <col min="13" max="13" width="9.42578125" customWidth="1"/>
    <col min="14" max="15" width="9.7109375" customWidth="1"/>
    <col min="16" max="16" width="10" customWidth="1"/>
    <col min="17" max="17" width="9.7109375" customWidth="1"/>
    <col min="18" max="18" width="9.42578125" customWidth="1"/>
    <col min="19" max="19" width="9.28515625" customWidth="1"/>
  </cols>
  <sheetData>
    <row r="1" spans="1:19" x14ac:dyDescent="0.25">
      <c r="A1" t="s">
        <v>421</v>
      </c>
    </row>
    <row r="2" spans="1:19" x14ac:dyDescent="0.25">
      <c r="A2" s="413" t="s">
        <v>241</v>
      </c>
    </row>
    <row r="3" spans="1:19" x14ac:dyDescent="0.25">
      <c r="A3" s="293" t="s">
        <v>149</v>
      </c>
      <c r="B3" s="292">
        <v>2019</v>
      </c>
      <c r="C3" t="s">
        <v>217</v>
      </c>
      <c r="D3" t="s">
        <v>208</v>
      </c>
      <c r="E3" t="s">
        <v>206</v>
      </c>
      <c r="F3" t="s">
        <v>205</v>
      </c>
      <c r="G3" t="s">
        <v>204</v>
      </c>
      <c r="H3" t="s">
        <v>203</v>
      </c>
      <c r="I3" t="s">
        <v>202</v>
      </c>
      <c r="J3" t="s">
        <v>201</v>
      </c>
      <c r="K3" t="s">
        <v>200</v>
      </c>
      <c r="L3" t="s">
        <v>199</v>
      </c>
      <c r="M3" t="s">
        <v>198</v>
      </c>
      <c r="N3" t="s">
        <v>197</v>
      </c>
      <c r="O3" t="s">
        <v>196</v>
      </c>
      <c r="P3" t="s">
        <v>195</v>
      </c>
      <c r="Q3" t="s">
        <v>194</v>
      </c>
      <c r="R3" t="s">
        <v>193</v>
      </c>
      <c r="S3" t="s">
        <v>192</v>
      </c>
    </row>
    <row r="4" spans="1:19" x14ac:dyDescent="0.25">
      <c r="A4" s="291" t="s">
        <v>150</v>
      </c>
      <c r="B4" s="290">
        <v>1</v>
      </c>
      <c r="C4" s="285">
        <v>1</v>
      </c>
      <c r="D4" s="285" t="s">
        <v>189</v>
      </c>
      <c r="E4" s="284">
        <v>1.7</v>
      </c>
      <c r="F4" s="284"/>
      <c r="G4" s="284"/>
      <c r="H4" s="284"/>
      <c r="I4" s="284">
        <v>272.8</v>
      </c>
      <c r="J4" s="284"/>
      <c r="K4" s="284"/>
      <c r="L4" s="284"/>
      <c r="M4" s="284"/>
      <c r="N4" s="284"/>
      <c r="O4" s="284"/>
      <c r="P4" s="284"/>
      <c r="Q4" s="284">
        <v>97191</v>
      </c>
      <c r="R4" s="284"/>
      <c r="S4" s="284">
        <v>592.6197458455523</v>
      </c>
    </row>
    <row r="5" spans="1:19" x14ac:dyDescent="0.25">
      <c r="A5" s="289" t="s">
        <v>151</v>
      </c>
      <c r="B5" s="288">
        <v>2</v>
      </c>
      <c r="C5">
        <v>1</v>
      </c>
      <c r="D5">
        <v>99</v>
      </c>
      <c r="S5">
        <v>592.6197458455523</v>
      </c>
    </row>
    <row r="6" spans="1:19" x14ac:dyDescent="0.25">
      <c r="A6" s="291" t="s">
        <v>152</v>
      </c>
      <c r="B6" s="290">
        <v>3</v>
      </c>
      <c r="C6">
        <v>1</v>
      </c>
      <c r="D6">
        <v>101</v>
      </c>
      <c r="E6">
        <v>1.5</v>
      </c>
      <c r="I6">
        <v>236</v>
      </c>
      <c r="Q6">
        <v>91795</v>
      </c>
    </row>
    <row r="7" spans="1:19" x14ac:dyDescent="0.25">
      <c r="A7" s="289" t="s">
        <v>153</v>
      </c>
      <c r="B7" s="288">
        <v>4</v>
      </c>
      <c r="C7">
        <v>1</v>
      </c>
      <c r="D7">
        <v>203</v>
      </c>
      <c r="E7">
        <v>0.2</v>
      </c>
      <c r="I7">
        <v>36.799999999999997</v>
      </c>
      <c r="Q7">
        <v>5396</v>
      </c>
    </row>
    <row r="8" spans="1:19" x14ac:dyDescent="0.25">
      <c r="A8" s="291" t="s">
        <v>154</v>
      </c>
      <c r="B8" s="290">
        <v>5</v>
      </c>
      <c r="C8">
        <v>1</v>
      </c>
      <c r="D8" t="s">
        <v>407</v>
      </c>
      <c r="E8">
        <v>0.05</v>
      </c>
      <c r="I8">
        <v>7.2</v>
      </c>
      <c r="Q8">
        <v>2776</v>
      </c>
    </row>
    <row r="9" spans="1:19" x14ac:dyDescent="0.25">
      <c r="A9" s="289" t="s">
        <v>155</v>
      </c>
      <c r="B9" s="288">
        <v>6</v>
      </c>
      <c r="C9">
        <v>1</v>
      </c>
      <c r="D9">
        <v>526</v>
      </c>
      <c r="E9">
        <v>0.05</v>
      </c>
      <c r="I9">
        <v>7.2</v>
      </c>
      <c r="Q9">
        <v>2776</v>
      </c>
    </row>
    <row r="10" spans="1:19" x14ac:dyDescent="0.25">
      <c r="A10" s="291" t="s">
        <v>156</v>
      </c>
      <c r="B10" s="290">
        <v>7</v>
      </c>
      <c r="C10">
        <v>1</v>
      </c>
      <c r="D10" t="s">
        <v>408</v>
      </c>
      <c r="E10">
        <v>0.6</v>
      </c>
      <c r="I10">
        <v>106.4</v>
      </c>
      <c r="Q10">
        <v>11828</v>
      </c>
    </row>
    <row r="11" spans="1:19" x14ac:dyDescent="0.25">
      <c r="A11" s="289" t="s">
        <v>157</v>
      </c>
      <c r="B11" s="288">
        <v>8</v>
      </c>
      <c r="C11">
        <v>1</v>
      </c>
      <c r="D11">
        <v>30</v>
      </c>
      <c r="E11">
        <v>0.6</v>
      </c>
      <c r="I11">
        <v>106.4</v>
      </c>
      <c r="Q11">
        <v>11828</v>
      </c>
    </row>
    <row r="12" spans="1:19" x14ac:dyDescent="0.25">
      <c r="A12" s="291" t="s">
        <v>158</v>
      </c>
      <c r="B12" s="290">
        <v>9</v>
      </c>
      <c r="C12" t="s">
        <v>409</v>
      </c>
      <c r="E12">
        <v>2.35</v>
      </c>
      <c r="I12">
        <v>386.4</v>
      </c>
      <c r="Q12">
        <v>111795</v>
      </c>
      <c r="S12">
        <v>592.6197458455523</v>
      </c>
    </row>
    <row r="13" spans="1:19" x14ac:dyDescent="0.25">
      <c r="A13" s="289" t="s">
        <v>159</v>
      </c>
      <c r="B13" s="288">
        <v>10</v>
      </c>
      <c r="C13">
        <v>2</v>
      </c>
      <c r="D13" t="s">
        <v>189</v>
      </c>
      <c r="E13">
        <v>1.7</v>
      </c>
      <c r="I13">
        <v>260</v>
      </c>
      <c r="Q13">
        <v>96028</v>
      </c>
      <c r="S13">
        <v>592.6197458455523</v>
      </c>
    </row>
    <row r="14" spans="1:19" x14ac:dyDescent="0.25">
      <c r="A14" s="291" t="s">
        <v>160</v>
      </c>
      <c r="B14" s="290">
        <v>11</v>
      </c>
      <c r="C14">
        <v>2</v>
      </c>
      <c r="D14">
        <v>99</v>
      </c>
      <c r="S14">
        <v>592.6197458455523</v>
      </c>
    </row>
    <row r="15" spans="1:19" x14ac:dyDescent="0.25">
      <c r="A15" s="289" t="s">
        <v>161</v>
      </c>
      <c r="B15" s="288">
        <v>12</v>
      </c>
      <c r="C15">
        <v>2</v>
      </c>
      <c r="D15">
        <v>101</v>
      </c>
      <c r="E15">
        <v>1.5</v>
      </c>
      <c r="I15">
        <v>228</v>
      </c>
      <c r="Q15">
        <v>90632</v>
      </c>
    </row>
    <row r="16" spans="1:19" x14ac:dyDescent="0.25">
      <c r="A16" s="287" t="s">
        <v>149</v>
      </c>
      <c r="B16" s="286">
        <v>2019</v>
      </c>
      <c r="C16">
        <v>2</v>
      </c>
      <c r="D16">
        <v>203</v>
      </c>
      <c r="E16">
        <v>0.2</v>
      </c>
      <c r="I16">
        <v>32</v>
      </c>
      <c r="Q16">
        <v>5396</v>
      </c>
    </row>
    <row r="17" spans="3:19" x14ac:dyDescent="0.25">
      <c r="C17">
        <v>2</v>
      </c>
      <c r="D17" t="s">
        <v>407</v>
      </c>
      <c r="E17">
        <v>0.05</v>
      </c>
      <c r="I17">
        <v>7.6</v>
      </c>
      <c r="Q17">
        <v>2729</v>
      </c>
    </row>
    <row r="18" spans="3:19" x14ac:dyDescent="0.25">
      <c r="C18">
        <v>2</v>
      </c>
      <c r="D18">
        <v>526</v>
      </c>
      <c r="E18">
        <v>0.05</v>
      </c>
      <c r="I18">
        <v>7.6</v>
      </c>
      <c r="Q18">
        <v>2729</v>
      </c>
    </row>
    <row r="19" spans="3:19" x14ac:dyDescent="0.25">
      <c r="C19">
        <v>2</v>
      </c>
      <c r="D19" t="s">
        <v>408</v>
      </c>
      <c r="E19">
        <v>0.6</v>
      </c>
      <c r="I19">
        <v>96</v>
      </c>
      <c r="Q19">
        <v>13325</v>
      </c>
    </row>
    <row r="20" spans="3:19" x14ac:dyDescent="0.25">
      <c r="C20">
        <v>2</v>
      </c>
      <c r="D20">
        <v>30</v>
      </c>
      <c r="E20">
        <v>0.6</v>
      </c>
      <c r="I20">
        <v>96</v>
      </c>
      <c r="Q20">
        <v>13325</v>
      </c>
    </row>
    <row r="21" spans="3:19" x14ac:dyDescent="0.25">
      <c r="C21" t="s">
        <v>410</v>
      </c>
      <c r="E21">
        <v>2.35</v>
      </c>
      <c r="I21">
        <v>363.6</v>
      </c>
      <c r="Q21">
        <v>112082</v>
      </c>
      <c r="S21">
        <v>592.6197458455523</v>
      </c>
    </row>
    <row r="22" spans="3:19" x14ac:dyDescent="0.25">
      <c r="C22">
        <v>3</v>
      </c>
      <c r="D22" t="s">
        <v>189</v>
      </c>
      <c r="E22">
        <v>1.7</v>
      </c>
      <c r="I22">
        <v>269.60000000000002</v>
      </c>
      <c r="Q22">
        <v>93014</v>
      </c>
      <c r="S22">
        <v>592.6197458455523</v>
      </c>
    </row>
    <row r="23" spans="3:19" x14ac:dyDescent="0.25">
      <c r="C23">
        <v>3</v>
      </c>
      <c r="D23">
        <v>99</v>
      </c>
      <c r="S23">
        <v>592.6197458455523</v>
      </c>
    </row>
    <row r="24" spans="3:19" x14ac:dyDescent="0.25">
      <c r="C24">
        <v>3</v>
      </c>
      <c r="D24">
        <v>101</v>
      </c>
      <c r="E24">
        <v>1.5</v>
      </c>
      <c r="I24">
        <v>236</v>
      </c>
      <c r="Q24">
        <v>87618</v>
      </c>
    </row>
    <row r="25" spans="3:19" x14ac:dyDescent="0.25">
      <c r="C25">
        <v>3</v>
      </c>
      <c r="D25">
        <v>203</v>
      </c>
      <c r="E25">
        <v>0.2</v>
      </c>
      <c r="I25">
        <v>33.6</v>
      </c>
      <c r="Q25">
        <v>5396</v>
      </c>
    </row>
    <row r="26" spans="3:19" x14ac:dyDescent="0.25">
      <c r="C26">
        <v>3</v>
      </c>
      <c r="D26" t="s">
        <v>407</v>
      </c>
      <c r="E26">
        <v>0.05</v>
      </c>
      <c r="I26">
        <v>8.4</v>
      </c>
      <c r="Q26">
        <v>2738</v>
      </c>
    </row>
    <row r="27" spans="3:19" x14ac:dyDescent="0.25">
      <c r="C27">
        <v>3</v>
      </c>
      <c r="D27">
        <v>526</v>
      </c>
      <c r="E27">
        <v>0.05</v>
      </c>
      <c r="I27">
        <v>8.4</v>
      </c>
      <c r="Q27">
        <v>2738</v>
      </c>
    </row>
    <row r="28" spans="3:19" x14ac:dyDescent="0.25">
      <c r="C28">
        <v>3</v>
      </c>
      <c r="D28" t="s">
        <v>408</v>
      </c>
      <c r="E28">
        <v>0.6</v>
      </c>
      <c r="I28">
        <v>100.8</v>
      </c>
      <c r="Q28">
        <v>13325</v>
      </c>
    </row>
    <row r="29" spans="3:19" x14ac:dyDescent="0.25">
      <c r="C29">
        <v>3</v>
      </c>
      <c r="D29">
        <v>30</v>
      </c>
      <c r="E29">
        <v>0.6</v>
      </c>
      <c r="I29">
        <v>100.8</v>
      </c>
      <c r="Q29">
        <v>13325</v>
      </c>
    </row>
    <row r="30" spans="3:19" x14ac:dyDescent="0.25">
      <c r="C30" t="s">
        <v>411</v>
      </c>
      <c r="E30">
        <v>2.35</v>
      </c>
      <c r="I30">
        <v>378.8</v>
      </c>
      <c r="Q30">
        <v>109077</v>
      </c>
      <c r="S30">
        <v>592.6197458455523</v>
      </c>
    </row>
    <row r="31" spans="3:19" x14ac:dyDescent="0.25">
      <c r="C31">
        <v>4</v>
      </c>
      <c r="D31" t="s">
        <v>189</v>
      </c>
      <c r="E31">
        <v>1.7</v>
      </c>
      <c r="I31">
        <v>299.2</v>
      </c>
      <c r="Q31">
        <v>93186</v>
      </c>
      <c r="S31">
        <v>592.6197458455523</v>
      </c>
    </row>
    <row r="32" spans="3:19" x14ac:dyDescent="0.25">
      <c r="C32">
        <v>4</v>
      </c>
      <c r="D32">
        <v>99</v>
      </c>
      <c r="S32">
        <v>592.6197458455523</v>
      </c>
    </row>
    <row r="33" spans="3:19" x14ac:dyDescent="0.25">
      <c r="C33">
        <v>4</v>
      </c>
      <c r="D33">
        <v>101</v>
      </c>
      <c r="E33">
        <v>1.5</v>
      </c>
      <c r="I33">
        <v>264</v>
      </c>
      <c r="Q33">
        <v>87790</v>
      </c>
    </row>
    <row r="34" spans="3:19" x14ac:dyDescent="0.25">
      <c r="C34">
        <v>4</v>
      </c>
      <c r="D34">
        <v>203</v>
      </c>
      <c r="E34">
        <v>0.2</v>
      </c>
      <c r="I34">
        <v>35.200000000000003</v>
      </c>
      <c r="Q34">
        <v>5396</v>
      </c>
    </row>
    <row r="35" spans="3:19" x14ac:dyDescent="0.25">
      <c r="C35">
        <v>4</v>
      </c>
      <c r="D35" t="s">
        <v>407</v>
      </c>
      <c r="E35">
        <v>0.05</v>
      </c>
      <c r="I35">
        <v>8.8000000000000007</v>
      </c>
      <c r="Q35">
        <v>2738</v>
      </c>
    </row>
    <row r="36" spans="3:19" x14ac:dyDescent="0.25">
      <c r="C36">
        <v>4</v>
      </c>
      <c r="D36">
        <v>526</v>
      </c>
      <c r="E36">
        <v>0.05</v>
      </c>
      <c r="I36">
        <v>8.8000000000000007</v>
      </c>
      <c r="Q36">
        <v>2738</v>
      </c>
    </row>
    <row r="37" spans="3:19" x14ac:dyDescent="0.25">
      <c r="C37">
        <v>4</v>
      </c>
      <c r="D37" t="s">
        <v>408</v>
      </c>
      <c r="E37">
        <v>1.1000000000000001</v>
      </c>
      <c r="I37">
        <v>193.6</v>
      </c>
      <c r="Q37">
        <v>22310</v>
      </c>
    </row>
    <row r="38" spans="3:19" x14ac:dyDescent="0.25">
      <c r="C38">
        <v>4</v>
      </c>
      <c r="D38">
        <v>30</v>
      </c>
      <c r="E38">
        <v>1.1000000000000001</v>
      </c>
      <c r="I38">
        <v>193.6</v>
      </c>
      <c r="Q38">
        <v>22310</v>
      </c>
    </row>
    <row r="39" spans="3:19" x14ac:dyDescent="0.25">
      <c r="C39" t="s">
        <v>412</v>
      </c>
      <c r="E39">
        <v>2.85</v>
      </c>
      <c r="I39">
        <v>501.6</v>
      </c>
      <c r="Q39">
        <v>118234</v>
      </c>
      <c r="S39">
        <v>592.6197458455523</v>
      </c>
    </row>
    <row r="40" spans="3:19" x14ac:dyDescent="0.25">
      <c r="C40">
        <v>5</v>
      </c>
      <c r="D40" t="s">
        <v>189</v>
      </c>
      <c r="E40">
        <v>1.7</v>
      </c>
      <c r="I40">
        <v>292.8</v>
      </c>
      <c r="Q40">
        <v>95730</v>
      </c>
      <c r="S40">
        <v>592.6197458455523</v>
      </c>
    </row>
    <row r="41" spans="3:19" x14ac:dyDescent="0.25">
      <c r="C41">
        <v>5</v>
      </c>
      <c r="D41">
        <v>99</v>
      </c>
      <c r="S41">
        <v>592.6197458455523</v>
      </c>
    </row>
    <row r="42" spans="3:19" x14ac:dyDescent="0.25">
      <c r="C42">
        <v>5</v>
      </c>
      <c r="D42">
        <v>101</v>
      </c>
      <c r="E42">
        <v>1.5</v>
      </c>
      <c r="I42">
        <v>256</v>
      </c>
      <c r="Q42">
        <v>90334</v>
      </c>
    </row>
    <row r="43" spans="3:19" x14ac:dyDescent="0.25">
      <c r="C43">
        <v>5</v>
      </c>
      <c r="D43">
        <v>203</v>
      </c>
      <c r="E43">
        <v>0.2</v>
      </c>
      <c r="I43">
        <v>36.799999999999997</v>
      </c>
      <c r="Q43">
        <v>5396</v>
      </c>
    </row>
    <row r="44" spans="3:19" x14ac:dyDescent="0.25">
      <c r="C44">
        <v>5</v>
      </c>
      <c r="D44" t="s">
        <v>407</v>
      </c>
      <c r="E44">
        <v>0.05</v>
      </c>
      <c r="I44">
        <v>9.1999999999999993</v>
      </c>
      <c r="Q44">
        <v>2738</v>
      </c>
    </row>
    <row r="45" spans="3:19" x14ac:dyDescent="0.25">
      <c r="C45">
        <v>5</v>
      </c>
      <c r="D45">
        <v>526</v>
      </c>
      <c r="E45">
        <v>0.05</v>
      </c>
      <c r="I45">
        <v>9.1999999999999993</v>
      </c>
      <c r="Q45">
        <v>2738</v>
      </c>
    </row>
    <row r="46" spans="3:19" x14ac:dyDescent="0.25">
      <c r="C46">
        <v>5</v>
      </c>
      <c r="D46" t="s">
        <v>408</v>
      </c>
      <c r="E46">
        <v>1.1000000000000001</v>
      </c>
      <c r="I46">
        <v>158.4</v>
      </c>
      <c r="Q46">
        <v>23198</v>
      </c>
    </row>
    <row r="47" spans="3:19" x14ac:dyDescent="0.25">
      <c r="C47">
        <v>5</v>
      </c>
      <c r="D47">
        <v>30</v>
      </c>
      <c r="E47">
        <v>1.1000000000000001</v>
      </c>
      <c r="I47">
        <v>158.4</v>
      </c>
      <c r="Q47">
        <v>23198</v>
      </c>
    </row>
    <row r="48" spans="3:19" x14ac:dyDescent="0.25">
      <c r="C48" t="s">
        <v>413</v>
      </c>
      <c r="E48">
        <v>2.85</v>
      </c>
      <c r="I48">
        <v>460.4</v>
      </c>
      <c r="Q48">
        <v>121666</v>
      </c>
      <c r="S48">
        <v>592.6197458455523</v>
      </c>
    </row>
    <row r="49" spans="3:19" x14ac:dyDescent="0.25">
      <c r="C49">
        <v>6</v>
      </c>
      <c r="D49" t="s">
        <v>189</v>
      </c>
      <c r="E49">
        <v>1.7</v>
      </c>
      <c r="I49">
        <v>272</v>
      </c>
      <c r="Q49">
        <v>93186</v>
      </c>
      <c r="S49">
        <v>592.6197458455523</v>
      </c>
    </row>
    <row r="50" spans="3:19" x14ac:dyDescent="0.25">
      <c r="C50">
        <v>6</v>
      </c>
      <c r="D50">
        <v>99</v>
      </c>
      <c r="S50">
        <v>592.6197458455523</v>
      </c>
    </row>
    <row r="51" spans="3:19" x14ac:dyDescent="0.25">
      <c r="C51">
        <v>6</v>
      </c>
      <c r="D51">
        <v>101</v>
      </c>
      <c r="E51">
        <v>1.5</v>
      </c>
      <c r="I51">
        <v>240</v>
      </c>
      <c r="Q51">
        <v>87790</v>
      </c>
    </row>
    <row r="52" spans="3:19" x14ac:dyDescent="0.25">
      <c r="C52">
        <v>6</v>
      </c>
      <c r="D52">
        <v>203</v>
      </c>
      <c r="E52">
        <v>0.2</v>
      </c>
      <c r="I52">
        <v>32</v>
      </c>
      <c r="Q52">
        <v>5396</v>
      </c>
    </row>
    <row r="53" spans="3:19" x14ac:dyDescent="0.25">
      <c r="C53">
        <v>6</v>
      </c>
      <c r="D53" t="s">
        <v>407</v>
      </c>
      <c r="E53">
        <v>0.05</v>
      </c>
      <c r="I53">
        <v>8</v>
      </c>
      <c r="Q53">
        <v>2738</v>
      </c>
    </row>
    <row r="54" spans="3:19" x14ac:dyDescent="0.25">
      <c r="C54">
        <v>6</v>
      </c>
      <c r="D54">
        <v>526</v>
      </c>
      <c r="E54">
        <v>0.05</v>
      </c>
      <c r="I54">
        <v>8</v>
      </c>
      <c r="Q54">
        <v>2738</v>
      </c>
    </row>
    <row r="55" spans="3:19" x14ac:dyDescent="0.25">
      <c r="C55">
        <v>6</v>
      </c>
      <c r="D55" t="s">
        <v>408</v>
      </c>
      <c r="E55">
        <v>1.1000000000000001</v>
      </c>
      <c r="I55">
        <v>164</v>
      </c>
      <c r="Q55">
        <v>26821</v>
      </c>
    </row>
    <row r="56" spans="3:19" x14ac:dyDescent="0.25">
      <c r="C56">
        <v>6</v>
      </c>
      <c r="D56">
        <v>30</v>
      </c>
      <c r="E56">
        <v>1.1000000000000001</v>
      </c>
      <c r="I56">
        <v>164</v>
      </c>
      <c r="Q56">
        <v>26821</v>
      </c>
    </row>
    <row r="57" spans="3:19" x14ac:dyDescent="0.25">
      <c r="C57" t="s">
        <v>414</v>
      </c>
      <c r="E57">
        <v>2.85</v>
      </c>
      <c r="I57">
        <v>444</v>
      </c>
      <c r="Q57">
        <v>122745</v>
      </c>
      <c r="S57">
        <v>592.6197458455523</v>
      </c>
    </row>
    <row r="58" spans="3:19" x14ac:dyDescent="0.25">
      <c r="C58">
        <v>7</v>
      </c>
      <c r="D58" t="s">
        <v>189</v>
      </c>
      <c r="E58">
        <v>1.7</v>
      </c>
      <c r="I58">
        <v>224.8</v>
      </c>
      <c r="O58">
        <v>112898</v>
      </c>
      <c r="P58">
        <v>112898</v>
      </c>
      <c r="Q58">
        <v>208248</v>
      </c>
      <c r="S58">
        <v>592.6197458455523</v>
      </c>
    </row>
    <row r="59" spans="3:19" x14ac:dyDescent="0.25">
      <c r="C59">
        <v>7</v>
      </c>
      <c r="D59">
        <v>99</v>
      </c>
      <c r="S59">
        <v>592.6197458455523</v>
      </c>
    </row>
    <row r="60" spans="3:19" x14ac:dyDescent="0.25">
      <c r="C60">
        <v>7</v>
      </c>
      <c r="D60">
        <v>101</v>
      </c>
      <c r="E60">
        <v>1.5</v>
      </c>
      <c r="I60">
        <v>188</v>
      </c>
      <c r="O60">
        <v>112898</v>
      </c>
      <c r="P60">
        <v>112898</v>
      </c>
      <c r="Q60">
        <v>202602</v>
      </c>
    </row>
    <row r="61" spans="3:19" x14ac:dyDescent="0.25">
      <c r="C61">
        <v>7</v>
      </c>
      <c r="D61">
        <v>203</v>
      </c>
      <c r="E61">
        <v>0.2</v>
      </c>
      <c r="I61">
        <v>36.799999999999997</v>
      </c>
      <c r="Q61">
        <v>5646</v>
      </c>
    </row>
    <row r="62" spans="3:19" x14ac:dyDescent="0.25">
      <c r="C62">
        <v>7</v>
      </c>
      <c r="D62" t="s">
        <v>407</v>
      </c>
      <c r="E62">
        <v>0.05</v>
      </c>
      <c r="I62">
        <v>5.2</v>
      </c>
      <c r="O62">
        <v>505</v>
      </c>
      <c r="P62">
        <v>505</v>
      </c>
      <c r="Q62">
        <v>3317</v>
      </c>
    </row>
    <row r="63" spans="3:19" x14ac:dyDescent="0.25">
      <c r="C63">
        <v>7</v>
      </c>
      <c r="D63">
        <v>526</v>
      </c>
      <c r="E63">
        <v>0.05</v>
      </c>
      <c r="I63">
        <v>5.2</v>
      </c>
      <c r="O63">
        <v>505</v>
      </c>
      <c r="P63">
        <v>505</v>
      </c>
      <c r="Q63">
        <v>3317</v>
      </c>
    </row>
    <row r="64" spans="3:19" x14ac:dyDescent="0.25">
      <c r="C64">
        <v>7</v>
      </c>
      <c r="D64" t="s">
        <v>408</v>
      </c>
      <c r="E64">
        <v>0.6</v>
      </c>
      <c r="I64">
        <v>94.4</v>
      </c>
      <c r="O64">
        <v>3953</v>
      </c>
      <c r="P64">
        <v>3953</v>
      </c>
      <c r="Q64">
        <v>15958</v>
      </c>
    </row>
    <row r="65" spans="3:19" x14ac:dyDescent="0.25">
      <c r="C65">
        <v>7</v>
      </c>
      <c r="D65">
        <v>30</v>
      </c>
      <c r="E65">
        <v>0.6</v>
      </c>
      <c r="I65">
        <v>94.4</v>
      </c>
      <c r="O65">
        <v>3953</v>
      </c>
      <c r="P65">
        <v>3953</v>
      </c>
      <c r="Q65">
        <v>15958</v>
      </c>
    </row>
    <row r="66" spans="3:19" x14ac:dyDescent="0.25">
      <c r="C66" t="s">
        <v>415</v>
      </c>
      <c r="E66">
        <v>2.35</v>
      </c>
      <c r="I66">
        <v>324.39999999999998</v>
      </c>
      <c r="O66">
        <v>117356</v>
      </c>
      <c r="P66">
        <v>117356</v>
      </c>
      <c r="Q66">
        <v>227523</v>
      </c>
      <c r="S66">
        <v>592.6197458455523</v>
      </c>
    </row>
    <row r="67" spans="3:19" x14ac:dyDescent="0.25">
      <c r="C67">
        <v>8</v>
      </c>
      <c r="D67" t="s">
        <v>189</v>
      </c>
      <c r="E67">
        <v>1.7</v>
      </c>
      <c r="I67">
        <v>175.2</v>
      </c>
      <c r="Q67">
        <v>93783</v>
      </c>
      <c r="S67">
        <v>592.6197458455523</v>
      </c>
    </row>
    <row r="68" spans="3:19" x14ac:dyDescent="0.25">
      <c r="C68">
        <v>8</v>
      </c>
      <c r="D68">
        <v>99</v>
      </c>
      <c r="S68">
        <v>592.6197458455523</v>
      </c>
    </row>
    <row r="69" spans="3:19" x14ac:dyDescent="0.25">
      <c r="C69">
        <v>8</v>
      </c>
      <c r="D69">
        <v>101</v>
      </c>
      <c r="E69">
        <v>1.5</v>
      </c>
      <c r="I69">
        <v>156</v>
      </c>
      <c r="Q69">
        <v>88348</v>
      </c>
    </row>
    <row r="70" spans="3:19" x14ac:dyDescent="0.25">
      <c r="C70">
        <v>8</v>
      </c>
      <c r="D70">
        <v>203</v>
      </c>
      <c r="E70">
        <v>0.2</v>
      </c>
      <c r="I70">
        <v>19.2</v>
      </c>
      <c r="Q70">
        <v>5435</v>
      </c>
    </row>
    <row r="71" spans="3:19" x14ac:dyDescent="0.25">
      <c r="C71">
        <v>8</v>
      </c>
      <c r="D71" t="s">
        <v>407</v>
      </c>
      <c r="E71">
        <v>0.05</v>
      </c>
      <c r="I71">
        <v>4</v>
      </c>
      <c r="Q71">
        <v>2762</v>
      </c>
    </row>
    <row r="72" spans="3:19" x14ac:dyDescent="0.25">
      <c r="C72">
        <v>8</v>
      </c>
      <c r="D72">
        <v>526</v>
      </c>
      <c r="E72">
        <v>0.05</v>
      </c>
      <c r="I72">
        <v>4</v>
      </c>
      <c r="Q72">
        <v>2762</v>
      </c>
    </row>
    <row r="73" spans="3:19" x14ac:dyDescent="0.25">
      <c r="C73">
        <v>8</v>
      </c>
      <c r="D73" t="s">
        <v>408</v>
      </c>
      <c r="E73">
        <v>0.6</v>
      </c>
      <c r="I73">
        <v>59.2</v>
      </c>
      <c r="Q73">
        <v>11970</v>
      </c>
    </row>
    <row r="74" spans="3:19" x14ac:dyDescent="0.25">
      <c r="C74">
        <v>8</v>
      </c>
      <c r="D74">
        <v>30</v>
      </c>
      <c r="E74">
        <v>0.6</v>
      </c>
      <c r="I74">
        <v>59.2</v>
      </c>
      <c r="Q74">
        <v>11970</v>
      </c>
    </row>
    <row r="75" spans="3:19" x14ac:dyDescent="0.25">
      <c r="C75" t="s">
        <v>416</v>
      </c>
      <c r="E75">
        <v>2.35</v>
      </c>
      <c r="I75">
        <v>238.39999999999998</v>
      </c>
      <c r="Q75">
        <v>108515</v>
      </c>
      <c r="S75">
        <v>592.6197458455523</v>
      </c>
    </row>
    <row r="76" spans="3:19" x14ac:dyDescent="0.25">
      <c r="C76">
        <v>9</v>
      </c>
      <c r="D76" t="s">
        <v>189</v>
      </c>
      <c r="E76">
        <v>1.7</v>
      </c>
      <c r="I76">
        <v>280</v>
      </c>
      <c r="Q76">
        <v>93145</v>
      </c>
      <c r="S76">
        <v>592.6197458455523</v>
      </c>
    </row>
    <row r="77" spans="3:19" x14ac:dyDescent="0.25">
      <c r="C77">
        <v>9</v>
      </c>
      <c r="D77">
        <v>99</v>
      </c>
      <c r="S77">
        <v>592.6197458455523</v>
      </c>
    </row>
    <row r="78" spans="3:19" x14ac:dyDescent="0.25">
      <c r="C78">
        <v>9</v>
      </c>
      <c r="D78">
        <v>101</v>
      </c>
      <c r="E78">
        <v>1.5</v>
      </c>
      <c r="I78">
        <v>248</v>
      </c>
      <c r="Q78">
        <v>87756</v>
      </c>
    </row>
    <row r="79" spans="3:19" x14ac:dyDescent="0.25">
      <c r="C79">
        <v>9</v>
      </c>
      <c r="D79">
        <v>203</v>
      </c>
      <c r="E79">
        <v>0.2</v>
      </c>
      <c r="I79">
        <v>32</v>
      </c>
      <c r="Q79">
        <v>5389</v>
      </c>
    </row>
    <row r="80" spans="3:19" x14ac:dyDescent="0.25">
      <c r="C80">
        <v>9</v>
      </c>
      <c r="D80" t="s">
        <v>407</v>
      </c>
      <c r="E80">
        <v>0.05</v>
      </c>
      <c r="I80">
        <v>6.4</v>
      </c>
      <c r="Q80">
        <v>2719</v>
      </c>
    </row>
    <row r="81" spans="3:19" x14ac:dyDescent="0.25">
      <c r="C81">
        <v>9</v>
      </c>
      <c r="D81">
        <v>526</v>
      </c>
      <c r="E81">
        <v>0.05</v>
      </c>
      <c r="I81">
        <v>6.4</v>
      </c>
      <c r="Q81">
        <v>2719</v>
      </c>
    </row>
    <row r="82" spans="3:19" x14ac:dyDescent="0.25">
      <c r="C82">
        <v>9</v>
      </c>
      <c r="D82" t="s">
        <v>408</v>
      </c>
      <c r="E82">
        <v>0.6</v>
      </c>
      <c r="I82">
        <v>96</v>
      </c>
      <c r="Q82">
        <v>11870</v>
      </c>
    </row>
    <row r="83" spans="3:19" x14ac:dyDescent="0.25">
      <c r="C83">
        <v>9</v>
      </c>
      <c r="D83">
        <v>30</v>
      </c>
      <c r="E83">
        <v>0.6</v>
      </c>
      <c r="I83">
        <v>96</v>
      </c>
      <c r="Q83">
        <v>11870</v>
      </c>
    </row>
    <row r="84" spans="3:19" x14ac:dyDescent="0.25">
      <c r="C84" t="s">
        <v>417</v>
      </c>
      <c r="E84">
        <v>2.35</v>
      </c>
      <c r="I84">
        <v>382.4</v>
      </c>
      <c r="Q84">
        <v>107734</v>
      </c>
      <c r="S84">
        <v>592.6197458455523</v>
      </c>
    </row>
    <row r="85" spans="3:19" x14ac:dyDescent="0.25">
      <c r="C85">
        <v>10</v>
      </c>
      <c r="D85" t="s">
        <v>189</v>
      </c>
      <c r="E85">
        <v>2.7</v>
      </c>
      <c r="I85">
        <v>491.2</v>
      </c>
      <c r="Q85">
        <v>127298</v>
      </c>
      <c r="S85">
        <v>592.6197458455523</v>
      </c>
    </row>
    <row r="86" spans="3:19" x14ac:dyDescent="0.25">
      <c r="C86">
        <v>10</v>
      </c>
      <c r="D86">
        <v>99</v>
      </c>
      <c r="E86">
        <v>1</v>
      </c>
      <c r="I86">
        <v>184</v>
      </c>
      <c r="Q86">
        <v>33980</v>
      </c>
      <c r="S86">
        <v>592.6197458455523</v>
      </c>
    </row>
    <row r="87" spans="3:19" x14ac:dyDescent="0.25">
      <c r="C87">
        <v>10</v>
      </c>
      <c r="D87">
        <v>101</v>
      </c>
      <c r="E87">
        <v>1.5</v>
      </c>
      <c r="I87">
        <v>272</v>
      </c>
      <c r="Q87">
        <v>87906</v>
      </c>
    </row>
    <row r="88" spans="3:19" x14ac:dyDescent="0.25">
      <c r="C88">
        <v>10</v>
      </c>
      <c r="D88">
        <v>203</v>
      </c>
      <c r="E88">
        <v>0.2</v>
      </c>
      <c r="I88">
        <v>35.200000000000003</v>
      </c>
      <c r="Q88">
        <v>5412</v>
      </c>
    </row>
    <row r="89" spans="3:19" x14ac:dyDescent="0.25">
      <c r="C89">
        <v>10</v>
      </c>
      <c r="D89" t="s">
        <v>407</v>
      </c>
      <c r="E89">
        <v>0.05</v>
      </c>
      <c r="I89">
        <v>9.1999999999999993</v>
      </c>
      <c r="Q89">
        <v>2738</v>
      </c>
    </row>
    <row r="90" spans="3:19" x14ac:dyDescent="0.25">
      <c r="C90">
        <v>10</v>
      </c>
      <c r="D90">
        <v>526</v>
      </c>
      <c r="E90">
        <v>0.05</v>
      </c>
      <c r="I90">
        <v>9.1999999999999993</v>
      </c>
      <c r="Q90">
        <v>2738</v>
      </c>
    </row>
    <row r="91" spans="3:19" x14ac:dyDescent="0.25">
      <c r="C91">
        <v>10</v>
      </c>
      <c r="D91" t="s">
        <v>408</v>
      </c>
      <c r="E91">
        <v>0.6</v>
      </c>
      <c r="I91">
        <v>110.4</v>
      </c>
      <c r="Q91">
        <v>11895</v>
      </c>
    </row>
    <row r="92" spans="3:19" x14ac:dyDescent="0.25">
      <c r="C92">
        <v>10</v>
      </c>
      <c r="D92">
        <v>30</v>
      </c>
      <c r="E92">
        <v>0.6</v>
      </c>
      <c r="I92">
        <v>110.4</v>
      </c>
      <c r="Q92">
        <v>11895</v>
      </c>
    </row>
    <row r="93" spans="3:19" x14ac:dyDescent="0.25">
      <c r="C93" t="s">
        <v>418</v>
      </c>
      <c r="E93">
        <v>3.35</v>
      </c>
      <c r="I93">
        <v>610.79999999999995</v>
      </c>
      <c r="Q93">
        <v>141931</v>
      </c>
      <c r="S93">
        <v>592.6197458455523</v>
      </c>
    </row>
    <row r="94" spans="3:19" x14ac:dyDescent="0.25">
      <c r="C94">
        <v>11</v>
      </c>
      <c r="D94" t="s">
        <v>189</v>
      </c>
      <c r="E94">
        <v>2.7</v>
      </c>
      <c r="I94">
        <v>411.6</v>
      </c>
      <c r="O94">
        <v>16437</v>
      </c>
      <c r="P94">
        <v>16437</v>
      </c>
      <c r="Q94">
        <v>143531</v>
      </c>
      <c r="S94">
        <v>592.6197458455523</v>
      </c>
    </row>
    <row r="95" spans="3:19" x14ac:dyDescent="0.25">
      <c r="C95">
        <v>11</v>
      </c>
      <c r="D95">
        <v>99</v>
      </c>
      <c r="E95">
        <v>1</v>
      </c>
      <c r="I95">
        <v>160</v>
      </c>
      <c r="Q95">
        <v>33839</v>
      </c>
      <c r="S95">
        <v>592.6197458455523</v>
      </c>
    </row>
    <row r="96" spans="3:19" x14ac:dyDescent="0.25">
      <c r="C96">
        <v>11</v>
      </c>
      <c r="D96">
        <v>101</v>
      </c>
      <c r="E96">
        <v>1.5</v>
      </c>
      <c r="I96">
        <v>226</v>
      </c>
      <c r="O96">
        <v>16437</v>
      </c>
      <c r="P96">
        <v>16437</v>
      </c>
      <c r="Q96">
        <v>104332</v>
      </c>
    </row>
    <row r="97" spans="3:19" x14ac:dyDescent="0.25">
      <c r="C97">
        <v>11</v>
      </c>
      <c r="D97">
        <v>203</v>
      </c>
      <c r="E97">
        <v>0.2</v>
      </c>
      <c r="I97">
        <v>25.6</v>
      </c>
      <c r="Q97">
        <v>5360</v>
      </c>
    </row>
    <row r="98" spans="3:19" x14ac:dyDescent="0.25">
      <c r="C98">
        <v>11</v>
      </c>
      <c r="D98" t="s">
        <v>407</v>
      </c>
      <c r="E98">
        <v>0.05</v>
      </c>
      <c r="I98">
        <v>8.4</v>
      </c>
      <c r="O98">
        <v>443</v>
      </c>
      <c r="P98">
        <v>443</v>
      </c>
      <c r="Q98">
        <v>3181</v>
      </c>
    </row>
    <row r="99" spans="3:19" x14ac:dyDescent="0.25">
      <c r="C99">
        <v>11</v>
      </c>
      <c r="D99">
        <v>526</v>
      </c>
      <c r="E99">
        <v>0.05</v>
      </c>
      <c r="I99">
        <v>8.4</v>
      </c>
      <c r="O99">
        <v>443</v>
      </c>
      <c r="P99">
        <v>443</v>
      </c>
      <c r="Q99">
        <v>3181</v>
      </c>
    </row>
    <row r="100" spans="3:19" x14ac:dyDescent="0.25">
      <c r="C100">
        <v>11</v>
      </c>
      <c r="D100" t="s">
        <v>408</v>
      </c>
      <c r="E100">
        <v>0.6</v>
      </c>
      <c r="I100">
        <v>97.6</v>
      </c>
      <c r="O100">
        <v>3907</v>
      </c>
      <c r="P100">
        <v>3907</v>
      </c>
      <c r="Q100">
        <v>14965</v>
      </c>
    </row>
    <row r="101" spans="3:19" x14ac:dyDescent="0.25">
      <c r="C101">
        <v>11</v>
      </c>
      <c r="D101">
        <v>30</v>
      </c>
      <c r="E101">
        <v>0.6</v>
      </c>
      <c r="I101">
        <v>97.6</v>
      </c>
      <c r="O101">
        <v>3907</v>
      </c>
      <c r="P101">
        <v>3907</v>
      </c>
      <c r="Q101">
        <v>14965</v>
      </c>
    </row>
    <row r="102" spans="3:19" x14ac:dyDescent="0.25">
      <c r="C102" t="s">
        <v>419</v>
      </c>
      <c r="E102">
        <v>3.35</v>
      </c>
      <c r="I102">
        <v>517.6</v>
      </c>
      <c r="O102">
        <v>20787</v>
      </c>
      <c r="P102">
        <v>20787</v>
      </c>
      <c r="Q102">
        <v>161677</v>
      </c>
      <c r="S102">
        <v>592.6197458455523</v>
      </c>
    </row>
    <row r="103" spans="3:19" x14ac:dyDescent="0.25">
      <c r="C103">
        <v>12</v>
      </c>
      <c r="D103" t="s">
        <v>189</v>
      </c>
      <c r="E103">
        <v>2.7</v>
      </c>
      <c r="I103">
        <v>374.4</v>
      </c>
      <c r="O103">
        <v>108443</v>
      </c>
      <c r="P103">
        <v>108443</v>
      </c>
      <c r="Q103">
        <v>231398</v>
      </c>
      <c r="S103">
        <v>592.6197458455523</v>
      </c>
    </row>
    <row r="104" spans="3:19" x14ac:dyDescent="0.25">
      <c r="C104">
        <v>12</v>
      </c>
      <c r="D104">
        <v>99</v>
      </c>
      <c r="E104">
        <v>1</v>
      </c>
      <c r="I104">
        <v>136</v>
      </c>
      <c r="Q104">
        <v>33644</v>
      </c>
      <c r="S104">
        <v>592.6197458455523</v>
      </c>
    </row>
    <row r="105" spans="3:19" x14ac:dyDescent="0.25">
      <c r="C105">
        <v>12</v>
      </c>
      <c r="D105">
        <v>101</v>
      </c>
      <c r="E105">
        <v>1.5</v>
      </c>
      <c r="I105">
        <v>212</v>
      </c>
      <c r="O105">
        <v>108443</v>
      </c>
      <c r="P105">
        <v>108443</v>
      </c>
      <c r="Q105">
        <v>192333</v>
      </c>
    </row>
    <row r="106" spans="3:19" x14ac:dyDescent="0.25">
      <c r="C106">
        <v>12</v>
      </c>
      <c r="D106">
        <v>203</v>
      </c>
      <c r="E106">
        <v>0.2</v>
      </c>
      <c r="I106">
        <v>26.4</v>
      </c>
      <c r="Q106">
        <v>5421</v>
      </c>
    </row>
    <row r="107" spans="3:19" x14ac:dyDescent="0.25">
      <c r="C107">
        <v>12</v>
      </c>
      <c r="D107" t="s">
        <v>407</v>
      </c>
      <c r="E107">
        <v>0.05</v>
      </c>
      <c r="I107">
        <v>8.8000000000000007</v>
      </c>
      <c r="Q107">
        <v>2738</v>
      </c>
    </row>
    <row r="108" spans="3:19" x14ac:dyDescent="0.25">
      <c r="C108">
        <v>12</v>
      </c>
      <c r="D108">
        <v>526</v>
      </c>
      <c r="E108">
        <v>0.05</v>
      </c>
      <c r="I108">
        <v>8.8000000000000007</v>
      </c>
      <c r="Q108">
        <v>2738</v>
      </c>
    </row>
    <row r="109" spans="3:19" x14ac:dyDescent="0.25">
      <c r="C109">
        <v>12</v>
      </c>
      <c r="D109" t="s">
        <v>408</v>
      </c>
      <c r="E109">
        <v>0.6</v>
      </c>
      <c r="I109">
        <v>84.8</v>
      </c>
      <c r="Q109">
        <v>11986</v>
      </c>
    </row>
    <row r="110" spans="3:19" x14ac:dyDescent="0.25">
      <c r="C110">
        <v>12</v>
      </c>
      <c r="D110">
        <v>30</v>
      </c>
      <c r="E110">
        <v>0.6</v>
      </c>
      <c r="I110">
        <v>84.8</v>
      </c>
      <c r="Q110">
        <v>11986</v>
      </c>
    </row>
    <row r="111" spans="3:19" x14ac:dyDescent="0.25">
      <c r="C111" t="s">
        <v>420</v>
      </c>
      <c r="E111">
        <v>3.35</v>
      </c>
      <c r="I111">
        <v>468</v>
      </c>
      <c r="O111">
        <v>108443</v>
      </c>
      <c r="P111">
        <v>108443</v>
      </c>
      <c r="Q111">
        <v>246122</v>
      </c>
      <c r="S111">
        <v>592.6197458455523</v>
      </c>
    </row>
  </sheetData>
  <hyperlinks>
    <hyperlink ref="A2" location="Obsah!A1" display="Zpět na Obsah  KL 01  1.-4.měsíc" xr:uid="{B6F1FD8D-1051-4932-9562-D0BF00D89ADC}"/>
  </hyperlinks>
  <pageMargins left="0.7" right="0.7" top="0.78740157499999996" bottom="0.78740157499999996" header="0.3" footer="0.3"/>
  <tableParts count="1">
    <tablePart r:id="rId1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List3">
    <tabColor theme="5" tint="0.39997558519241921"/>
    <outlinePr summaryRight="0"/>
    <pageSetUpPr fitToPage="1"/>
  </sheetPr>
  <dimension ref="A1:AB14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ColWidth="8.85546875" defaultRowHeight="14.45" customHeight="1" outlineLevelCol="1" x14ac:dyDescent="0.2"/>
  <cols>
    <col min="1" max="1" width="50" style="126" customWidth="1" collapsed="1"/>
    <col min="2" max="2" width="7.7109375" style="103" hidden="1" customWidth="1" outlineLevel="1"/>
    <col min="3" max="4" width="5.42578125" style="126" hidden="1" customWidth="1"/>
    <col min="5" max="5" width="7.7109375" style="103" customWidth="1"/>
    <col min="6" max="6" width="7.7109375" style="103" hidden="1" customWidth="1"/>
    <col min="7" max="7" width="5.42578125" style="126" hidden="1" customWidth="1"/>
    <col min="8" max="8" width="7.7109375" style="103" customWidth="1" collapsed="1"/>
    <col min="9" max="9" width="7.7109375" style="206" hidden="1" customWidth="1" outlineLevel="1"/>
    <col min="10" max="10" width="7.7109375" style="206" customWidth="1" collapsed="1"/>
    <col min="11" max="12" width="7.7109375" style="103" hidden="1" customWidth="1"/>
    <col min="13" max="13" width="5.42578125" style="126" hidden="1" customWidth="1"/>
    <col min="14" max="14" width="7.7109375" style="103" customWidth="1"/>
    <col min="15" max="15" width="7.7109375" style="103" hidden="1" customWidth="1"/>
    <col min="16" max="16" width="5.42578125" style="126" hidden="1" customWidth="1"/>
    <col min="17" max="17" width="7.7109375" style="103" customWidth="1" collapsed="1"/>
    <col min="18" max="18" width="7.7109375" style="206" hidden="1" customWidth="1" outlineLevel="1"/>
    <col min="19" max="19" width="7.7109375" style="206" customWidth="1" collapsed="1"/>
    <col min="20" max="21" width="7.7109375" style="103" hidden="1" customWidth="1"/>
    <col min="22" max="22" width="5" style="126" hidden="1" customWidth="1"/>
    <col min="23" max="23" width="7.7109375" style="103" customWidth="1"/>
    <col min="24" max="24" width="7.7109375" style="103" hidden="1" customWidth="1"/>
    <col min="25" max="25" width="5" style="126" hidden="1" customWidth="1"/>
    <col min="26" max="26" width="7.7109375" style="103" customWidth="1" collapsed="1"/>
    <col min="27" max="27" width="7.7109375" style="206" hidden="1" customWidth="1" outlineLevel="1"/>
    <col min="28" max="28" width="7.7109375" style="206" customWidth="1" collapsed="1"/>
    <col min="29" max="16384" width="8.85546875" style="126"/>
  </cols>
  <sheetData>
    <row r="1" spans="1:28" ht="18.600000000000001" customHeight="1" thickBot="1" x14ac:dyDescent="0.35">
      <c r="A1" s="392" t="s">
        <v>429</v>
      </c>
      <c r="B1" s="298"/>
      <c r="C1" s="298"/>
      <c r="D1" s="298"/>
      <c r="E1" s="298"/>
      <c r="F1" s="298"/>
      <c r="G1" s="298"/>
      <c r="H1" s="298"/>
      <c r="I1" s="298"/>
      <c r="J1" s="298"/>
      <c r="K1" s="298"/>
      <c r="L1" s="298"/>
      <c r="M1" s="298"/>
      <c r="N1" s="298"/>
      <c r="O1" s="298"/>
      <c r="P1" s="298"/>
      <c r="Q1" s="298"/>
      <c r="R1" s="298"/>
      <c r="S1" s="298"/>
      <c r="T1" s="298"/>
      <c r="U1" s="298"/>
      <c r="V1" s="298"/>
      <c r="W1" s="298"/>
      <c r="X1" s="298"/>
      <c r="Y1" s="298"/>
      <c r="Z1" s="298"/>
      <c r="AA1" s="298"/>
      <c r="AB1" s="298"/>
    </row>
    <row r="2" spans="1:28" ht="14.45" customHeight="1" thickBot="1" x14ac:dyDescent="0.25">
      <c r="A2" s="413" t="s">
        <v>241</v>
      </c>
      <c r="B2" s="108"/>
      <c r="C2" s="108"/>
      <c r="D2" s="108"/>
      <c r="E2" s="108"/>
      <c r="F2" s="108"/>
      <c r="G2" s="108"/>
      <c r="H2" s="108"/>
      <c r="I2" s="220"/>
      <c r="J2" s="220"/>
      <c r="K2" s="108"/>
      <c r="L2" s="108"/>
      <c r="M2" s="108"/>
      <c r="N2" s="108"/>
      <c r="O2" s="108"/>
      <c r="P2" s="108"/>
      <c r="Q2" s="108"/>
      <c r="R2" s="220"/>
      <c r="S2" s="220"/>
      <c r="T2" s="108"/>
      <c r="U2" s="108"/>
      <c r="V2" s="108"/>
      <c r="W2" s="108"/>
      <c r="X2" s="108"/>
      <c r="Y2" s="108"/>
      <c r="Z2" s="108"/>
      <c r="AA2" s="220"/>
      <c r="AB2" s="220"/>
    </row>
    <row r="3" spans="1:28" ht="14.45" customHeight="1" thickBot="1" x14ac:dyDescent="0.25">
      <c r="A3" s="213" t="s">
        <v>120</v>
      </c>
      <c r="B3" s="214">
        <f>SUBTOTAL(9,B6:B1048576)/4</f>
        <v>0</v>
      </c>
      <c r="C3" s="215">
        <f t="shared" ref="C3:Z3" si="0">SUBTOTAL(9,C6:C1048576)</f>
        <v>0</v>
      </c>
      <c r="D3" s="215"/>
      <c r="E3" s="215">
        <f>SUBTOTAL(9,E6:E1048576)/4</f>
        <v>1945</v>
      </c>
      <c r="F3" s="215"/>
      <c r="G3" s="215">
        <f t="shared" si="0"/>
        <v>4</v>
      </c>
      <c r="H3" s="215">
        <f>SUBTOTAL(9,H6:H1048576)/4</f>
        <v>5095</v>
      </c>
      <c r="I3" s="218" t="str">
        <f>IF(B3&lt;&gt;0,H3/B3,"")</f>
        <v/>
      </c>
      <c r="J3" s="216">
        <f>IF(E3&lt;&gt;0,H3/E3,"")</f>
        <v>2.6195372750642671</v>
      </c>
      <c r="K3" s="217">
        <f t="shared" si="0"/>
        <v>0</v>
      </c>
      <c r="L3" s="217"/>
      <c r="M3" s="215">
        <f t="shared" si="0"/>
        <v>0</v>
      </c>
      <c r="N3" s="215">
        <f t="shared" si="0"/>
        <v>0</v>
      </c>
      <c r="O3" s="215"/>
      <c r="P3" s="215">
        <f t="shared" si="0"/>
        <v>0</v>
      </c>
      <c r="Q3" s="215">
        <f t="shared" si="0"/>
        <v>0</v>
      </c>
      <c r="R3" s="218" t="str">
        <f>IF(K3&lt;&gt;0,Q3/K3,"")</f>
        <v/>
      </c>
      <c r="S3" s="218" t="str">
        <f>IF(N3&lt;&gt;0,Q3/N3,"")</f>
        <v/>
      </c>
      <c r="T3" s="214">
        <f t="shared" si="0"/>
        <v>0</v>
      </c>
      <c r="U3" s="217"/>
      <c r="V3" s="215">
        <f t="shared" si="0"/>
        <v>0</v>
      </c>
      <c r="W3" s="215">
        <f t="shared" si="0"/>
        <v>0</v>
      </c>
      <c r="X3" s="215"/>
      <c r="Y3" s="215">
        <f t="shared" si="0"/>
        <v>0</v>
      </c>
      <c r="Z3" s="215">
        <f t="shared" si="0"/>
        <v>0</v>
      </c>
      <c r="AA3" s="218" t="str">
        <f>IF(T3&lt;&gt;0,Z3/T3,"")</f>
        <v/>
      </c>
      <c r="AB3" s="216" t="str">
        <f>IF(W3&lt;&gt;0,Z3/W3,"")</f>
        <v/>
      </c>
    </row>
    <row r="4" spans="1:28" ht="14.45" customHeight="1" x14ac:dyDescent="0.2">
      <c r="A4" s="393" t="s">
        <v>181</v>
      </c>
      <c r="B4" s="394" t="s">
        <v>95</v>
      </c>
      <c r="C4" s="395"/>
      <c r="D4" s="396"/>
      <c r="E4" s="395"/>
      <c r="F4" s="396"/>
      <c r="G4" s="395"/>
      <c r="H4" s="395"/>
      <c r="I4" s="396"/>
      <c r="J4" s="397"/>
      <c r="K4" s="394" t="s">
        <v>96</v>
      </c>
      <c r="L4" s="396"/>
      <c r="M4" s="395"/>
      <c r="N4" s="395"/>
      <c r="O4" s="396"/>
      <c r="P4" s="395"/>
      <c r="Q4" s="395"/>
      <c r="R4" s="396"/>
      <c r="S4" s="397"/>
      <c r="T4" s="394" t="s">
        <v>97</v>
      </c>
      <c r="U4" s="396"/>
      <c r="V4" s="395"/>
      <c r="W4" s="395"/>
      <c r="X4" s="396"/>
      <c r="Y4" s="395"/>
      <c r="Z4" s="395"/>
      <c r="AA4" s="396"/>
      <c r="AB4" s="397"/>
    </row>
    <row r="5" spans="1:28" ht="14.45" customHeight="1" thickBot="1" x14ac:dyDescent="0.25">
      <c r="A5" s="522"/>
      <c r="B5" s="523">
        <v>2015</v>
      </c>
      <c r="C5" s="524"/>
      <c r="D5" s="524"/>
      <c r="E5" s="524">
        <v>2018</v>
      </c>
      <c r="F5" s="524"/>
      <c r="G5" s="524"/>
      <c r="H5" s="524">
        <v>2019</v>
      </c>
      <c r="I5" s="525" t="s">
        <v>182</v>
      </c>
      <c r="J5" s="526" t="s">
        <v>2</v>
      </c>
      <c r="K5" s="523">
        <v>2015</v>
      </c>
      <c r="L5" s="524"/>
      <c r="M5" s="524"/>
      <c r="N5" s="524">
        <v>2018</v>
      </c>
      <c r="O5" s="524"/>
      <c r="P5" s="524"/>
      <c r="Q5" s="524">
        <v>2019</v>
      </c>
      <c r="R5" s="525" t="s">
        <v>182</v>
      </c>
      <c r="S5" s="526" t="s">
        <v>2</v>
      </c>
      <c r="T5" s="523">
        <v>2015</v>
      </c>
      <c r="U5" s="524"/>
      <c r="V5" s="524"/>
      <c r="W5" s="524">
        <v>2018</v>
      </c>
      <c r="X5" s="524"/>
      <c r="Y5" s="524"/>
      <c r="Z5" s="524">
        <v>2019</v>
      </c>
      <c r="AA5" s="525" t="s">
        <v>182</v>
      </c>
      <c r="AB5" s="526" t="s">
        <v>2</v>
      </c>
    </row>
    <row r="6" spans="1:28" ht="14.45" customHeight="1" x14ac:dyDescent="0.25">
      <c r="A6" s="527" t="s">
        <v>427</v>
      </c>
      <c r="B6" s="528"/>
      <c r="C6" s="529"/>
      <c r="D6" s="529"/>
      <c r="E6" s="528">
        <v>1945</v>
      </c>
      <c r="F6" s="529"/>
      <c r="G6" s="529">
        <v>1</v>
      </c>
      <c r="H6" s="528">
        <v>5095</v>
      </c>
      <c r="I6" s="529"/>
      <c r="J6" s="529">
        <v>2.6195372750642671</v>
      </c>
      <c r="K6" s="528"/>
      <c r="L6" s="529"/>
      <c r="M6" s="529"/>
      <c r="N6" s="528"/>
      <c r="O6" s="529"/>
      <c r="P6" s="529"/>
      <c r="Q6" s="528"/>
      <c r="R6" s="529"/>
      <c r="S6" s="529"/>
      <c r="T6" s="528"/>
      <c r="U6" s="529"/>
      <c r="V6" s="529"/>
      <c r="W6" s="528"/>
      <c r="X6" s="529"/>
      <c r="Y6" s="529"/>
      <c r="Z6" s="528"/>
      <c r="AA6" s="529"/>
      <c r="AB6" s="530"/>
    </row>
    <row r="7" spans="1:28" ht="14.45" customHeight="1" thickBot="1" x14ac:dyDescent="0.3">
      <c r="A7" s="534" t="s">
        <v>428</v>
      </c>
      <c r="B7" s="531"/>
      <c r="C7" s="532"/>
      <c r="D7" s="532"/>
      <c r="E7" s="531">
        <v>1945</v>
      </c>
      <c r="F7" s="532"/>
      <c r="G7" s="532">
        <v>1</v>
      </c>
      <c r="H7" s="531">
        <v>5095</v>
      </c>
      <c r="I7" s="532"/>
      <c r="J7" s="532">
        <v>2.6195372750642671</v>
      </c>
      <c r="K7" s="531"/>
      <c r="L7" s="532"/>
      <c r="M7" s="532"/>
      <c r="N7" s="531"/>
      <c r="O7" s="532"/>
      <c r="P7" s="532"/>
      <c r="Q7" s="531"/>
      <c r="R7" s="532"/>
      <c r="S7" s="532"/>
      <c r="T7" s="531"/>
      <c r="U7" s="532"/>
      <c r="V7" s="532"/>
      <c r="W7" s="531"/>
      <c r="X7" s="532"/>
      <c r="Y7" s="532"/>
      <c r="Z7" s="531"/>
      <c r="AA7" s="532"/>
      <c r="AB7" s="533"/>
    </row>
    <row r="8" spans="1:28" ht="14.45" customHeight="1" thickBot="1" x14ac:dyDescent="0.25"/>
    <row r="9" spans="1:28" ht="14.45" customHeight="1" x14ac:dyDescent="0.25">
      <c r="A9" s="527" t="s">
        <v>430</v>
      </c>
      <c r="B9" s="528"/>
      <c r="C9" s="529"/>
      <c r="D9" s="529"/>
      <c r="E9" s="528">
        <v>1945</v>
      </c>
      <c r="F9" s="529"/>
      <c r="G9" s="529">
        <v>1</v>
      </c>
      <c r="H9" s="528">
        <v>5095</v>
      </c>
      <c r="I9" s="529"/>
      <c r="J9" s="530">
        <v>2.6195372750642671</v>
      </c>
    </row>
    <row r="10" spans="1:28" ht="14.45" customHeight="1" thickBot="1" x14ac:dyDescent="0.3">
      <c r="A10" s="534" t="s">
        <v>431</v>
      </c>
      <c r="B10" s="531"/>
      <c r="C10" s="532"/>
      <c r="D10" s="532"/>
      <c r="E10" s="531">
        <v>1945</v>
      </c>
      <c r="F10" s="532"/>
      <c r="G10" s="532">
        <v>1</v>
      </c>
      <c r="H10" s="531">
        <v>5095</v>
      </c>
      <c r="I10" s="532"/>
      <c r="J10" s="533">
        <v>2.6195372750642671</v>
      </c>
    </row>
    <row r="11" spans="1:28" ht="14.45" customHeight="1" x14ac:dyDescent="0.2">
      <c r="A11" s="446" t="s">
        <v>218</v>
      </c>
    </row>
    <row r="12" spans="1:28" ht="14.45" customHeight="1" x14ac:dyDescent="0.2">
      <c r="A12" s="447" t="s">
        <v>323</v>
      </c>
    </row>
    <row r="13" spans="1:28" ht="14.45" customHeight="1" x14ac:dyDescent="0.2">
      <c r="A13" s="446" t="s">
        <v>432</v>
      </c>
    </row>
    <row r="14" spans="1:28" ht="14.45" customHeight="1" x14ac:dyDescent="0.2">
      <c r="A14" s="446" t="s">
        <v>433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0" priority="4" stopIfTrue="1" operator="lessThan">
      <formula>0.95</formula>
    </cfRule>
  </conditionalFormatting>
  <hyperlinks>
    <hyperlink ref="A2" location="Obsah!A1" display="Zpět na Obsah  KL 01  1.-4.měsíc" xr:uid="{4F3E72CD-A51C-4D0D-B41D-26E4C9D643FE}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List57">
    <tabColor theme="0" tint="-0.249977111117893"/>
    <pageSetUpPr fitToPage="1"/>
  </sheetPr>
  <dimension ref="A1:G11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ColWidth="8.85546875" defaultRowHeight="14.45" customHeight="1" outlineLevelCol="1" x14ac:dyDescent="0.2"/>
  <cols>
    <col min="1" max="1" width="46.7109375" style="126" bestFit="1" customWidth="1"/>
    <col min="2" max="2" width="7.7109375" style="203" hidden="1" customWidth="1" outlineLevel="1"/>
    <col min="3" max="3" width="7.7109375" style="203" customWidth="1" collapsed="1"/>
    <col min="4" max="4" width="7.7109375" style="203" customWidth="1"/>
    <col min="5" max="5" width="7.7109375" style="103" hidden="1" customWidth="1" outlineLevel="1"/>
    <col min="6" max="6" width="7.7109375" style="103" customWidth="1" collapsed="1"/>
    <col min="7" max="7" width="7.7109375" style="103" customWidth="1"/>
    <col min="8" max="16384" width="8.85546875" style="126"/>
  </cols>
  <sheetData>
    <row r="1" spans="1:7" ht="18.600000000000001" customHeight="1" thickBot="1" x14ac:dyDescent="0.35">
      <c r="A1" s="392" t="s">
        <v>435</v>
      </c>
      <c r="B1" s="298"/>
      <c r="C1" s="298"/>
      <c r="D1" s="298"/>
      <c r="E1" s="298"/>
      <c r="F1" s="298"/>
      <c r="G1" s="298"/>
    </row>
    <row r="2" spans="1:7" ht="14.45" customHeight="1" thickBot="1" x14ac:dyDescent="0.25">
      <c r="A2" s="413" t="s">
        <v>241</v>
      </c>
      <c r="B2" s="108"/>
      <c r="C2" s="108"/>
      <c r="D2" s="108"/>
      <c r="E2" s="108"/>
      <c r="F2" s="108"/>
      <c r="G2" s="108"/>
    </row>
    <row r="3" spans="1:7" ht="14.45" customHeight="1" thickBot="1" x14ac:dyDescent="0.25">
      <c r="A3" s="244" t="s">
        <v>120</v>
      </c>
      <c r="B3" s="232">
        <f t="shared" ref="B3:G3" si="0">SUBTOTAL(9,B6:B1048576)</f>
        <v>0</v>
      </c>
      <c r="C3" s="233">
        <f t="shared" si="0"/>
        <v>6</v>
      </c>
      <c r="D3" s="243">
        <f t="shared" si="0"/>
        <v>15</v>
      </c>
      <c r="E3" s="217">
        <f t="shared" si="0"/>
        <v>0</v>
      </c>
      <c r="F3" s="215">
        <f t="shared" si="0"/>
        <v>1945</v>
      </c>
      <c r="G3" s="234">
        <f t="shared" si="0"/>
        <v>5095</v>
      </c>
    </row>
    <row r="4" spans="1:7" ht="14.45" customHeight="1" x14ac:dyDescent="0.2">
      <c r="A4" s="393" t="s">
        <v>127</v>
      </c>
      <c r="B4" s="398" t="s">
        <v>179</v>
      </c>
      <c r="C4" s="396"/>
      <c r="D4" s="399"/>
      <c r="E4" s="398" t="s">
        <v>95</v>
      </c>
      <c r="F4" s="396"/>
      <c r="G4" s="399"/>
    </row>
    <row r="5" spans="1:7" ht="14.45" customHeight="1" thickBot="1" x14ac:dyDescent="0.25">
      <c r="A5" s="522"/>
      <c r="B5" s="523">
        <v>2015</v>
      </c>
      <c r="C5" s="524">
        <v>2018</v>
      </c>
      <c r="D5" s="535">
        <v>2019</v>
      </c>
      <c r="E5" s="523">
        <v>2015</v>
      </c>
      <c r="F5" s="524">
        <v>2018</v>
      </c>
      <c r="G5" s="535">
        <v>2019</v>
      </c>
    </row>
    <row r="6" spans="1:7" ht="14.45" customHeight="1" x14ac:dyDescent="0.2">
      <c r="A6" s="515" t="s">
        <v>325</v>
      </c>
      <c r="B6" s="113"/>
      <c r="C6" s="113"/>
      <c r="D6" s="113">
        <v>1</v>
      </c>
      <c r="E6" s="536"/>
      <c r="F6" s="536"/>
      <c r="G6" s="537">
        <v>179</v>
      </c>
    </row>
    <row r="7" spans="1:7" ht="14.45" customHeight="1" x14ac:dyDescent="0.2">
      <c r="A7" s="518" t="s">
        <v>326</v>
      </c>
      <c r="B7" s="504"/>
      <c r="C7" s="504">
        <v>6</v>
      </c>
      <c r="D7" s="504">
        <v>8</v>
      </c>
      <c r="E7" s="538"/>
      <c r="F7" s="538">
        <v>1945</v>
      </c>
      <c r="G7" s="539">
        <v>2816</v>
      </c>
    </row>
    <row r="8" spans="1:7" ht="14.45" customHeight="1" thickBot="1" x14ac:dyDescent="0.25">
      <c r="A8" s="542" t="s">
        <v>434</v>
      </c>
      <c r="B8" s="506"/>
      <c r="C8" s="506"/>
      <c r="D8" s="506">
        <v>6</v>
      </c>
      <c r="E8" s="540"/>
      <c r="F8" s="540"/>
      <c r="G8" s="541">
        <v>2100</v>
      </c>
    </row>
    <row r="9" spans="1:7" ht="14.45" customHeight="1" x14ac:dyDescent="0.2">
      <c r="A9" s="446" t="s">
        <v>218</v>
      </c>
    </row>
    <row r="10" spans="1:7" ht="14.45" customHeight="1" x14ac:dyDescent="0.2">
      <c r="A10" s="447" t="s">
        <v>323</v>
      </c>
    </row>
    <row r="11" spans="1:7" ht="14.45" customHeight="1" x14ac:dyDescent="0.2">
      <c r="A11" s="446" t="s">
        <v>432</v>
      </c>
    </row>
  </sheetData>
  <autoFilter ref="A4:A5" xr:uid="{00000000-0009-0000-0000-000021000000}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 xr:uid="{273D0333-1702-42BC-8845-6F732E92CFB9}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List2">
    <tabColor theme="0" tint="-0.249977111117893"/>
    <outlinePr summaryRight="0"/>
    <pageSetUpPr fitToPage="1"/>
  </sheetPr>
  <dimension ref="A1:R8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ColWidth="8.85546875" defaultRowHeight="14.45" customHeight="1" outlineLevelCol="1" x14ac:dyDescent="0.2"/>
  <cols>
    <col min="1" max="1" width="3.28515625" style="126" customWidth="1"/>
    <col min="2" max="2" width="8.7109375" style="126" bestFit="1" customWidth="1"/>
    <col min="3" max="3" width="6.140625" style="126" customWidth="1"/>
    <col min="4" max="4" width="2.140625" style="126" bestFit="1" customWidth="1"/>
    <col min="5" max="5" width="8" style="126" customWidth="1"/>
    <col min="6" max="6" width="50.85546875" style="126" bestFit="1" customWidth="1" collapsed="1"/>
    <col min="7" max="8" width="11.140625" style="203" hidden="1" customWidth="1" outlineLevel="1"/>
    <col min="9" max="10" width="9.28515625" style="126" hidden="1" customWidth="1"/>
    <col min="11" max="12" width="11.140625" style="203" customWidth="1"/>
    <col min="13" max="14" width="9.28515625" style="126" hidden="1" customWidth="1"/>
    <col min="15" max="16" width="11.140625" style="203" customWidth="1"/>
    <col min="17" max="17" width="11.140625" style="206" customWidth="1"/>
    <col min="18" max="18" width="11.140625" style="203" customWidth="1"/>
    <col min="19" max="16384" width="8.85546875" style="126"/>
  </cols>
  <sheetData>
    <row r="1" spans="1:18" ht="18.600000000000001" customHeight="1" thickBot="1" x14ac:dyDescent="0.35">
      <c r="A1" s="298" t="s">
        <v>445</v>
      </c>
      <c r="B1" s="326"/>
      <c r="C1" s="326"/>
      <c r="D1" s="326"/>
      <c r="E1" s="326"/>
      <c r="F1" s="326"/>
      <c r="G1" s="326"/>
      <c r="H1" s="326"/>
      <c r="I1" s="326"/>
      <c r="J1" s="326"/>
      <c r="K1" s="326"/>
      <c r="L1" s="326"/>
      <c r="M1" s="326"/>
      <c r="N1" s="326"/>
      <c r="O1" s="326"/>
      <c r="P1" s="326"/>
      <c r="Q1" s="326"/>
      <c r="R1" s="326"/>
    </row>
    <row r="2" spans="1:18" ht="14.45" customHeight="1" thickBot="1" x14ac:dyDescent="0.25">
      <c r="A2" s="413" t="s">
        <v>241</v>
      </c>
      <c r="B2" s="193"/>
      <c r="C2" s="193"/>
      <c r="D2" s="108"/>
      <c r="E2" s="108"/>
      <c r="F2" s="108"/>
      <c r="G2" s="223"/>
      <c r="H2" s="223"/>
      <c r="I2" s="108"/>
      <c r="J2" s="108"/>
      <c r="K2" s="223"/>
      <c r="L2" s="223"/>
      <c r="M2" s="108"/>
      <c r="N2" s="108"/>
      <c r="O2" s="223"/>
      <c r="P2" s="223"/>
      <c r="Q2" s="220"/>
      <c r="R2" s="223"/>
    </row>
    <row r="3" spans="1:18" ht="14.45" customHeight="1" thickBot="1" x14ac:dyDescent="0.25">
      <c r="F3" s="86" t="s">
        <v>120</v>
      </c>
      <c r="G3" s="99">
        <f t="shared" ref="G3:P3" si="0">SUBTOTAL(9,G6:G1048576)</f>
        <v>0</v>
      </c>
      <c r="H3" s="100">
        <f t="shared" si="0"/>
        <v>0</v>
      </c>
      <c r="I3" s="73"/>
      <c r="J3" s="73"/>
      <c r="K3" s="100">
        <f t="shared" si="0"/>
        <v>6</v>
      </c>
      <c r="L3" s="100">
        <f t="shared" si="0"/>
        <v>1945</v>
      </c>
      <c r="M3" s="73"/>
      <c r="N3" s="73"/>
      <c r="O3" s="100">
        <f t="shared" si="0"/>
        <v>15</v>
      </c>
      <c r="P3" s="100">
        <f t="shared" si="0"/>
        <v>5095</v>
      </c>
      <c r="Q3" s="74">
        <f>IF(L3=0,0,P3/L3)</f>
        <v>2.6195372750642671</v>
      </c>
      <c r="R3" s="101">
        <f>IF(O3=0,0,P3/O3)</f>
        <v>339.66666666666669</v>
      </c>
    </row>
    <row r="4" spans="1:18" ht="14.45" customHeight="1" x14ac:dyDescent="0.2">
      <c r="A4" s="400" t="s">
        <v>183</v>
      </c>
      <c r="B4" s="400" t="s">
        <v>91</v>
      </c>
      <c r="C4" s="408" t="s">
        <v>0</v>
      </c>
      <c r="D4" s="402" t="s">
        <v>92</v>
      </c>
      <c r="E4" s="407" t="s">
        <v>67</v>
      </c>
      <c r="F4" s="403" t="s">
        <v>66</v>
      </c>
      <c r="G4" s="404">
        <v>2015</v>
      </c>
      <c r="H4" s="405"/>
      <c r="I4" s="98"/>
      <c r="J4" s="98"/>
      <c r="K4" s="404">
        <v>2018</v>
      </c>
      <c r="L4" s="405"/>
      <c r="M4" s="98"/>
      <c r="N4" s="98"/>
      <c r="O4" s="404">
        <v>2019</v>
      </c>
      <c r="P4" s="405"/>
      <c r="Q4" s="406" t="s">
        <v>2</v>
      </c>
      <c r="R4" s="401" t="s">
        <v>94</v>
      </c>
    </row>
    <row r="5" spans="1:18" ht="14.45" customHeight="1" thickBot="1" x14ac:dyDescent="0.25">
      <c r="A5" s="543"/>
      <c r="B5" s="543"/>
      <c r="C5" s="544"/>
      <c r="D5" s="545"/>
      <c r="E5" s="546"/>
      <c r="F5" s="547"/>
      <c r="G5" s="548" t="s">
        <v>68</v>
      </c>
      <c r="H5" s="549" t="s">
        <v>11</v>
      </c>
      <c r="I5" s="550"/>
      <c r="J5" s="550"/>
      <c r="K5" s="548" t="s">
        <v>68</v>
      </c>
      <c r="L5" s="549" t="s">
        <v>11</v>
      </c>
      <c r="M5" s="550"/>
      <c r="N5" s="550"/>
      <c r="O5" s="548" t="s">
        <v>68</v>
      </c>
      <c r="P5" s="549" t="s">
        <v>11</v>
      </c>
      <c r="Q5" s="551"/>
      <c r="R5" s="552"/>
    </row>
    <row r="6" spans="1:18" ht="14.45" customHeight="1" x14ac:dyDescent="0.2">
      <c r="A6" s="476" t="s">
        <v>436</v>
      </c>
      <c r="B6" s="477" t="s">
        <v>437</v>
      </c>
      <c r="C6" s="477" t="s">
        <v>430</v>
      </c>
      <c r="D6" s="477" t="s">
        <v>438</v>
      </c>
      <c r="E6" s="477" t="s">
        <v>439</v>
      </c>
      <c r="F6" s="477" t="s">
        <v>440</v>
      </c>
      <c r="G6" s="113"/>
      <c r="H6" s="113"/>
      <c r="I6" s="477"/>
      <c r="J6" s="477"/>
      <c r="K6" s="113">
        <v>4</v>
      </c>
      <c r="L6" s="113">
        <v>1420</v>
      </c>
      <c r="M6" s="477">
        <v>1</v>
      </c>
      <c r="N6" s="477">
        <v>355</v>
      </c>
      <c r="O6" s="113">
        <v>2</v>
      </c>
      <c r="P6" s="113">
        <v>716</v>
      </c>
      <c r="Q6" s="482">
        <v>0.50422535211267605</v>
      </c>
      <c r="R6" s="503">
        <v>358</v>
      </c>
    </row>
    <row r="7" spans="1:18" ht="14.45" customHeight="1" x14ac:dyDescent="0.2">
      <c r="A7" s="491" t="s">
        <v>436</v>
      </c>
      <c r="B7" s="492" t="s">
        <v>437</v>
      </c>
      <c r="C7" s="492" t="s">
        <v>430</v>
      </c>
      <c r="D7" s="492" t="s">
        <v>438</v>
      </c>
      <c r="E7" s="492" t="s">
        <v>441</v>
      </c>
      <c r="F7" s="492" t="s">
        <v>442</v>
      </c>
      <c r="G7" s="504"/>
      <c r="H7" s="504"/>
      <c r="I7" s="492"/>
      <c r="J7" s="492"/>
      <c r="K7" s="504">
        <v>1</v>
      </c>
      <c r="L7" s="504">
        <v>178</v>
      </c>
      <c r="M7" s="492">
        <v>1</v>
      </c>
      <c r="N7" s="492">
        <v>178</v>
      </c>
      <c r="O7" s="504">
        <v>1</v>
      </c>
      <c r="P7" s="504">
        <v>179</v>
      </c>
      <c r="Q7" s="497">
        <v>1.0056179775280898</v>
      </c>
      <c r="R7" s="505">
        <v>179</v>
      </c>
    </row>
    <row r="8" spans="1:18" ht="14.45" customHeight="1" thickBot="1" x14ac:dyDescent="0.25">
      <c r="A8" s="483" t="s">
        <v>436</v>
      </c>
      <c r="B8" s="484" t="s">
        <v>437</v>
      </c>
      <c r="C8" s="484" t="s">
        <v>430</v>
      </c>
      <c r="D8" s="484" t="s">
        <v>438</v>
      </c>
      <c r="E8" s="484" t="s">
        <v>443</v>
      </c>
      <c r="F8" s="484" t="s">
        <v>444</v>
      </c>
      <c r="G8" s="506"/>
      <c r="H8" s="506"/>
      <c r="I8" s="484"/>
      <c r="J8" s="484"/>
      <c r="K8" s="506">
        <v>1</v>
      </c>
      <c r="L8" s="506">
        <v>347</v>
      </c>
      <c r="M8" s="484">
        <v>1</v>
      </c>
      <c r="N8" s="484">
        <v>347</v>
      </c>
      <c r="O8" s="506">
        <v>12</v>
      </c>
      <c r="P8" s="506">
        <v>4200</v>
      </c>
      <c r="Q8" s="489">
        <v>12.103746397694524</v>
      </c>
      <c r="R8" s="507">
        <v>350</v>
      </c>
    </row>
  </sheetData>
  <autoFilter ref="A5:R5" xr:uid="{00000000-0009-0000-0000-000022000000}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 xr:uid="{97A3F7D1-022A-46A5-9C6A-ECB5E944C621}"/>
  </hyperlinks>
  <pageMargins left="0.25" right="0.25" top="0.75" bottom="0.75" header="0.3" footer="0.3"/>
  <pageSetup paperSize="9" scale="79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List58">
    <tabColor theme="0" tint="-0.249977111117893"/>
    <outlinePr summaryRight="0"/>
    <pageSetUpPr fitToPage="1"/>
  </sheetPr>
  <dimension ref="A1:S10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ColWidth="8.85546875" defaultRowHeight="14.45" customHeight="1" outlineLevelCol="1" x14ac:dyDescent="0.2"/>
  <cols>
    <col min="1" max="1" width="3.28515625" style="126" customWidth="1"/>
    <col min="2" max="2" width="8.7109375" style="126" bestFit="1" customWidth="1"/>
    <col min="3" max="3" width="6.140625" style="126" customWidth="1"/>
    <col min="4" max="4" width="27.7109375" style="126" customWidth="1"/>
    <col min="5" max="5" width="2.140625" style="126" bestFit="1" customWidth="1"/>
    <col min="6" max="6" width="8" style="126" customWidth="1"/>
    <col min="7" max="7" width="50.85546875" style="126" bestFit="1" customWidth="1" collapsed="1"/>
    <col min="8" max="9" width="11.140625" style="203" hidden="1" customWidth="1" outlineLevel="1"/>
    <col min="10" max="11" width="9.28515625" style="126" hidden="1" customWidth="1"/>
    <col min="12" max="13" width="11.140625" style="203" customWidth="1"/>
    <col min="14" max="15" width="9.28515625" style="126" hidden="1" customWidth="1"/>
    <col min="16" max="17" width="11.140625" style="203" customWidth="1"/>
    <col min="18" max="18" width="11.140625" style="206" customWidth="1"/>
    <col min="19" max="19" width="11.140625" style="203" customWidth="1"/>
    <col min="20" max="16384" width="8.85546875" style="126"/>
  </cols>
  <sheetData>
    <row r="1" spans="1:19" ht="18.600000000000001" customHeight="1" thickBot="1" x14ac:dyDescent="0.35">
      <c r="A1" s="298" t="s">
        <v>446</v>
      </c>
      <c r="B1" s="326"/>
      <c r="C1" s="326"/>
      <c r="D1" s="326"/>
      <c r="E1" s="326"/>
      <c r="F1" s="326"/>
      <c r="G1" s="326"/>
      <c r="H1" s="326"/>
      <c r="I1" s="326"/>
      <c r="J1" s="326"/>
      <c r="K1" s="326"/>
      <c r="L1" s="326"/>
      <c r="M1" s="326"/>
      <c r="N1" s="326"/>
      <c r="O1" s="326"/>
      <c r="P1" s="326"/>
      <c r="Q1" s="326"/>
      <c r="R1" s="326"/>
      <c r="S1" s="326"/>
    </row>
    <row r="2" spans="1:19" ht="14.45" customHeight="1" thickBot="1" x14ac:dyDescent="0.25">
      <c r="A2" s="413" t="s">
        <v>241</v>
      </c>
      <c r="B2" s="193"/>
      <c r="C2" s="193"/>
      <c r="D2" s="193"/>
      <c r="E2" s="108"/>
      <c r="F2" s="108"/>
      <c r="G2" s="108"/>
      <c r="H2" s="223"/>
      <c r="I2" s="223"/>
      <c r="J2" s="108"/>
      <c r="K2" s="108"/>
      <c r="L2" s="223"/>
      <c r="M2" s="223"/>
      <c r="N2" s="108"/>
      <c r="O2" s="108"/>
      <c r="P2" s="223"/>
      <c r="Q2" s="223"/>
      <c r="R2" s="220"/>
      <c r="S2" s="223"/>
    </row>
    <row r="3" spans="1:19" ht="14.45" customHeight="1" thickBot="1" x14ac:dyDescent="0.25">
      <c r="G3" s="86" t="s">
        <v>120</v>
      </c>
      <c r="H3" s="99">
        <f t="shared" ref="H3:Q3" si="0">SUBTOTAL(9,H6:H1048576)</f>
        <v>0</v>
      </c>
      <c r="I3" s="100">
        <f t="shared" si="0"/>
        <v>0</v>
      </c>
      <c r="J3" s="73"/>
      <c r="K3" s="73"/>
      <c r="L3" s="100">
        <f t="shared" si="0"/>
        <v>6</v>
      </c>
      <c r="M3" s="100">
        <f t="shared" si="0"/>
        <v>1945</v>
      </c>
      <c r="N3" s="73"/>
      <c r="O3" s="73"/>
      <c r="P3" s="100">
        <f t="shared" si="0"/>
        <v>15</v>
      </c>
      <c r="Q3" s="100">
        <f t="shared" si="0"/>
        <v>5095</v>
      </c>
      <c r="R3" s="74">
        <f>IF(M3=0,0,Q3/M3)</f>
        <v>2.6195372750642671</v>
      </c>
      <c r="S3" s="101">
        <f>IF(P3=0,0,Q3/P3)</f>
        <v>339.66666666666669</v>
      </c>
    </row>
    <row r="4" spans="1:19" ht="14.45" customHeight="1" x14ac:dyDescent="0.2">
      <c r="A4" s="400" t="s">
        <v>183</v>
      </c>
      <c r="B4" s="400" t="s">
        <v>91</v>
      </c>
      <c r="C4" s="408" t="s">
        <v>0</v>
      </c>
      <c r="D4" s="239" t="s">
        <v>127</v>
      </c>
      <c r="E4" s="402" t="s">
        <v>92</v>
      </c>
      <c r="F4" s="407" t="s">
        <v>67</v>
      </c>
      <c r="G4" s="403" t="s">
        <v>66</v>
      </c>
      <c r="H4" s="404">
        <v>2015</v>
      </c>
      <c r="I4" s="405"/>
      <c r="J4" s="98"/>
      <c r="K4" s="98"/>
      <c r="L4" s="404">
        <v>2018</v>
      </c>
      <c r="M4" s="405"/>
      <c r="N4" s="98"/>
      <c r="O4" s="98"/>
      <c r="P4" s="404">
        <v>2019</v>
      </c>
      <c r="Q4" s="405"/>
      <c r="R4" s="406" t="s">
        <v>2</v>
      </c>
      <c r="S4" s="401" t="s">
        <v>94</v>
      </c>
    </row>
    <row r="5" spans="1:19" ht="14.45" customHeight="1" thickBot="1" x14ac:dyDescent="0.25">
      <c r="A5" s="543"/>
      <c r="B5" s="543"/>
      <c r="C5" s="544"/>
      <c r="D5" s="553"/>
      <c r="E5" s="545"/>
      <c r="F5" s="546"/>
      <c r="G5" s="547"/>
      <c r="H5" s="548" t="s">
        <v>68</v>
      </c>
      <c r="I5" s="549" t="s">
        <v>11</v>
      </c>
      <c r="J5" s="550"/>
      <c r="K5" s="550"/>
      <c r="L5" s="548" t="s">
        <v>68</v>
      </c>
      <c r="M5" s="549" t="s">
        <v>11</v>
      </c>
      <c r="N5" s="550"/>
      <c r="O5" s="550"/>
      <c r="P5" s="548" t="s">
        <v>68</v>
      </c>
      <c r="Q5" s="549" t="s">
        <v>11</v>
      </c>
      <c r="R5" s="551"/>
      <c r="S5" s="552"/>
    </row>
    <row r="6" spans="1:19" ht="14.45" customHeight="1" x14ac:dyDescent="0.2">
      <c r="A6" s="476" t="s">
        <v>436</v>
      </c>
      <c r="B6" s="477" t="s">
        <v>437</v>
      </c>
      <c r="C6" s="477" t="s">
        <v>430</v>
      </c>
      <c r="D6" s="477" t="s">
        <v>325</v>
      </c>
      <c r="E6" s="477" t="s">
        <v>438</v>
      </c>
      <c r="F6" s="477" t="s">
        <v>441</v>
      </c>
      <c r="G6" s="477" t="s">
        <v>442</v>
      </c>
      <c r="H6" s="113"/>
      <c r="I6" s="113"/>
      <c r="J6" s="477"/>
      <c r="K6" s="477"/>
      <c r="L6" s="113"/>
      <c r="M6" s="113"/>
      <c r="N6" s="477"/>
      <c r="O6" s="477"/>
      <c r="P6" s="113">
        <v>1</v>
      </c>
      <c r="Q6" s="113">
        <v>179</v>
      </c>
      <c r="R6" s="482"/>
      <c r="S6" s="503">
        <v>179</v>
      </c>
    </row>
    <row r="7" spans="1:19" ht="14.45" customHeight="1" x14ac:dyDescent="0.2">
      <c r="A7" s="491" t="s">
        <v>436</v>
      </c>
      <c r="B7" s="492" t="s">
        <v>437</v>
      </c>
      <c r="C7" s="492" t="s">
        <v>430</v>
      </c>
      <c r="D7" s="492" t="s">
        <v>326</v>
      </c>
      <c r="E7" s="492" t="s">
        <v>438</v>
      </c>
      <c r="F7" s="492" t="s">
        <v>439</v>
      </c>
      <c r="G7" s="492" t="s">
        <v>440</v>
      </c>
      <c r="H7" s="504"/>
      <c r="I7" s="504"/>
      <c r="J7" s="492"/>
      <c r="K7" s="492"/>
      <c r="L7" s="504">
        <v>4</v>
      </c>
      <c r="M7" s="504">
        <v>1420</v>
      </c>
      <c r="N7" s="492">
        <v>1</v>
      </c>
      <c r="O7" s="492">
        <v>355</v>
      </c>
      <c r="P7" s="504">
        <v>2</v>
      </c>
      <c r="Q7" s="504">
        <v>716</v>
      </c>
      <c r="R7" s="497">
        <v>0.50422535211267605</v>
      </c>
      <c r="S7" s="505">
        <v>358</v>
      </c>
    </row>
    <row r="8" spans="1:19" ht="14.45" customHeight="1" x14ac:dyDescent="0.2">
      <c r="A8" s="491" t="s">
        <v>436</v>
      </c>
      <c r="B8" s="492" t="s">
        <v>437</v>
      </c>
      <c r="C8" s="492" t="s">
        <v>430</v>
      </c>
      <c r="D8" s="492" t="s">
        <v>326</v>
      </c>
      <c r="E8" s="492" t="s">
        <v>438</v>
      </c>
      <c r="F8" s="492" t="s">
        <v>441</v>
      </c>
      <c r="G8" s="492" t="s">
        <v>442</v>
      </c>
      <c r="H8" s="504"/>
      <c r="I8" s="504"/>
      <c r="J8" s="492"/>
      <c r="K8" s="492"/>
      <c r="L8" s="504">
        <v>1</v>
      </c>
      <c r="M8" s="504">
        <v>178</v>
      </c>
      <c r="N8" s="492">
        <v>1</v>
      </c>
      <c r="O8" s="492">
        <v>178</v>
      </c>
      <c r="P8" s="504"/>
      <c r="Q8" s="504"/>
      <c r="R8" s="497"/>
      <c r="S8" s="505"/>
    </row>
    <row r="9" spans="1:19" ht="14.45" customHeight="1" x14ac:dyDescent="0.2">
      <c r="A9" s="491" t="s">
        <v>436</v>
      </c>
      <c r="B9" s="492" t="s">
        <v>437</v>
      </c>
      <c r="C9" s="492" t="s">
        <v>430</v>
      </c>
      <c r="D9" s="492" t="s">
        <v>326</v>
      </c>
      <c r="E9" s="492" t="s">
        <v>438</v>
      </c>
      <c r="F9" s="492" t="s">
        <v>443</v>
      </c>
      <c r="G9" s="492" t="s">
        <v>444</v>
      </c>
      <c r="H9" s="504"/>
      <c r="I9" s="504"/>
      <c r="J9" s="492"/>
      <c r="K9" s="492"/>
      <c r="L9" s="504">
        <v>1</v>
      </c>
      <c r="M9" s="504">
        <v>347</v>
      </c>
      <c r="N9" s="492">
        <v>1</v>
      </c>
      <c r="O9" s="492">
        <v>347</v>
      </c>
      <c r="P9" s="504">
        <v>6</v>
      </c>
      <c r="Q9" s="504">
        <v>2100</v>
      </c>
      <c r="R9" s="497">
        <v>6.0518731988472618</v>
      </c>
      <c r="S9" s="505">
        <v>350</v>
      </c>
    </row>
    <row r="10" spans="1:19" ht="14.45" customHeight="1" thickBot="1" x14ac:dyDescent="0.25">
      <c r="A10" s="483" t="s">
        <v>436</v>
      </c>
      <c r="B10" s="484" t="s">
        <v>437</v>
      </c>
      <c r="C10" s="484" t="s">
        <v>430</v>
      </c>
      <c r="D10" s="484" t="s">
        <v>434</v>
      </c>
      <c r="E10" s="484" t="s">
        <v>438</v>
      </c>
      <c r="F10" s="484" t="s">
        <v>443</v>
      </c>
      <c r="G10" s="484" t="s">
        <v>444</v>
      </c>
      <c r="H10" s="506"/>
      <c r="I10" s="506"/>
      <c r="J10" s="484"/>
      <c r="K10" s="484"/>
      <c r="L10" s="506"/>
      <c r="M10" s="506"/>
      <c r="N10" s="484"/>
      <c r="O10" s="484"/>
      <c r="P10" s="506">
        <v>6</v>
      </c>
      <c r="Q10" s="506">
        <v>2100</v>
      </c>
      <c r="R10" s="489"/>
      <c r="S10" s="507">
        <v>350</v>
      </c>
    </row>
  </sheetData>
  <autoFilter ref="A5:S5" xr:uid="{00000000-0009-0000-0000-000023000000}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 xr:uid="{0F630809-48F3-4205-98F2-D80E57715EB2}"/>
  </hyperlinks>
  <pageMargins left="0.25" right="0.25" top="0.75" bottom="0.75" header="0.3" footer="0.3"/>
  <pageSetup paperSize="9" scale="79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List46">
    <tabColor theme="0" tint="-0.249977111117893"/>
    <outlinePr summaryRight="0"/>
    <pageSetUpPr fitToPage="1"/>
  </sheetPr>
  <dimension ref="A1:S27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ColWidth="8.85546875" defaultRowHeight="14.45" customHeight="1" outlineLevelCol="1" x14ac:dyDescent="0.2"/>
  <cols>
    <col min="1" max="1" width="46.7109375" style="126" bestFit="1" customWidth="1" collapsed="1"/>
    <col min="2" max="2" width="7.7109375" style="103" hidden="1" customWidth="1" outlineLevel="1"/>
    <col min="3" max="3" width="0.140625" style="126" hidden="1" customWidth="1"/>
    <col min="4" max="4" width="7.7109375" style="103" customWidth="1"/>
    <col min="5" max="5" width="5.42578125" style="126" hidden="1" customWidth="1"/>
    <col min="6" max="6" width="7.7109375" style="103" customWidth="1"/>
    <col min="7" max="7" width="7.7109375" style="206" customWidth="1" collapsed="1"/>
    <col min="8" max="8" width="7.7109375" style="103" hidden="1" customWidth="1" outlineLevel="1"/>
    <col min="9" max="9" width="5.42578125" style="126" hidden="1" customWidth="1"/>
    <col min="10" max="10" width="7.7109375" style="103" customWidth="1"/>
    <col min="11" max="11" width="5.42578125" style="126" hidden="1" customWidth="1"/>
    <col min="12" max="12" width="7.7109375" style="103" customWidth="1"/>
    <col min="13" max="13" width="7.7109375" style="206" customWidth="1" collapsed="1"/>
    <col min="14" max="14" width="7.7109375" style="103" hidden="1" customWidth="1" outlineLevel="1"/>
    <col min="15" max="15" width="5" style="126" hidden="1" customWidth="1"/>
    <col min="16" max="16" width="7.7109375" style="103" customWidth="1"/>
    <col min="17" max="17" width="5" style="126" hidden="1" customWidth="1"/>
    <col min="18" max="18" width="7.7109375" style="103" customWidth="1"/>
    <col min="19" max="19" width="7.7109375" style="206" customWidth="1"/>
    <col min="20" max="16384" width="8.85546875" style="126"/>
  </cols>
  <sheetData>
    <row r="1" spans="1:19" ht="18.600000000000001" customHeight="1" thickBot="1" x14ac:dyDescent="0.35">
      <c r="A1" s="310" t="s">
        <v>119</v>
      </c>
      <c r="B1" s="298"/>
      <c r="C1" s="298"/>
      <c r="D1" s="298"/>
      <c r="E1" s="298"/>
      <c r="F1" s="298"/>
      <c r="G1" s="298"/>
      <c r="H1" s="298"/>
      <c r="I1" s="298"/>
      <c r="J1" s="298"/>
      <c r="K1" s="298"/>
      <c r="L1" s="298"/>
      <c r="M1" s="298"/>
      <c r="N1" s="298"/>
      <c r="O1" s="298"/>
      <c r="P1" s="298"/>
      <c r="Q1" s="298"/>
      <c r="R1" s="298"/>
      <c r="S1" s="298"/>
    </row>
    <row r="2" spans="1:19" ht="14.45" customHeight="1" thickBot="1" x14ac:dyDescent="0.25">
      <c r="A2" s="413" t="s">
        <v>241</v>
      </c>
      <c r="B2" s="219"/>
      <c r="C2" s="108"/>
      <c r="D2" s="219"/>
      <c r="E2" s="108"/>
      <c r="F2" s="219"/>
      <c r="G2" s="220"/>
      <c r="H2" s="219"/>
      <c r="I2" s="108"/>
      <c r="J2" s="219"/>
      <c r="K2" s="108"/>
      <c r="L2" s="219"/>
      <c r="M2" s="220"/>
      <c r="N2" s="219"/>
      <c r="O2" s="108"/>
      <c r="P2" s="219"/>
      <c r="Q2" s="108"/>
      <c r="R2" s="219"/>
      <c r="S2" s="220"/>
    </row>
    <row r="3" spans="1:19" ht="14.45" customHeight="1" thickBot="1" x14ac:dyDescent="0.25">
      <c r="A3" s="213" t="s">
        <v>120</v>
      </c>
      <c r="B3" s="214">
        <f>SUBTOTAL(9,B6:B1048576)</f>
        <v>57296</v>
      </c>
      <c r="C3" s="215">
        <f t="shared" ref="C3:R3" si="0">SUBTOTAL(9,C6:C1048576)</f>
        <v>14.989673167608247</v>
      </c>
      <c r="D3" s="215">
        <f t="shared" si="0"/>
        <v>82750</v>
      </c>
      <c r="E3" s="215">
        <f t="shared" si="0"/>
        <v>19</v>
      </c>
      <c r="F3" s="215">
        <f t="shared" si="0"/>
        <v>91389</v>
      </c>
      <c r="G3" s="218">
        <f>IF(D3&lt;&gt;0,F3/D3,"")</f>
        <v>1.1043987915407856</v>
      </c>
      <c r="H3" s="214">
        <f t="shared" si="0"/>
        <v>0</v>
      </c>
      <c r="I3" s="215">
        <f t="shared" si="0"/>
        <v>0</v>
      </c>
      <c r="J3" s="215">
        <f t="shared" si="0"/>
        <v>0</v>
      </c>
      <c r="K3" s="215">
        <f t="shared" si="0"/>
        <v>0</v>
      </c>
      <c r="L3" s="215">
        <f t="shared" si="0"/>
        <v>0</v>
      </c>
      <c r="M3" s="216" t="str">
        <f>IF(J3&lt;&gt;0,L3/J3,"")</f>
        <v/>
      </c>
      <c r="N3" s="217">
        <f t="shared" si="0"/>
        <v>0</v>
      </c>
      <c r="O3" s="215">
        <f t="shared" si="0"/>
        <v>0</v>
      </c>
      <c r="P3" s="215">
        <f t="shared" si="0"/>
        <v>0</v>
      </c>
      <c r="Q3" s="215">
        <f t="shared" si="0"/>
        <v>0</v>
      </c>
      <c r="R3" s="215">
        <f t="shared" si="0"/>
        <v>0</v>
      </c>
      <c r="S3" s="216" t="str">
        <f>IF(P3&lt;&gt;0,R3/P3,"")</f>
        <v/>
      </c>
    </row>
    <row r="4" spans="1:19" ht="14.45" customHeight="1" x14ac:dyDescent="0.2">
      <c r="A4" s="393" t="s">
        <v>101</v>
      </c>
      <c r="B4" s="394" t="s">
        <v>95</v>
      </c>
      <c r="C4" s="395"/>
      <c r="D4" s="395"/>
      <c r="E4" s="395"/>
      <c r="F4" s="395"/>
      <c r="G4" s="397"/>
      <c r="H4" s="394" t="s">
        <v>96</v>
      </c>
      <c r="I4" s="395"/>
      <c r="J4" s="395"/>
      <c r="K4" s="395"/>
      <c r="L4" s="395"/>
      <c r="M4" s="397"/>
      <c r="N4" s="394" t="s">
        <v>97</v>
      </c>
      <c r="O4" s="395"/>
      <c r="P4" s="395"/>
      <c r="Q4" s="395"/>
      <c r="R4" s="395"/>
      <c r="S4" s="397"/>
    </row>
    <row r="5" spans="1:19" ht="14.45" customHeight="1" thickBot="1" x14ac:dyDescent="0.25">
      <c r="A5" s="522"/>
      <c r="B5" s="523">
        <v>2015</v>
      </c>
      <c r="C5" s="524"/>
      <c r="D5" s="524">
        <v>2018</v>
      </c>
      <c r="E5" s="524"/>
      <c r="F5" s="524">
        <v>2019</v>
      </c>
      <c r="G5" s="554" t="s">
        <v>2</v>
      </c>
      <c r="H5" s="523">
        <v>2015</v>
      </c>
      <c r="I5" s="524"/>
      <c r="J5" s="524">
        <v>2018</v>
      </c>
      <c r="K5" s="524"/>
      <c r="L5" s="524">
        <v>2019</v>
      </c>
      <c r="M5" s="554" t="s">
        <v>2</v>
      </c>
      <c r="N5" s="523">
        <v>2015</v>
      </c>
      <c r="O5" s="524"/>
      <c r="P5" s="524">
        <v>2018</v>
      </c>
      <c r="Q5" s="524"/>
      <c r="R5" s="524">
        <v>2019</v>
      </c>
      <c r="S5" s="554" t="s">
        <v>2</v>
      </c>
    </row>
    <row r="6" spans="1:19" ht="14.45" customHeight="1" x14ac:dyDescent="0.2">
      <c r="A6" s="515" t="s">
        <v>447</v>
      </c>
      <c r="B6" s="536">
        <v>3369</v>
      </c>
      <c r="C6" s="477">
        <v>0.70275344180225285</v>
      </c>
      <c r="D6" s="536">
        <v>4794</v>
      </c>
      <c r="E6" s="477">
        <v>1</v>
      </c>
      <c r="F6" s="536">
        <v>3222</v>
      </c>
      <c r="G6" s="482">
        <v>0.67209011264080099</v>
      </c>
      <c r="H6" s="536"/>
      <c r="I6" s="477"/>
      <c r="J6" s="536"/>
      <c r="K6" s="477"/>
      <c r="L6" s="536"/>
      <c r="M6" s="482"/>
      <c r="N6" s="536"/>
      <c r="O6" s="477"/>
      <c r="P6" s="536"/>
      <c r="Q6" s="477"/>
      <c r="R6" s="536"/>
      <c r="S6" s="119"/>
    </row>
    <row r="7" spans="1:19" ht="14.45" customHeight="1" x14ac:dyDescent="0.2">
      <c r="A7" s="518" t="s">
        <v>448</v>
      </c>
      <c r="B7" s="538">
        <v>7808</v>
      </c>
      <c r="C7" s="492">
        <v>0.52346473585411635</v>
      </c>
      <c r="D7" s="538">
        <v>14916</v>
      </c>
      <c r="E7" s="492">
        <v>1</v>
      </c>
      <c r="F7" s="538">
        <v>4467</v>
      </c>
      <c r="G7" s="497">
        <v>0.29947707160096543</v>
      </c>
      <c r="H7" s="538"/>
      <c r="I7" s="492"/>
      <c r="J7" s="538"/>
      <c r="K7" s="492"/>
      <c r="L7" s="538"/>
      <c r="M7" s="497"/>
      <c r="N7" s="538"/>
      <c r="O7" s="492"/>
      <c r="P7" s="538"/>
      <c r="Q7" s="492"/>
      <c r="R7" s="538"/>
      <c r="S7" s="498"/>
    </row>
    <row r="8" spans="1:19" ht="14.45" customHeight="1" x14ac:dyDescent="0.2">
      <c r="A8" s="518" t="s">
        <v>449</v>
      </c>
      <c r="B8" s="538">
        <v>7451</v>
      </c>
      <c r="C8" s="492">
        <v>0.91277716525787089</v>
      </c>
      <c r="D8" s="538">
        <v>8163</v>
      </c>
      <c r="E8" s="492">
        <v>1</v>
      </c>
      <c r="F8" s="538">
        <v>18421</v>
      </c>
      <c r="G8" s="497">
        <v>2.2566458409898322</v>
      </c>
      <c r="H8" s="538"/>
      <c r="I8" s="492"/>
      <c r="J8" s="538"/>
      <c r="K8" s="492"/>
      <c r="L8" s="538"/>
      <c r="M8" s="497"/>
      <c r="N8" s="538"/>
      <c r="O8" s="492"/>
      <c r="P8" s="538"/>
      <c r="Q8" s="492"/>
      <c r="R8" s="538"/>
      <c r="S8" s="498"/>
    </row>
    <row r="9" spans="1:19" ht="14.45" customHeight="1" x14ac:dyDescent="0.2">
      <c r="A9" s="518" t="s">
        <v>450</v>
      </c>
      <c r="B9" s="538"/>
      <c r="C9" s="492"/>
      <c r="D9" s="538">
        <v>1057</v>
      </c>
      <c r="E9" s="492">
        <v>1</v>
      </c>
      <c r="F9" s="538">
        <v>2327</v>
      </c>
      <c r="G9" s="497">
        <v>2.2015137180700095</v>
      </c>
      <c r="H9" s="538"/>
      <c r="I9" s="492"/>
      <c r="J9" s="538"/>
      <c r="K9" s="492"/>
      <c r="L9" s="538"/>
      <c r="M9" s="497"/>
      <c r="N9" s="538"/>
      <c r="O9" s="492"/>
      <c r="P9" s="538"/>
      <c r="Q9" s="492"/>
      <c r="R9" s="538"/>
      <c r="S9" s="498"/>
    </row>
    <row r="10" spans="1:19" ht="14.45" customHeight="1" x14ac:dyDescent="0.2">
      <c r="A10" s="518" t="s">
        <v>451</v>
      </c>
      <c r="B10" s="538">
        <v>355</v>
      </c>
      <c r="C10" s="492">
        <v>1</v>
      </c>
      <c r="D10" s="538">
        <v>355</v>
      </c>
      <c r="E10" s="492">
        <v>1</v>
      </c>
      <c r="F10" s="538"/>
      <c r="G10" s="497"/>
      <c r="H10" s="538"/>
      <c r="I10" s="492"/>
      <c r="J10" s="538"/>
      <c r="K10" s="492"/>
      <c r="L10" s="538"/>
      <c r="M10" s="497"/>
      <c r="N10" s="538"/>
      <c r="O10" s="492"/>
      <c r="P10" s="538"/>
      <c r="Q10" s="492"/>
      <c r="R10" s="538"/>
      <c r="S10" s="498"/>
    </row>
    <row r="11" spans="1:19" ht="14.45" customHeight="1" x14ac:dyDescent="0.2">
      <c r="A11" s="518" t="s">
        <v>452</v>
      </c>
      <c r="B11" s="538"/>
      <c r="C11" s="492"/>
      <c r="D11" s="538">
        <v>355</v>
      </c>
      <c r="E11" s="492">
        <v>1</v>
      </c>
      <c r="F11" s="538"/>
      <c r="G11" s="497"/>
      <c r="H11" s="538"/>
      <c r="I11" s="492"/>
      <c r="J11" s="538"/>
      <c r="K11" s="492"/>
      <c r="L11" s="538"/>
      <c r="M11" s="497"/>
      <c r="N11" s="538"/>
      <c r="O11" s="492"/>
      <c r="P11" s="538"/>
      <c r="Q11" s="492"/>
      <c r="R11" s="538"/>
      <c r="S11" s="498"/>
    </row>
    <row r="12" spans="1:19" ht="14.45" customHeight="1" x14ac:dyDescent="0.2">
      <c r="A12" s="518" t="s">
        <v>453</v>
      </c>
      <c r="B12" s="538">
        <v>15254</v>
      </c>
      <c r="C12" s="492">
        <v>0.51110738817222312</v>
      </c>
      <c r="D12" s="538">
        <v>29845</v>
      </c>
      <c r="E12" s="492">
        <v>1</v>
      </c>
      <c r="F12" s="538">
        <v>28095</v>
      </c>
      <c r="G12" s="497">
        <v>0.94136371251465911</v>
      </c>
      <c r="H12" s="538"/>
      <c r="I12" s="492"/>
      <c r="J12" s="538"/>
      <c r="K12" s="492"/>
      <c r="L12" s="538"/>
      <c r="M12" s="497"/>
      <c r="N12" s="538"/>
      <c r="O12" s="492"/>
      <c r="P12" s="538"/>
      <c r="Q12" s="492"/>
      <c r="R12" s="538"/>
      <c r="S12" s="498"/>
    </row>
    <row r="13" spans="1:19" ht="14.45" customHeight="1" x14ac:dyDescent="0.2">
      <c r="A13" s="518" t="s">
        <v>454</v>
      </c>
      <c r="B13" s="538">
        <v>1242</v>
      </c>
      <c r="C13" s="492">
        <v>3.4985915492957744</v>
      </c>
      <c r="D13" s="538">
        <v>355</v>
      </c>
      <c r="E13" s="492">
        <v>1</v>
      </c>
      <c r="F13" s="538">
        <v>895</v>
      </c>
      <c r="G13" s="497">
        <v>2.5211267605633805</v>
      </c>
      <c r="H13" s="538"/>
      <c r="I13" s="492"/>
      <c r="J13" s="538"/>
      <c r="K13" s="492"/>
      <c r="L13" s="538"/>
      <c r="M13" s="497"/>
      <c r="N13" s="538"/>
      <c r="O13" s="492"/>
      <c r="P13" s="538"/>
      <c r="Q13" s="492"/>
      <c r="R13" s="538"/>
      <c r="S13" s="498"/>
    </row>
    <row r="14" spans="1:19" ht="14.45" customHeight="1" x14ac:dyDescent="0.2">
      <c r="A14" s="518" t="s">
        <v>455</v>
      </c>
      <c r="B14" s="538">
        <v>5143</v>
      </c>
      <c r="C14" s="492">
        <v>1.0343925985518907</v>
      </c>
      <c r="D14" s="538">
        <v>4972</v>
      </c>
      <c r="E14" s="492">
        <v>1</v>
      </c>
      <c r="F14" s="538">
        <v>6965</v>
      </c>
      <c r="G14" s="497">
        <v>1.4008447304907481</v>
      </c>
      <c r="H14" s="538"/>
      <c r="I14" s="492"/>
      <c r="J14" s="538"/>
      <c r="K14" s="492"/>
      <c r="L14" s="538"/>
      <c r="M14" s="497"/>
      <c r="N14" s="538"/>
      <c r="O14" s="492"/>
      <c r="P14" s="538"/>
      <c r="Q14" s="492"/>
      <c r="R14" s="538"/>
      <c r="S14" s="498"/>
    </row>
    <row r="15" spans="1:19" ht="14.45" customHeight="1" x14ac:dyDescent="0.2">
      <c r="A15" s="518" t="s">
        <v>456</v>
      </c>
      <c r="B15" s="538">
        <v>887</v>
      </c>
      <c r="C15" s="492"/>
      <c r="D15" s="538"/>
      <c r="E15" s="492"/>
      <c r="F15" s="538"/>
      <c r="G15" s="497"/>
      <c r="H15" s="538"/>
      <c r="I15" s="492"/>
      <c r="J15" s="538"/>
      <c r="K15" s="492"/>
      <c r="L15" s="538"/>
      <c r="M15" s="497"/>
      <c r="N15" s="538"/>
      <c r="O15" s="492"/>
      <c r="P15" s="538"/>
      <c r="Q15" s="492"/>
      <c r="R15" s="538"/>
      <c r="S15" s="498"/>
    </row>
    <row r="16" spans="1:19" ht="14.45" customHeight="1" x14ac:dyDescent="0.2">
      <c r="A16" s="518" t="s">
        <v>457</v>
      </c>
      <c r="B16" s="538"/>
      <c r="C16" s="492"/>
      <c r="D16" s="538"/>
      <c r="E16" s="492"/>
      <c r="F16" s="538">
        <v>1074</v>
      </c>
      <c r="G16" s="497"/>
      <c r="H16" s="538"/>
      <c r="I16" s="492"/>
      <c r="J16" s="538"/>
      <c r="K16" s="492"/>
      <c r="L16" s="538"/>
      <c r="M16" s="497"/>
      <c r="N16" s="538"/>
      <c r="O16" s="492"/>
      <c r="P16" s="538"/>
      <c r="Q16" s="492"/>
      <c r="R16" s="538"/>
      <c r="S16" s="498"/>
    </row>
    <row r="17" spans="1:19" ht="14.45" customHeight="1" x14ac:dyDescent="0.2">
      <c r="A17" s="518" t="s">
        <v>458</v>
      </c>
      <c r="B17" s="538"/>
      <c r="C17" s="492"/>
      <c r="D17" s="538"/>
      <c r="E17" s="492"/>
      <c r="F17" s="538">
        <v>537</v>
      </c>
      <c r="G17" s="497"/>
      <c r="H17" s="538"/>
      <c r="I17" s="492"/>
      <c r="J17" s="538"/>
      <c r="K17" s="492"/>
      <c r="L17" s="538"/>
      <c r="M17" s="497"/>
      <c r="N17" s="538"/>
      <c r="O17" s="492"/>
      <c r="P17" s="538"/>
      <c r="Q17" s="492"/>
      <c r="R17" s="538"/>
      <c r="S17" s="498"/>
    </row>
    <row r="18" spans="1:19" ht="14.45" customHeight="1" x14ac:dyDescent="0.2">
      <c r="A18" s="518" t="s">
        <v>459</v>
      </c>
      <c r="B18" s="538"/>
      <c r="C18" s="492"/>
      <c r="D18" s="538">
        <v>1065</v>
      </c>
      <c r="E18" s="492">
        <v>1</v>
      </c>
      <c r="F18" s="538">
        <v>358</v>
      </c>
      <c r="G18" s="497">
        <v>0.33615023474178402</v>
      </c>
      <c r="H18" s="538"/>
      <c r="I18" s="492"/>
      <c r="J18" s="538"/>
      <c r="K18" s="492"/>
      <c r="L18" s="538"/>
      <c r="M18" s="497"/>
      <c r="N18" s="538"/>
      <c r="O18" s="492"/>
      <c r="P18" s="538"/>
      <c r="Q18" s="492"/>
      <c r="R18" s="538"/>
      <c r="S18" s="498"/>
    </row>
    <row r="19" spans="1:19" ht="14.45" customHeight="1" x14ac:dyDescent="0.2">
      <c r="A19" s="518" t="s">
        <v>460</v>
      </c>
      <c r="B19" s="538">
        <v>3903</v>
      </c>
      <c r="C19" s="492">
        <v>1.2932405566600398</v>
      </c>
      <c r="D19" s="538">
        <v>3018</v>
      </c>
      <c r="E19" s="492">
        <v>1</v>
      </c>
      <c r="F19" s="538">
        <v>1432</v>
      </c>
      <c r="G19" s="497">
        <v>0.47448641484426773</v>
      </c>
      <c r="H19" s="538"/>
      <c r="I19" s="492"/>
      <c r="J19" s="538"/>
      <c r="K19" s="492"/>
      <c r="L19" s="538"/>
      <c r="M19" s="497"/>
      <c r="N19" s="538"/>
      <c r="O19" s="492"/>
      <c r="P19" s="538"/>
      <c r="Q19" s="492"/>
      <c r="R19" s="538"/>
      <c r="S19" s="498"/>
    </row>
    <row r="20" spans="1:19" ht="14.45" customHeight="1" x14ac:dyDescent="0.2">
      <c r="A20" s="518" t="s">
        <v>461</v>
      </c>
      <c r="B20" s="538">
        <v>710</v>
      </c>
      <c r="C20" s="492">
        <v>0.66604127579737338</v>
      </c>
      <c r="D20" s="538">
        <v>1066</v>
      </c>
      <c r="E20" s="492">
        <v>1</v>
      </c>
      <c r="F20" s="538">
        <v>2677</v>
      </c>
      <c r="G20" s="497">
        <v>2.5112570356472794</v>
      </c>
      <c r="H20" s="538"/>
      <c r="I20" s="492"/>
      <c r="J20" s="538"/>
      <c r="K20" s="492"/>
      <c r="L20" s="538"/>
      <c r="M20" s="497"/>
      <c r="N20" s="538"/>
      <c r="O20" s="492"/>
      <c r="P20" s="538"/>
      <c r="Q20" s="492"/>
      <c r="R20" s="538"/>
      <c r="S20" s="498"/>
    </row>
    <row r="21" spans="1:19" ht="14.45" customHeight="1" x14ac:dyDescent="0.2">
      <c r="A21" s="518" t="s">
        <v>462</v>
      </c>
      <c r="B21" s="538"/>
      <c r="C21" s="492"/>
      <c r="D21" s="538">
        <v>1776</v>
      </c>
      <c r="E21" s="492">
        <v>1</v>
      </c>
      <c r="F21" s="538">
        <v>1074</v>
      </c>
      <c r="G21" s="497">
        <v>0.60472972972972971</v>
      </c>
      <c r="H21" s="538"/>
      <c r="I21" s="492"/>
      <c r="J21" s="538"/>
      <c r="K21" s="492"/>
      <c r="L21" s="538"/>
      <c r="M21" s="497"/>
      <c r="N21" s="538"/>
      <c r="O21" s="492"/>
      <c r="P21" s="538"/>
      <c r="Q21" s="492"/>
      <c r="R21" s="538"/>
      <c r="S21" s="498"/>
    </row>
    <row r="22" spans="1:19" ht="14.45" customHeight="1" x14ac:dyDescent="0.2">
      <c r="A22" s="518" t="s">
        <v>463</v>
      </c>
      <c r="B22" s="538">
        <v>1773</v>
      </c>
      <c r="C22" s="492">
        <v>0.71319388576025744</v>
      </c>
      <c r="D22" s="538">
        <v>2486</v>
      </c>
      <c r="E22" s="492">
        <v>1</v>
      </c>
      <c r="F22" s="538">
        <v>1782</v>
      </c>
      <c r="G22" s="497">
        <v>0.7168141592920354</v>
      </c>
      <c r="H22" s="538"/>
      <c r="I22" s="492"/>
      <c r="J22" s="538"/>
      <c r="K22" s="492"/>
      <c r="L22" s="538"/>
      <c r="M22" s="497"/>
      <c r="N22" s="538"/>
      <c r="O22" s="492"/>
      <c r="P22" s="538"/>
      <c r="Q22" s="492"/>
      <c r="R22" s="538"/>
      <c r="S22" s="498"/>
    </row>
    <row r="23" spans="1:19" ht="14.45" customHeight="1" x14ac:dyDescent="0.2">
      <c r="A23" s="518" t="s">
        <v>464</v>
      </c>
      <c r="B23" s="538">
        <v>6564</v>
      </c>
      <c r="C23" s="492">
        <v>1.3196622436670689</v>
      </c>
      <c r="D23" s="538">
        <v>4974</v>
      </c>
      <c r="E23" s="492">
        <v>1</v>
      </c>
      <c r="F23" s="538">
        <v>8413</v>
      </c>
      <c r="G23" s="497">
        <v>1.6913952553277041</v>
      </c>
      <c r="H23" s="538"/>
      <c r="I23" s="492"/>
      <c r="J23" s="538"/>
      <c r="K23" s="492"/>
      <c r="L23" s="538"/>
      <c r="M23" s="497"/>
      <c r="N23" s="538"/>
      <c r="O23" s="492"/>
      <c r="P23" s="538"/>
      <c r="Q23" s="492"/>
      <c r="R23" s="538"/>
      <c r="S23" s="498"/>
    </row>
    <row r="24" spans="1:19" ht="14.45" customHeight="1" x14ac:dyDescent="0.2">
      <c r="A24" s="518" t="s">
        <v>465</v>
      </c>
      <c r="B24" s="538">
        <v>177</v>
      </c>
      <c r="C24" s="492">
        <v>0.49859154929577465</v>
      </c>
      <c r="D24" s="538">
        <v>355</v>
      </c>
      <c r="E24" s="492">
        <v>1</v>
      </c>
      <c r="F24" s="538">
        <v>358</v>
      </c>
      <c r="G24" s="497">
        <v>1.0084507042253521</v>
      </c>
      <c r="H24" s="538"/>
      <c r="I24" s="492"/>
      <c r="J24" s="538"/>
      <c r="K24" s="492"/>
      <c r="L24" s="538"/>
      <c r="M24" s="497"/>
      <c r="N24" s="538"/>
      <c r="O24" s="492"/>
      <c r="P24" s="538"/>
      <c r="Q24" s="492"/>
      <c r="R24" s="538"/>
      <c r="S24" s="498"/>
    </row>
    <row r="25" spans="1:19" ht="14.45" customHeight="1" x14ac:dyDescent="0.2">
      <c r="A25" s="518" t="s">
        <v>466</v>
      </c>
      <c r="B25" s="538">
        <v>1065</v>
      </c>
      <c r="C25" s="492">
        <v>1.5</v>
      </c>
      <c r="D25" s="538">
        <v>710</v>
      </c>
      <c r="E25" s="492">
        <v>1</v>
      </c>
      <c r="F25" s="538">
        <v>2864</v>
      </c>
      <c r="G25" s="497">
        <v>4.0338028169014084</v>
      </c>
      <c r="H25" s="538"/>
      <c r="I25" s="492"/>
      <c r="J25" s="538"/>
      <c r="K25" s="492"/>
      <c r="L25" s="538"/>
      <c r="M25" s="497"/>
      <c r="N25" s="538"/>
      <c r="O25" s="492"/>
      <c r="P25" s="538"/>
      <c r="Q25" s="492"/>
      <c r="R25" s="538"/>
      <c r="S25" s="498"/>
    </row>
    <row r="26" spans="1:19" ht="14.45" customHeight="1" x14ac:dyDescent="0.2">
      <c r="A26" s="518" t="s">
        <v>467</v>
      </c>
      <c r="B26" s="538">
        <v>1595</v>
      </c>
      <c r="C26" s="492">
        <v>0.81585677749360619</v>
      </c>
      <c r="D26" s="538">
        <v>1955</v>
      </c>
      <c r="E26" s="492">
        <v>1</v>
      </c>
      <c r="F26" s="538">
        <v>5720</v>
      </c>
      <c r="G26" s="497">
        <v>2.925831202046036</v>
      </c>
      <c r="H26" s="538"/>
      <c r="I26" s="492"/>
      <c r="J26" s="538"/>
      <c r="K26" s="492"/>
      <c r="L26" s="538"/>
      <c r="M26" s="497"/>
      <c r="N26" s="538"/>
      <c r="O26" s="492"/>
      <c r="P26" s="538"/>
      <c r="Q26" s="492"/>
      <c r="R26" s="538"/>
      <c r="S26" s="498"/>
    </row>
    <row r="27" spans="1:19" ht="14.45" customHeight="1" thickBot="1" x14ac:dyDescent="0.25">
      <c r="A27" s="542" t="s">
        <v>468</v>
      </c>
      <c r="B27" s="540"/>
      <c r="C27" s="484"/>
      <c r="D27" s="540">
        <v>533</v>
      </c>
      <c r="E27" s="484">
        <v>1</v>
      </c>
      <c r="F27" s="540">
        <v>708</v>
      </c>
      <c r="G27" s="489">
        <v>1.3283302063789868</v>
      </c>
      <c r="H27" s="540"/>
      <c r="I27" s="484"/>
      <c r="J27" s="540"/>
      <c r="K27" s="484"/>
      <c r="L27" s="540"/>
      <c r="M27" s="489"/>
      <c r="N27" s="540"/>
      <c r="O27" s="484"/>
      <c r="P27" s="540"/>
      <c r="Q27" s="484"/>
      <c r="R27" s="540"/>
      <c r="S27" s="490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 xr:uid="{773CF71A-A0D9-4371-A053-29C43E69C7A5}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M3 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List21">
    <tabColor theme="0" tint="-0.249977111117893"/>
    <outlinePr summaryRight="0"/>
    <pageSetUpPr fitToPage="1"/>
  </sheetPr>
  <dimension ref="A1:Q55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ColWidth="8.85546875" defaultRowHeight="14.45" customHeight="1" outlineLevelCol="1" x14ac:dyDescent="0.2"/>
  <cols>
    <col min="1" max="1" width="3" style="126" bestFit="1" customWidth="1"/>
    <col min="2" max="2" width="8.7109375" style="126" bestFit="1" customWidth="1"/>
    <col min="3" max="3" width="2.140625" style="126" bestFit="1" customWidth="1"/>
    <col min="4" max="4" width="8" style="126" bestFit="1" customWidth="1"/>
    <col min="5" max="5" width="52.85546875" style="126" bestFit="1" customWidth="1" collapsed="1"/>
    <col min="6" max="7" width="11.140625" style="203" hidden="1" customWidth="1" outlineLevel="1"/>
    <col min="8" max="9" width="9.28515625" style="203" hidden="1" customWidth="1"/>
    <col min="10" max="11" width="11.140625" style="203" customWidth="1"/>
    <col min="12" max="13" width="9.28515625" style="203" hidden="1" customWidth="1"/>
    <col min="14" max="15" width="11.140625" style="203" customWidth="1"/>
    <col min="16" max="16" width="11.140625" style="206" customWidth="1"/>
    <col min="17" max="17" width="11.140625" style="203" customWidth="1"/>
    <col min="18" max="16384" width="8.85546875" style="126"/>
  </cols>
  <sheetData>
    <row r="1" spans="1:17" ht="18.600000000000001" customHeight="1" thickBot="1" x14ac:dyDescent="0.35">
      <c r="A1" s="298" t="s">
        <v>490</v>
      </c>
      <c r="B1" s="298"/>
      <c r="C1" s="298"/>
      <c r="D1" s="298"/>
      <c r="E1" s="298"/>
      <c r="F1" s="298"/>
      <c r="G1" s="298"/>
      <c r="H1" s="298"/>
      <c r="I1" s="298"/>
      <c r="J1" s="298"/>
      <c r="K1" s="298"/>
      <c r="L1" s="298"/>
      <c r="M1" s="298"/>
      <c r="N1" s="298"/>
      <c r="O1" s="298"/>
      <c r="P1" s="298"/>
      <c r="Q1" s="298"/>
    </row>
    <row r="2" spans="1:17" ht="14.45" customHeight="1" thickBot="1" x14ac:dyDescent="0.25">
      <c r="A2" s="413" t="s">
        <v>241</v>
      </c>
      <c r="B2" s="127"/>
      <c r="C2" s="127"/>
      <c r="D2" s="127"/>
      <c r="E2" s="127"/>
      <c r="F2" s="221"/>
      <c r="G2" s="221"/>
      <c r="H2" s="221"/>
      <c r="I2" s="221"/>
      <c r="J2" s="221"/>
      <c r="K2" s="221"/>
      <c r="L2" s="221"/>
      <c r="M2" s="221"/>
      <c r="N2" s="221"/>
      <c r="O2" s="221"/>
      <c r="P2" s="222"/>
      <c r="Q2" s="221"/>
    </row>
    <row r="3" spans="1:17" ht="14.45" customHeight="1" thickBot="1" x14ac:dyDescent="0.25">
      <c r="E3" s="86" t="s">
        <v>120</v>
      </c>
      <c r="F3" s="99">
        <f t="shared" ref="F3:O3" si="0">SUBTOTAL(9,F6:F1048576)</f>
        <v>198</v>
      </c>
      <c r="G3" s="100">
        <f t="shared" si="0"/>
        <v>57296</v>
      </c>
      <c r="H3" s="100"/>
      <c r="I3" s="100"/>
      <c r="J3" s="100">
        <f t="shared" si="0"/>
        <v>284</v>
      </c>
      <c r="K3" s="100">
        <f t="shared" si="0"/>
        <v>82750</v>
      </c>
      <c r="L3" s="100"/>
      <c r="M3" s="100"/>
      <c r="N3" s="100">
        <f t="shared" si="0"/>
        <v>324</v>
      </c>
      <c r="O3" s="100">
        <f t="shared" si="0"/>
        <v>91389</v>
      </c>
      <c r="P3" s="74">
        <f>IF(K3=0,0,O3/K3)</f>
        <v>1.1043987915407856</v>
      </c>
      <c r="Q3" s="101">
        <f>IF(N3=0,0,O3/N3)</f>
        <v>282.06481481481484</v>
      </c>
    </row>
    <row r="4" spans="1:17" ht="14.45" customHeight="1" x14ac:dyDescent="0.2">
      <c r="A4" s="402" t="s">
        <v>65</v>
      </c>
      <c r="B4" s="400" t="s">
        <v>91</v>
      </c>
      <c r="C4" s="402" t="s">
        <v>92</v>
      </c>
      <c r="D4" s="411" t="s">
        <v>93</v>
      </c>
      <c r="E4" s="403" t="s">
        <v>66</v>
      </c>
      <c r="F4" s="409">
        <v>2015</v>
      </c>
      <c r="G4" s="410"/>
      <c r="H4" s="102"/>
      <c r="I4" s="102"/>
      <c r="J4" s="409">
        <v>2018</v>
      </c>
      <c r="K4" s="410"/>
      <c r="L4" s="102"/>
      <c r="M4" s="102"/>
      <c r="N4" s="409">
        <v>2019</v>
      </c>
      <c r="O4" s="410"/>
      <c r="P4" s="412" t="s">
        <v>2</v>
      </c>
      <c r="Q4" s="401" t="s">
        <v>94</v>
      </c>
    </row>
    <row r="5" spans="1:17" ht="14.45" customHeight="1" thickBot="1" x14ac:dyDescent="0.25">
      <c r="A5" s="545"/>
      <c r="B5" s="543"/>
      <c r="C5" s="545"/>
      <c r="D5" s="555"/>
      <c r="E5" s="547"/>
      <c r="F5" s="556" t="s">
        <v>68</v>
      </c>
      <c r="G5" s="557" t="s">
        <v>11</v>
      </c>
      <c r="H5" s="558"/>
      <c r="I5" s="558"/>
      <c r="J5" s="556" t="s">
        <v>68</v>
      </c>
      <c r="K5" s="557" t="s">
        <v>11</v>
      </c>
      <c r="L5" s="558"/>
      <c r="M5" s="558"/>
      <c r="N5" s="556" t="s">
        <v>68</v>
      </c>
      <c r="O5" s="557" t="s">
        <v>11</v>
      </c>
      <c r="P5" s="559"/>
      <c r="Q5" s="552"/>
    </row>
    <row r="6" spans="1:17" ht="14.45" customHeight="1" x14ac:dyDescent="0.2">
      <c r="A6" s="476" t="s">
        <v>469</v>
      </c>
      <c r="B6" s="477" t="s">
        <v>437</v>
      </c>
      <c r="C6" s="477" t="s">
        <v>438</v>
      </c>
      <c r="D6" s="477" t="s">
        <v>439</v>
      </c>
      <c r="E6" s="477" t="s">
        <v>440</v>
      </c>
      <c r="F6" s="113">
        <v>6</v>
      </c>
      <c r="G6" s="113">
        <v>2130</v>
      </c>
      <c r="H6" s="113">
        <v>0.5</v>
      </c>
      <c r="I6" s="113">
        <v>355</v>
      </c>
      <c r="J6" s="113">
        <v>12</v>
      </c>
      <c r="K6" s="113">
        <v>4260</v>
      </c>
      <c r="L6" s="113">
        <v>1</v>
      </c>
      <c r="M6" s="113">
        <v>355</v>
      </c>
      <c r="N6" s="113">
        <v>7</v>
      </c>
      <c r="O6" s="113">
        <v>2506</v>
      </c>
      <c r="P6" s="482">
        <v>0.5882629107981221</v>
      </c>
      <c r="Q6" s="503">
        <v>358</v>
      </c>
    </row>
    <row r="7" spans="1:17" ht="14.45" customHeight="1" x14ac:dyDescent="0.2">
      <c r="A7" s="491" t="s">
        <v>469</v>
      </c>
      <c r="B7" s="492" t="s">
        <v>437</v>
      </c>
      <c r="C7" s="492" t="s">
        <v>438</v>
      </c>
      <c r="D7" s="492" t="s">
        <v>441</v>
      </c>
      <c r="E7" s="492" t="s">
        <v>442</v>
      </c>
      <c r="F7" s="504">
        <v>7</v>
      </c>
      <c r="G7" s="504">
        <v>1239</v>
      </c>
      <c r="H7" s="504">
        <v>2.3202247191011236</v>
      </c>
      <c r="I7" s="504">
        <v>177</v>
      </c>
      <c r="J7" s="504">
        <v>3</v>
      </c>
      <c r="K7" s="504">
        <v>534</v>
      </c>
      <c r="L7" s="504">
        <v>1</v>
      </c>
      <c r="M7" s="504">
        <v>178</v>
      </c>
      <c r="N7" s="504">
        <v>4</v>
      </c>
      <c r="O7" s="504">
        <v>716</v>
      </c>
      <c r="P7" s="497">
        <v>1.3408239700374531</v>
      </c>
      <c r="Q7" s="505">
        <v>179</v>
      </c>
    </row>
    <row r="8" spans="1:17" ht="14.45" customHeight="1" x14ac:dyDescent="0.2">
      <c r="A8" s="491" t="s">
        <v>470</v>
      </c>
      <c r="B8" s="492" t="s">
        <v>437</v>
      </c>
      <c r="C8" s="492" t="s">
        <v>438</v>
      </c>
      <c r="D8" s="492" t="s">
        <v>439</v>
      </c>
      <c r="E8" s="492" t="s">
        <v>440</v>
      </c>
      <c r="F8" s="504">
        <v>20</v>
      </c>
      <c r="G8" s="504">
        <v>7100</v>
      </c>
      <c r="H8" s="504">
        <v>0.55555555555555558</v>
      </c>
      <c r="I8" s="504">
        <v>355</v>
      </c>
      <c r="J8" s="504">
        <v>36</v>
      </c>
      <c r="K8" s="504">
        <v>12780</v>
      </c>
      <c r="L8" s="504">
        <v>1</v>
      </c>
      <c r="M8" s="504">
        <v>355</v>
      </c>
      <c r="N8" s="504">
        <v>9</v>
      </c>
      <c r="O8" s="504">
        <v>3222</v>
      </c>
      <c r="P8" s="497">
        <v>0.25211267605633803</v>
      </c>
      <c r="Q8" s="505">
        <v>358</v>
      </c>
    </row>
    <row r="9" spans="1:17" ht="14.45" customHeight="1" x14ac:dyDescent="0.2">
      <c r="A9" s="491" t="s">
        <v>470</v>
      </c>
      <c r="B9" s="492" t="s">
        <v>437</v>
      </c>
      <c r="C9" s="492" t="s">
        <v>438</v>
      </c>
      <c r="D9" s="492" t="s">
        <v>441</v>
      </c>
      <c r="E9" s="492" t="s">
        <v>442</v>
      </c>
      <c r="F9" s="504">
        <v>4</v>
      </c>
      <c r="G9" s="504">
        <v>708</v>
      </c>
      <c r="H9" s="504">
        <v>0.33146067415730335</v>
      </c>
      <c r="I9" s="504">
        <v>177</v>
      </c>
      <c r="J9" s="504">
        <v>12</v>
      </c>
      <c r="K9" s="504">
        <v>2136</v>
      </c>
      <c r="L9" s="504">
        <v>1</v>
      </c>
      <c r="M9" s="504">
        <v>178</v>
      </c>
      <c r="N9" s="504">
        <v>5</v>
      </c>
      <c r="O9" s="504">
        <v>895</v>
      </c>
      <c r="P9" s="497">
        <v>0.41900749063670412</v>
      </c>
      <c r="Q9" s="505">
        <v>179</v>
      </c>
    </row>
    <row r="10" spans="1:17" ht="14.45" customHeight="1" x14ac:dyDescent="0.2">
      <c r="A10" s="491" t="s">
        <v>470</v>
      </c>
      <c r="B10" s="492" t="s">
        <v>437</v>
      </c>
      <c r="C10" s="492" t="s">
        <v>438</v>
      </c>
      <c r="D10" s="492" t="s">
        <v>443</v>
      </c>
      <c r="E10" s="492" t="s">
        <v>444</v>
      </c>
      <c r="F10" s="504"/>
      <c r="G10" s="504"/>
      <c r="H10" s="504"/>
      <c r="I10" s="504"/>
      <c r="J10" s="504"/>
      <c r="K10" s="504"/>
      <c r="L10" s="504"/>
      <c r="M10" s="504"/>
      <c r="N10" s="504">
        <v>1</v>
      </c>
      <c r="O10" s="504">
        <v>350</v>
      </c>
      <c r="P10" s="497"/>
      <c r="Q10" s="505">
        <v>350</v>
      </c>
    </row>
    <row r="11" spans="1:17" ht="14.45" customHeight="1" x14ac:dyDescent="0.2">
      <c r="A11" s="491" t="s">
        <v>471</v>
      </c>
      <c r="B11" s="492" t="s">
        <v>437</v>
      </c>
      <c r="C11" s="492" t="s">
        <v>438</v>
      </c>
      <c r="D11" s="492" t="s">
        <v>439</v>
      </c>
      <c r="E11" s="492" t="s">
        <v>440</v>
      </c>
      <c r="F11" s="504">
        <v>17</v>
      </c>
      <c r="G11" s="504">
        <v>6035</v>
      </c>
      <c r="H11" s="504">
        <v>1.0625</v>
      </c>
      <c r="I11" s="504">
        <v>355</v>
      </c>
      <c r="J11" s="504">
        <v>16</v>
      </c>
      <c r="K11" s="504">
        <v>5680</v>
      </c>
      <c r="L11" s="504">
        <v>1</v>
      </c>
      <c r="M11" s="504">
        <v>355</v>
      </c>
      <c r="N11" s="504">
        <v>39</v>
      </c>
      <c r="O11" s="504">
        <v>13962</v>
      </c>
      <c r="P11" s="497">
        <v>2.4580985915492959</v>
      </c>
      <c r="Q11" s="505">
        <v>358</v>
      </c>
    </row>
    <row r="12" spans="1:17" ht="14.45" customHeight="1" x14ac:dyDescent="0.2">
      <c r="A12" s="491" t="s">
        <v>471</v>
      </c>
      <c r="B12" s="492" t="s">
        <v>437</v>
      </c>
      <c r="C12" s="492" t="s">
        <v>438</v>
      </c>
      <c r="D12" s="492" t="s">
        <v>441</v>
      </c>
      <c r="E12" s="492" t="s">
        <v>442</v>
      </c>
      <c r="F12" s="504">
        <v>8</v>
      </c>
      <c r="G12" s="504">
        <v>1416</v>
      </c>
      <c r="H12" s="504">
        <v>0.6629213483146067</v>
      </c>
      <c r="I12" s="504">
        <v>177</v>
      </c>
      <c r="J12" s="504">
        <v>12</v>
      </c>
      <c r="K12" s="504">
        <v>2136</v>
      </c>
      <c r="L12" s="504">
        <v>1</v>
      </c>
      <c r="M12" s="504">
        <v>178</v>
      </c>
      <c r="N12" s="504">
        <v>21</v>
      </c>
      <c r="O12" s="504">
        <v>3759</v>
      </c>
      <c r="P12" s="497">
        <v>1.7598314606741574</v>
      </c>
      <c r="Q12" s="505">
        <v>179</v>
      </c>
    </row>
    <row r="13" spans="1:17" ht="14.45" customHeight="1" x14ac:dyDescent="0.2">
      <c r="A13" s="491" t="s">
        <v>471</v>
      </c>
      <c r="B13" s="492" t="s">
        <v>437</v>
      </c>
      <c r="C13" s="492" t="s">
        <v>438</v>
      </c>
      <c r="D13" s="492" t="s">
        <v>443</v>
      </c>
      <c r="E13" s="492" t="s">
        <v>444</v>
      </c>
      <c r="F13" s="504"/>
      <c r="G13" s="504"/>
      <c r="H13" s="504"/>
      <c r="I13" s="504"/>
      <c r="J13" s="504">
        <v>1</v>
      </c>
      <c r="K13" s="504">
        <v>347</v>
      </c>
      <c r="L13" s="504">
        <v>1</v>
      </c>
      <c r="M13" s="504">
        <v>347</v>
      </c>
      <c r="N13" s="504">
        <v>2</v>
      </c>
      <c r="O13" s="504">
        <v>700</v>
      </c>
      <c r="P13" s="497">
        <v>2.0172910662824206</v>
      </c>
      <c r="Q13" s="505">
        <v>350</v>
      </c>
    </row>
    <row r="14" spans="1:17" ht="14.45" customHeight="1" x14ac:dyDescent="0.2">
      <c r="A14" s="491" t="s">
        <v>472</v>
      </c>
      <c r="B14" s="492" t="s">
        <v>437</v>
      </c>
      <c r="C14" s="492" t="s">
        <v>438</v>
      </c>
      <c r="D14" s="492" t="s">
        <v>439</v>
      </c>
      <c r="E14" s="492" t="s">
        <v>440</v>
      </c>
      <c r="F14" s="504"/>
      <c r="G14" s="504"/>
      <c r="H14" s="504"/>
      <c r="I14" s="504"/>
      <c r="J14" s="504">
        <v>2</v>
      </c>
      <c r="K14" s="504">
        <v>710</v>
      </c>
      <c r="L14" s="504">
        <v>1</v>
      </c>
      <c r="M14" s="504">
        <v>355</v>
      </c>
      <c r="N14" s="504">
        <v>5</v>
      </c>
      <c r="O14" s="504">
        <v>1790</v>
      </c>
      <c r="P14" s="497">
        <v>2.5211267605633805</v>
      </c>
      <c r="Q14" s="505">
        <v>358</v>
      </c>
    </row>
    <row r="15" spans="1:17" ht="14.45" customHeight="1" x14ac:dyDescent="0.2">
      <c r="A15" s="491" t="s">
        <v>472</v>
      </c>
      <c r="B15" s="492" t="s">
        <v>437</v>
      </c>
      <c r="C15" s="492" t="s">
        <v>438</v>
      </c>
      <c r="D15" s="492" t="s">
        <v>441</v>
      </c>
      <c r="E15" s="492" t="s">
        <v>442</v>
      </c>
      <c r="F15" s="504"/>
      <c r="G15" s="504"/>
      <c r="H15" s="504"/>
      <c r="I15" s="504"/>
      <c r="J15" s="504"/>
      <c r="K15" s="504"/>
      <c r="L15" s="504"/>
      <c r="M15" s="504"/>
      <c r="N15" s="504">
        <v>3</v>
      </c>
      <c r="O15" s="504">
        <v>537</v>
      </c>
      <c r="P15" s="497"/>
      <c r="Q15" s="505">
        <v>179</v>
      </c>
    </row>
    <row r="16" spans="1:17" ht="14.45" customHeight="1" x14ac:dyDescent="0.2">
      <c r="A16" s="491" t="s">
        <v>472</v>
      </c>
      <c r="B16" s="492" t="s">
        <v>437</v>
      </c>
      <c r="C16" s="492" t="s">
        <v>438</v>
      </c>
      <c r="D16" s="492" t="s">
        <v>443</v>
      </c>
      <c r="E16" s="492" t="s">
        <v>444</v>
      </c>
      <c r="F16" s="504"/>
      <c r="G16" s="504"/>
      <c r="H16" s="504"/>
      <c r="I16" s="504"/>
      <c r="J16" s="504">
        <v>1</v>
      </c>
      <c r="K16" s="504">
        <v>347</v>
      </c>
      <c r="L16" s="504">
        <v>1</v>
      </c>
      <c r="M16" s="504">
        <v>347</v>
      </c>
      <c r="N16" s="504"/>
      <c r="O16" s="504"/>
      <c r="P16" s="497"/>
      <c r="Q16" s="505"/>
    </row>
    <row r="17" spans="1:17" ht="14.45" customHeight="1" x14ac:dyDescent="0.2">
      <c r="A17" s="491" t="s">
        <v>473</v>
      </c>
      <c r="B17" s="492" t="s">
        <v>437</v>
      </c>
      <c r="C17" s="492" t="s">
        <v>438</v>
      </c>
      <c r="D17" s="492" t="s">
        <v>439</v>
      </c>
      <c r="E17" s="492" t="s">
        <v>440</v>
      </c>
      <c r="F17" s="504">
        <v>1</v>
      </c>
      <c r="G17" s="504">
        <v>355</v>
      </c>
      <c r="H17" s="504">
        <v>1</v>
      </c>
      <c r="I17" s="504">
        <v>355</v>
      </c>
      <c r="J17" s="504">
        <v>1</v>
      </c>
      <c r="K17" s="504">
        <v>355</v>
      </c>
      <c r="L17" s="504">
        <v>1</v>
      </c>
      <c r="M17" s="504">
        <v>355</v>
      </c>
      <c r="N17" s="504"/>
      <c r="O17" s="504"/>
      <c r="P17" s="497"/>
      <c r="Q17" s="505"/>
    </row>
    <row r="18" spans="1:17" ht="14.45" customHeight="1" x14ac:dyDescent="0.2">
      <c r="A18" s="491" t="s">
        <v>436</v>
      </c>
      <c r="B18" s="492" t="s">
        <v>437</v>
      </c>
      <c r="C18" s="492" t="s">
        <v>438</v>
      </c>
      <c r="D18" s="492" t="s">
        <v>439</v>
      </c>
      <c r="E18" s="492" t="s">
        <v>440</v>
      </c>
      <c r="F18" s="504"/>
      <c r="G18" s="504"/>
      <c r="H18" s="504"/>
      <c r="I18" s="504"/>
      <c r="J18" s="504">
        <v>1</v>
      </c>
      <c r="K18" s="504">
        <v>355</v>
      </c>
      <c r="L18" s="504">
        <v>1</v>
      </c>
      <c r="M18" s="504">
        <v>355</v>
      </c>
      <c r="N18" s="504"/>
      <c r="O18" s="504"/>
      <c r="P18" s="497"/>
      <c r="Q18" s="505"/>
    </row>
    <row r="19" spans="1:17" ht="14.45" customHeight="1" x14ac:dyDescent="0.2">
      <c r="A19" s="491" t="s">
        <v>474</v>
      </c>
      <c r="B19" s="492" t="s">
        <v>437</v>
      </c>
      <c r="C19" s="492" t="s">
        <v>438</v>
      </c>
      <c r="D19" s="492" t="s">
        <v>439</v>
      </c>
      <c r="E19" s="492" t="s">
        <v>440</v>
      </c>
      <c r="F19" s="504">
        <v>32</v>
      </c>
      <c r="G19" s="504">
        <v>11360</v>
      </c>
      <c r="H19" s="504">
        <v>0.5423728813559322</v>
      </c>
      <c r="I19" s="504">
        <v>355</v>
      </c>
      <c r="J19" s="504">
        <v>59</v>
      </c>
      <c r="K19" s="504">
        <v>20945</v>
      </c>
      <c r="L19" s="504">
        <v>1</v>
      </c>
      <c r="M19" s="504">
        <v>355</v>
      </c>
      <c r="N19" s="504">
        <v>56</v>
      </c>
      <c r="O19" s="504">
        <v>20048</v>
      </c>
      <c r="P19" s="497">
        <v>0.95717354977321556</v>
      </c>
      <c r="Q19" s="505">
        <v>358</v>
      </c>
    </row>
    <row r="20" spans="1:17" ht="14.45" customHeight="1" x14ac:dyDescent="0.2">
      <c r="A20" s="491" t="s">
        <v>474</v>
      </c>
      <c r="B20" s="492" t="s">
        <v>437</v>
      </c>
      <c r="C20" s="492" t="s">
        <v>438</v>
      </c>
      <c r="D20" s="492" t="s">
        <v>441</v>
      </c>
      <c r="E20" s="492" t="s">
        <v>442</v>
      </c>
      <c r="F20" s="504">
        <v>22</v>
      </c>
      <c r="G20" s="504">
        <v>3894</v>
      </c>
      <c r="H20" s="504">
        <v>0.43752808988764047</v>
      </c>
      <c r="I20" s="504">
        <v>177</v>
      </c>
      <c r="J20" s="504">
        <v>50</v>
      </c>
      <c r="K20" s="504">
        <v>8900</v>
      </c>
      <c r="L20" s="504">
        <v>1</v>
      </c>
      <c r="M20" s="504">
        <v>178</v>
      </c>
      <c r="N20" s="504">
        <v>43</v>
      </c>
      <c r="O20" s="504">
        <v>7697</v>
      </c>
      <c r="P20" s="497">
        <v>0.86483146067415728</v>
      </c>
      <c r="Q20" s="505">
        <v>179</v>
      </c>
    </row>
    <row r="21" spans="1:17" ht="14.45" customHeight="1" x14ac:dyDescent="0.2">
      <c r="A21" s="491" t="s">
        <v>474</v>
      </c>
      <c r="B21" s="492" t="s">
        <v>437</v>
      </c>
      <c r="C21" s="492" t="s">
        <v>438</v>
      </c>
      <c r="D21" s="492" t="s">
        <v>443</v>
      </c>
      <c r="E21" s="492" t="s">
        <v>444</v>
      </c>
      <c r="F21" s="504"/>
      <c r="G21" s="504"/>
      <c r="H21" s="504"/>
      <c r="I21" s="504"/>
      <c r="J21" s="504"/>
      <c r="K21" s="504"/>
      <c r="L21" s="504"/>
      <c r="M21" s="504"/>
      <c r="N21" s="504">
        <v>1</v>
      </c>
      <c r="O21" s="504">
        <v>350</v>
      </c>
      <c r="P21" s="497"/>
      <c r="Q21" s="505">
        <v>350</v>
      </c>
    </row>
    <row r="22" spans="1:17" ht="14.45" customHeight="1" x14ac:dyDescent="0.2">
      <c r="A22" s="491" t="s">
        <v>475</v>
      </c>
      <c r="B22" s="492" t="s">
        <v>437</v>
      </c>
      <c r="C22" s="492" t="s">
        <v>438</v>
      </c>
      <c r="D22" s="492" t="s">
        <v>439</v>
      </c>
      <c r="E22" s="492" t="s">
        <v>440</v>
      </c>
      <c r="F22" s="504">
        <v>3</v>
      </c>
      <c r="G22" s="504">
        <v>1065</v>
      </c>
      <c r="H22" s="504">
        <v>3</v>
      </c>
      <c r="I22" s="504">
        <v>355</v>
      </c>
      <c r="J22" s="504">
        <v>1</v>
      </c>
      <c r="K22" s="504">
        <v>355</v>
      </c>
      <c r="L22" s="504">
        <v>1</v>
      </c>
      <c r="M22" s="504">
        <v>355</v>
      </c>
      <c r="N22" s="504">
        <v>2</v>
      </c>
      <c r="O22" s="504">
        <v>716</v>
      </c>
      <c r="P22" s="497">
        <v>2.0169014084507042</v>
      </c>
      <c r="Q22" s="505">
        <v>358</v>
      </c>
    </row>
    <row r="23" spans="1:17" ht="14.45" customHeight="1" x14ac:dyDescent="0.2">
      <c r="A23" s="491" t="s">
        <v>475</v>
      </c>
      <c r="B23" s="492" t="s">
        <v>437</v>
      </c>
      <c r="C23" s="492" t="s">
        <v>438</v>
      </c>
      <c r="D23" s="492" t="s">
        <v>441</v>
      </c>
      <c r="E23" s="492" t="s">
        <v>442</v>
      </c>
      <c r="F23" s="504">
        <v>1</v>
      </c>
      <c r="G23" s="504">
        <v>177</v>
      </c>
      <c r="H23" s="504"/>
      <c r="I23" s="504">
        <v>177</v>
      </c>
      <c r="J23" s="504"/>
      <c r="K23" s="504"/>
      <c r="L23" s="504"/>
      <c r="M23" s="504"/>
      <c r="N23" s="504">
        <v>1</v>
      </c>
      <c r="O23" s="504">
        <v>179</v>
      </c>
      <c r="P23" s="497"/>
      <c r="Q23" s="505">
        <v>179</v>
      </c>
    </row>
    <row r="24" spans="1:17" ht="14.45" customHeight="1" x14ac:dyDescent="0.2">
      <c r="A24" s="491" t="s">
        <v>476</v>
      </c>
      <c r="B24" s="492" t="s">
        <v>437</v>
      </c>
      <c r="C24" s="492" t="s">
        <v>438</v>
      </c>
      <c r="D24" s="492" t="s">
        <v>439</v>
      </c>
      <c r="E24" s="492" t="s">
        <v>440</v>
      </c>
      <c r="F24" s="504">
        <v>10</v>
      </c>
      <c r="G24" s="504">
        <v>3550</v>
      </c>
      <c r="H24" s="504">
        <v>0.83333333333333337</v>
      </c>
      <c r="I24" s="504">
        <v>355</v>
      </c>
      <c r="J24" s="504">
        <v>12</v>
      </c>
      <c r="K24" s="504">
        <v>4260</v>
      </c>
      <c r="L24" s="504">
        <v>1</v>
      </c>
      <c r="M24" s="504">
        <v>355</v>
      </c>
      <c r="N24" s="504">
        <v>13</v>
      </c>
      <c r="O24" s="504">
        <v>4654</v>
      </c>
      <c r="P24" s="497">
        <v>1.0924882629107981</v>
      </c>
      <c r="Q24" s="505">
        <v>358</v>
      </c>
    </row>
    <row r="25" spans="1:17" ht="14.45" customHeight="1" x14ac:dyDescent="0.2">
      <c r="A25" s="491" t="s">
        <v>476</v>
      </c>
      <c r="B25" s="492" t="s">
        <v>437</v>
      </c>
      <c r="C25" s="492" t="s">
        <v>438</v>
      </c>
      <c r="D25" s="492" t="s">
        <v>441</v>
      </c>
      <c r="E25" s="492" t="s">
        <v>442</v>
      </c>
      <c r="F25" s="504">
        <v>9</v>
      </c>
      <c r="G25" s="504">
        <v>1593</v>
      </c>
      <c r="H25" s="504">
        <v>2.2373595505617976</v>
      </c>
      <c r="I25" s="504">
        <v>177</v>
      </c>
      <c r="J25" s="504">
        <v>4</v>
      </c>
      <c r="K25" s="504">
        <v>712</v>
      </c>
      <c r="L25" s="504">
        <v>1</v>
      </c>
      <c r="M25" s="504">
        <v>178</v>
      </c>
      <c r="N25" s="504">
        <v>9</v>
      </c>
      <c r="O25" s="504">
        <v>1611</v>
      </c>
      <c r="P25" s="497">
        <v>2.2626404494382024</v>
      </c>
      <c r="Q25" s="505">
        <v>179</v>
      </c>
    </row>
    <row r="26" spans="1:17" ht="14.45" customHeight="1" x14ac:dyDescent="0.2">
      <c r="A26" s="491" t="s">
        <v>476</v>
      </c>
      <c r="B26" s="492" t="s">
        <v>437</v>
      </c>
      <c r="C26" s="492" t="s">
        <v>438</v>
      </c>
      <c r="D26" s="492" t="s">
        <v>443</v>
      </c>
      <c r="E26" s="492" t="s">
        <v>444</v>
      </c>
      <c r="F26" s="504"/>
      <c r="G26" s="504"/>
      <c r="H26" s="504"/>
      <c r="I26" s="504"/>
      <c r="J26" s="504"/>
      <c r="K26" s="504"/>
      <c r="L26" s="504"/>
      <c r="M26" s="504"/>
      <c r="N26" s="504">
        <v>2</v>
      </c>
      <c r="O26" s="504">
        <v>700</v>
      </c>
      <c r="P26" s="497"/>
      <c r="Q26" s="505">
        <v>350</v>
      </c>
    </row>
    <row r="27" spans="1:17" ht="14.45" customHeight="1" x14ac:dyDescent="0.2">
      <c r="A27" s="491" t="s">
        <v>477</v>
      </c>
      <c r="B27" s="492" t="s">
        <v>437</v>
      </c>
      <c r="C27" s="492" t="s">
        <v>438</v>
      </c>
      <c r="D27" s="492" t="s">
        <v>439</v>
      </c>
      <c r="E27" s="492" t="s">
        <v>440</v>
      </c>
      <c r="F27" s="504">
        <v>2</v>
      </c>
      <c r="G27" s="504">
        <v>710</v>
      </c>
      <c r="H27" s="504"/>
      <c r="I27" s="504">
        <v>355</v>
      </c>
      <c r="J27" s="504"/>
      <c r="K27" s="504"/>
      <c r="L27" s="504"/>
      <c r="M27" s="504"/>
      <c r="N27" s="504"/>
      <c r="O27" s="504"/>
      <c r="P27" s="497"/>
      <c r="Q27" s="505"/>
    </row>
    <row r="28" spans="1:17" ht="14.45" customHeight="1" x14ac:dyDescent="0.2">
      <c r="A28" s="491" t="s">
        <v>477</v>
      </c>
      <c r="B28" s="492" t="s">
        <v>437</v>
      </c>
      <c r="C28" s="492" t="s">
        <v>438</v>
      </c>
      <c r="D28" s="492" t="s">
        <v>441</v>
      </c>
      <c r="E28" s="492" t="s">
        <v>442</v>
      </c>
      <c r="F28" s="504">
        <v>1</v>
      </c>
      <c r="G28" s="504">
        <v>177</v>
      </c>
      <c r="H28" s="504"/>
      <c r="I28" s="504">
        <v>177</v>
      </c>
      <c r="J28" s="504"/>
      <c r="K28" s="504"/>
      <c r="L28" s="504"/>
      <c r="M28" s="504"/>
      <c r="N28" s="504"/>
      <c r="O28" s="504"/>
      <c r="P28" s="497"/>
      <c r="Q28" s="505"/>
    </row>
    <row r="29" spans="1:17" ht="14.45" customHeight="1" x14ac:dyDescent="0.2">
      <c r="A29" s="491" t="s">
        <v>478</v>
      </c>
      <c r="B29" s="492" t="s">
        <v>437</v>
      </c>
      <c r="C29" s="492" t="s">
        <v>438</v>
      </c>
      <c r="D29" s="492" t="s">
        <v>439</v>
      </c>
      <c r="E29" s="492" t="s">
        <v>440</v>
      </c>
      <c r="F29" s="504"/>
      <c r="G29" s="504"/>
      <c r="H29" s="504"/>
      <c r="I29" s="504"/>
      <c r="J29" s="504"/>
      <c r="K29" s="504"/>
      <c r="L29" s="504"/>
      <c r="M29" s="504"/>
      <c r="N29" s="504">
        <v>2</v>
      </c>
      <c r="O29" s="504">
        <v>716</v>
      </c>
      <c r="P29" s="497"/>
      <c r="Q29" s="505">
        <v>358</v>
      </c>
    </row>
    <row r="30" spans="1:17" ht="14.45" customHeight="1" x14ac:dyDescent="0.2">
      <c r="A30" s="491" t="s">
        <v>478</v>
      </c>
      <c r="B30" s="492" t="s">
        <v>437</v>
      </c>
      <c r="C30" s="492" t="s">
        <v>438</v>
      </c>
      <c r="D30" s="492" t="s">
        <v>441</v>
      </c>
      <c r="E30" s="492" t="s">
        <v>442</v>
      </c>
      <c r="F30" s="504"/>
      <c r="G30" s="504"/>
      <c r="H30" s="504"/>
      <c r="I30" s="504"/>
      <c r="J30" s="504"/>
      <c r="K30" s="504"/>
      <c r="L30" s="504"/>
      <c r="M30" s="504"/>
      <c r="N30" s="504">
        <v>2</v>
      </c>
      <c r="O30" s="504">
        <v>358</v>
      </c>
      <c r="P30" s="497"/>
      <c r="Q30" s="505">
        <v>179</v>
      </c>
    </row>
    <row r="31" spans="1:17" ht="14.45" customHeight="1" x14ac:dyDescent="0.2">
      <c r="A31" s="491" t="s">
        <v>479</v>
      </c>
      <c r="B31" s="492" t="s">
        <v>437</v>
      </c>
      <c r="C31" s="492" t="s">
        <v>438</v>
      </c>
      <c r="D31" s="492" t="s">
        <v>439</v>
      </c>
      <c r="E31" s="492" t="s">
        <v>440</v>
      </c>
      <c r="F31" s="504"/>
      <c r="G31" s="504"/>
      <c r="H31" s="504"/>
      <c r="I31" s="504"/>
      <c r="J31" s="504"/>
      <c r="K31" s="504"/>
      <c r="L31" s="504"/>
      <c r="M31" s="504"/>
      <c r="N31" s="504">
        <v>1</v>
      </c>
      <c r="O31" s="504">
        <v>358</v>
      </c>
      <c r="P31" s="497"/>
      <c r="Q31" s="505">
        <v>358</v>
      </c>
    </row>
    <row r="32" spans="1:17" ht="14.45" customHeight="1" x14ac:dyDescent="0.2">
      <c r="A32" s="491" t="s">
        <v>479</v>
      </c>
      <c r="B32" s="492" t="s">
        <v>437</v>
      </c>
      <c r="C32" s="492" t="s">
        <v>438</v>
      </c>
      <c r="D32" s="492" t="s">
        <v>441</v>
      </c>
      <c r="E32" s="492" t="s">
        <v>442</v>
      </c>
      <c r="F32" s="504"/>
      <c r="G32" s="504"/>
      <c r="H32" s="504"/>
      <c r="I32" s="504"/>
      <c r="J32" s="504"/>
      <c r="K32" s="504"/>
      <c r="L32" s="504"/>
      <c r="M32" s="504"/>
      <c r="N32" s="504">
        <v>1</v>
      </c>
      <c r="O32" s="504">
        <v>179</v>
      </c>
      <c r="P32" s="497"/>
      <c r="Q32" s="505">
        <v>179</v>
      </c>
    </row>
    <row r="33" spans="1:17" ht="14.45" customHeight="1" x14ac:dyDescent="0.2">
      <c r="A33" s="491" t="s">
        <v>480</v>
      </c>
      <c r="B33" s="492" t="s">
        <v>437</v>
      </c>
      <c r="C33" s="492" t="s">
        <v>438</v>
      </c>
      <c r="D33" s="492" t="s">
        <v>439</v>
      </c>
      <c r="E33" s="492" t="s">
        <v>440</v>
      </c>
      <c r="F33" s="504"/>
      <c r="G33" s="504"/>
      <c r="H33" s="504"/>
      <c r="I33" s="504"/>
      <c r="J33" s="504">
        <v>3</v>
      </c>
      <c r="K33" s="504">
        <v>1065</v>
      </c>
      <c r="L33" s="504">
        <v>1</v>
      </c>
      <c r="M33" s="504">
        <v>355</v>
      </c>
      <c r="N33" s="504">
        <v>1</v>
      </c>
      <c r="O33" s="504">
        <v>358</v>
      </c>
      <c r="P33" s="497">
        <v>0.33615023474178402</v>
      </c>
      <c r="Q33" s="505">
        <v>358</v>
      </c>
    </row>
    <row r="34" spans="1:17" ht="14.45" customHeight="1" x14ac:dyDescent="0.2">
      <c r="A34" s="491" t="s">
        <v>481</v>
      </c>
      <c r="B34" s="492" t="s">
        <v>437</v>
      </c>
      <c r="C34" s="492" t="s">
        <v>438</v>
      </c>
      <c r="D34" s="492" t="s">
        <v>439</v>
      </c>
      <c r="E34" s="492" t="s">
        <v>440</v>
      </c>
      <c r="F34" s="504">
        <v>9</v>
      </c>
      <c r="G34" s="504">
        <v>3195</v>
      </c>
      <c r="H34" s="504">
        <v>1.125</v>
      </c>
      <c r="I34" s="504">
        <v>355</v>
      </c>
      <c r="J34" s="504">
        <v>8</v>
      </c>
      <c r="K34" s="504">
        <v>2840</v>
      </c>
      <c r="L34" s="504">
        <v>1</v>
      </c>
      <c r="M34" s="504">
        <v>355</v>
      </c>
      <c r="N34" s="504">
        <v>3</v>
      </c>
      <c r="O34" s="504">
        <v>1074</v>
      </c>
      <c r="P34" s="497">
        <v>0.37816901408450704</v>
      </c>
      <c r="Q34" s="505">
        <v>358</v>
      </c>
    </row>
    <row r="35" spans="1:17" ht="14.45" customHeight="1" x14ac:dyDescent="0.2">
      <c r="A35" s="491" t="s">
        <v>481</v>
      </c>
      <c r="B35" s="492" t="s">
        <v>437</v>
      </c>
      <c r="C35" s="492" t="s">
        <v>438</v>
      </c>
      <c r="D35" s="492" t="s">
        <v>441</v>
      </c>
      <c r="E35" s="492" t="s">
        <v>442</v>
      </c>
      <c r="F35" s="504">
        <v>4</v>
      </c>
      <c r="G35" s="504">
        <v>708</v>
      </c>
      <c r="H35" s="504">
        <v>3.9775280898876404</v>
      </c>
      <c r="I35" s="504">
        <v>177</v>
      </c>
      <c r="J35" s="504">
        <v>1</v>
      </c>
      <c r="K35" s="504">
        <v>178</v>
      </c>
      <c r="L35" s="504">
        <v>1</v>
      </c>
      <c r="M35" s="504">
        <v>178</v>
      </c>
      <c r="N35" s="504">
        <v>2</v>
      </c>
      <c r="O35" s="504">
        <v>358</v>
      </c>
      <c r="P35" s="497">
        <v>2.0112359550561796</v>
      </c>
      <c r="Q35" s="505">
        <v>179</v>
      </c>
    </row>
    <row r="36" spans="1:17" ht="14.45" customHeight="1" x14ac:dyDescent="0.2">
      <c r="A36" s="491" t="s">
        <v>482</v>
      </c>
      <c r="B36" s="492" t="s">
        <v>437</v>
      </c>
      <c r="C36" s="492" t="s">
        <v>438</v>
      </c>
      <c r="D36" s="492" t="s">
        <v>439</v>
      </c>
      <c r="E36" s="492" t="s">
        <v>440</v>
      </c>
      <c r="F36" s="504">
        <v>2</v>
      </c>
      <c r="G36" s="504">
        <v>710</v>
      </c>
      <c r="H36" s="504">
        <v>1</v>
      </c>
      <c r="I36" s="504">
        <v>355</v>
      </c>
      <c r="J36" s="504">
        <v>2</v>
      </c>
      <c r="K36" s="504">
        <v>710</v>
      </c>
      <c r="L36" s="504">
        <v>1</v>
      </c>
      <c r="M36" s="504">
        <v>355</v>
      </c>
      <c r="N36" s="504">
        <v>6</v>
      </c>
      <c r="O36" s="504">
        <v>2148</v>
      </c>
      <c r="P36" s="497">
        <v>3.0253521126760563</v>
      </c>
      <c r="Q36" s="505">
        <v>358</v>
      </c>
    </row>
    <row r="37" spans="1:17" ht="14.45" customHeight="1" x14ac:dyDescent="0.2">
      <c r="A37" s="491" t="s">
        <v>482</v>
      </c>
      <c r="B37" s="492" t="s">
        <v>437</v>
      </c>
      <c r="C37" s="492" t="s">
        <v>438</v>
      </c>
      <c r="D37" s="492" t="s">
        <v>441</v>
      </c>
      <c r="E37" s="492" t="s">
        <v>442</v>
      </c>
      <c r="F37" s="504"/>
      <c r="G37" s="504"/>
      <c r="H37" s="504"/>
      <c r="I37" s="504"/>
      <c r="J37" s="504">
        <v>2</v>
      </c>
      <c r="K37" s="504">
        <v>356</v>
      </c>
      <c r="L37" s="504">
        <v>1</v>
      </c>
      <c r="M37" s="504">
        <v>178</v>
      </c>
      <c r="N37" s="504">
        <v>1</v>
      </c>
      <c r="O37" s="504">
        <v>179</v>
      </c>
      <c r="P37" s="497">
        <v>0.5028089887640449</v>
      </c>
      <c r="Q37" s="505">
        <v>179</v>
      </c>
    </row>
    <row r="38" spans="1:17" ht="14.45" customHeight="1" x14ac:dyDescent="0.2">
      <c r="A38" s="491" t="s">
        <v>482</v>
      </c>
      <c r="B38" s="492" t="s">
        <v>437</v>
      </c>
      <c r="C38" s="492" t="s">
        <v>438</v>
      </c>
      <c r="D38" s="492" t="s">
        <v>443</v>
      </c>
      <c r="E38" s="492" t="s">
        <v>444</v>
      </c>
      <c r="F38" s="504"/>
      <c r="G38" s="504"/>
      <c r="H38" s="504"/>
      <c r="I38" s="504"/>
      <c r="J38" s="504"/>
      <c r="K38" s="504"/>
      <c r="L38" s="504"/>
      <c r="M38" s="504"/>
      <c r="N38" s="504">
        <v>1</v>
      </c>
      <c r="O38" s="504">
        <v>350</v>
      </c>
      <c r="P38" s="497"/>
      <c r="Q38" s="505">
        <v>350</v>
      </c>
    </row>
    <row r="39" spans="1:17" ht="14.45" customHeight="1" x14ac:dyDescent="0.2">
      <c r="A39" s="491" t="s">
        <v>483</v>
      </c>
      <c r="B39" s="492" t="s">
        <v>437</v>
      </c>
      <c r="C39" s="492" t="s">
        <v>438</v>
      </c>
      <c r="D39" s="492" t="s">
        <v>439</v>
      </c>
      <c r="E39" s="492" t="s">
        <v>440</v>
      </c>
      <c r="F39" s="504"/>
      <c r="G39" s="504"/>
      <c r="H39" s="504"/>
      <c r="I39" s="504"/>
      <c r="J39" s="504">
        <v>4</v>
      </c>
      <c r="K39" s="504">
        <v>1420</v>
      </c>
      <c r="L39" s="504">
        <v>1</v>
      </c>
      <c r="M39" s="504">
        <v>355</v>
      </c>
      <c r="N39" s="504">
        <v>1</v>
      </c>
      <c r="O39" s="504">
        <v>358</v>
      </c>
      <c r="P39" s="497">
        <v>0.25211267605633803</v>
      </c>
      <c r="Q39" s="505">
        <v>358</v>
      </c>
    </row>
    <row r="40" spans="1:17" ht="14.45" customHeight="1" x14ac:dyDescent="0.2">
      <c r="A40" s="491" t="s">
        <v>483</v>
      </c>
      <c r="B40" s="492" t="s">
        <v>437</v>
      </c>
      <c r="C40" s="492" t="s">
        <v>438</v>
      </c>
      <c r="D40" s="492" t="s">
        <v>441</v>
      </c>
      <c r="E40" s="492" t="s">
        <v>442</v>
      </c>
      <c r="F40" s="504"/>
      <c r="G40" s="504"/>
      <c r="H40" s="504"/>
      <c r="I40" s="504"/>
      <c r="J40" s="504">
        <v>2</v>
      </c>
      <c r="K40" s="504">
        <v>356</v>
      </c>
      <c r="L40" s="504">
        <v>1</v>
      </c>
      <c r="M40" s="504">
        <v>178</v>
      </c>
      <c r="N40" s="504">
        <v>4</v>
      </c>
      <c r="O40" s="504">
        <v>716</v>
      </c>
      <c r="P40" s="497">
        <v>2.0112359550561796</v>
      </c>
      <c r="Q40" s="505">
        <v>179</v>
      </c>
    </row>
    <row r="41" spans="1:17" ht="14.45" customHeight="1" x14ac:dyDescent="0.2">
      <c r="A41" s="491" t="s">
        <v>484</v>
      </c>
      <c r="B41" s="492" t="s">
        <v>437</v>
      </c>
      <c r="C41" s="492" t="s">
        <v>438</v>
      </c>
      <c r="D41" s="492" t="s">
        <v>439</v>
      </c>
      <c r="E41" s="492" t="s">
        <v>440</v>
      </c>
      <c r="F41" s="504">
        <v>3</v>
      </c>
      <c r="G41" s="504">
        <v>1065</v>
      </c>
      <c r="H41" s="504">
        <v>0.5</v>
      </c>
      <c r="I41" s="504">
        <v>355</v>
      </c>
      <c r="J41" s="504">
        <v>6</v>
      </c>
      <c r="K41" s="504">
        <v>2130</v>
      </c>
      <c r="L41" s="504">
        <v>1</v>
      </c>
      <c r="M41" s="504">
        <v>355</v>
      </c>
      <c r="N41" s="504">
        <v>3</v>
      </c>
      <c r="O41" s="504">
        <v>1074</v>
      </c>
      <c r="P41" s="497">
        <v>0.50422535211267605</v>
      </c>
      <c r="Q41" s="505">
        <v>358</v>
      </c>
    </row>
    <row r="42" spans="1:17" ht="14.45" customHeight="1" x14ac:dyDescent="0.2">
      <c r="A42" s="491" t="s">
        <v>484</v>
      </c>
      <c r="B42" s="492" t="s">
        <v>437</v>
      </c>
      <c r="C42" s="492" t="s">
        <v>438</v>
      </c>
      <c r="D42" s="492" t="s">
        <v>441</v>
      </c>
      <c r="E42" s="492" t="s">
        <v>442</v>
      </c>
      <c r="F42" s="504">
        <v>4</v>
      </c>
      <c r="G42" s="504">
        <v>708</v>
      </c>
      <c r="H42" s="504">
        <v>1.9887640449438202</v>
      </c>
      <c r="I42" s="504">
        <v>177</v>
      </c>
      <c r="J42" s="504">
        <v>2</v>
      </c>
      <c r="K42" s="504">
        <v>356</v>
      </c>
      <c r="L42" s="504">
        <v>1</v>
      </c>
      <c r="M42" s="504">
        <v>178</v>
      </c>
      <c r="N42" s="504">
        <v>2</v>
      </c>
      <c r="O42" s="504">
        <v>358</v>
      </c>
      <c r="P42" s="497">
        <v>1.0056179775280898</v>
      </c>
      <c r="Q42" s="505">
        <v>179</v>
      </c>
    </row>
    <row r="43" spans="1:17" ht="14.45" customHeight="1" x14ac:dyDescent="0.2">
      <c r="A43" s="491" t="s">
        <v>484</v>
      </c>
      <c r="B43" s="492" t="s">
        <v>437</v>
      </c>
      <c r="C43" s="492" t="s">
        <v>438</v>
      </c>
      <c r="D43" s="492" t="s">
        <v>443</v>
      </c>
      <c r="E43" s="492" t="s">
        <v>444</v>
      </c>
      <c r="F43" s="504"/>
      <c r="G43" s="504"/>
      <c r="H43" s="504"/>
      <c r="I43" s="504"/>
      <c r="J43" s="504"/>
      <c r="K43" s="504"/>
      <c r="L43" s="504"/>
      <c r="M43" s="504"/>
      <c r="N43" s="504">
        <v>1</v>
      </c>
      <c r="O43" s="504">
        <v>350</v>
      </c>
      <c r="P43" s="497"/>
      <c r="Q43" s="505">
        <v>350</v>
      </c>
    </row>
    <row r="44" spans="1:17" ht="14.45" customHeight="1" x14ac:dyDescent="0.2">
      <c r="A44" s="491" t="s">
        <v>485</v>
      </c>
      <c r="B44" s="492" t="s">
        <v>437</v>
      </c>
      <c r="C44" s="492" t="s">
        <v>438</v>
      </c>
      <c r="D44" s="492" t="s">
        <v>439</v>
      </c>
      <c r="E44" s="492" t="s">
        <v>440</v>
      </c>
      <c r="F44" s="504">
        <v>15</v>
      </c>
      <c r="G44" s="504">
        <v>5325</v>
      </c>
      <c r="H44" s="504">
        <v>1.5</v>
      </c>
      <c r="I44" s="504">
        <v>355</v>
      </c>
      <c r="J44" s="504">
        <v>10</v>
      </c>
      <c r="K44" s="504">
        <v>3550</v>
      </c>
      <c r="L44" s="504">
        <v>1</v>
      </c>
      <c r="M44" s="504">
        <v>355</v>
      </c>
      <c r="N44" s="504">
        <v>16</v>
      </c>
      <c r="O44" s="504">
        <v>5728</v>
      </c>
      <c r="P44" s="497">
        <v>1.6135211267605634</v>
      </c>
      <c r="Q44" s="505">
        <v>358</v>
      </c>
    </row>
    <row r="45" spans="1:17" ht="14.45" customHeight="1" x14ac:dyDescent="0.2">
      <c r="A45" s="491" t="s">
        <v>485</v>
      </c>
      <c r="B45" s="492" t="s">
        <v>437</v>
      </c>
      <c r="C45" s="492" t="s">
        <v>438</v>
      </c>
      <c r="D45" s="492" t="s">
        <v>441</v>
      </c>
      <c r="E45" s="492" t="s">
        <v>442</v>
      </c>
      <c r="F45" s="504">
        <v>7</v>
      </c>
      <c r="G45" s="504">
        <v>1239</v>
      </c>
      <c r="H45" s="504">
        <v>0.87008426966292129</v>
      </c>
      <c r="I45" s="504">
        <v>177</v>
      </c>
      <c r="J45" s="504">
        <v>8</v>
      </c>
      <c r="K45" s="504">
        <v>1424</v>
      </c>
      <c r="L45" s="504">
        <v>1</v>
      </c>
      <c r="M45" s="504">
        <v>178</v>
      </c>
      <c r="N45" s="504">
        <v>15</v>
      </c>
      <c r="O45" s="504">
        <v>2685</v>
      </c>
      <c r="P45" s="497">
        <v>1.8855337078651686</v>
      </c>
      <c r="Q45" s="505">
        <v>179</v>
      </c>
    </row>
    <row r="46" spans="1:17" ht="14.45" customHeight="1" x14ac:dyDescent="0.2">
      <c r="A46" s="491" t="s">
        <v>486</v>
      </c>
      <c r="B46" s="492" t="s">
        <v>437</v>
      </c>
      <c r="C46" s="492" t="s">
        <v>438</v>
      </c>
      <c r="D46" s="492" t="s">
        <v>439</v>
      </c>
      <c r="E46" s="492" t="s">
        <v>440</v>
      </c>
      <c r="F46" s="504"/>
      <c r="G46" s="504"/>
      <c r="H46" s="504"/>
      <c r="I46" s="504"/>
      <c r="J46" s="504">
        <v>1</v>
      </c>
      <c r="K46" s="504">
        <v>355</v>
      </c>
      <c r="L46" s="504">
        <v>1</v>
      </c>
      <c r="M46" s="504">
        <v>355</v>
      </c>
      <c r="N46" s="504"/>
      <c r="O46" s="504"/>
      <c r="P46" s="497"/>
      <c r="Q46" s="505"/>
    </row>
    <row r="47" spans="1:17" ht="14.45" customHeight="1" x14ac:dyDescent="0.2">
      <c r="A47" s="491" t="s">
        <v>486</v>
      </c>
      <c r="B47" s="492" t="s">
        <v>437</v>
      </c>
      <c r="C47" s="492" t="s">
        <v>438</v>
      </c>
      <c r="D47" s="492" t="s">
        <v>441</v>
      </c>
      <c r="E47" s="492" t="s">
        <v>442</v>
      </c>
      <c r="F47" s="504">
        <v>1</v>
      </c>
      <c r="G47" s="504">
        <v>177</v>
      </c>
      <c r="H47" s="504"/>
      <c r="I47" s="504">
        <v>177</v>
      </c>
      <c r="J47" s="504"/>
      <c r="K47" s="504"/>
      <c r="L47" s="504"/>
      <c r="M47" s="504"/>
      <c r="N47" s="504">
        <v>2</v>
      </c>
      <c r="O47" s="504">
        <v>358</v>
      </c>
      <c r="P47" s="497"/>
      <c r="Q47" s="505">
        <v>179</v>
      </c>
    </row>
    <row r="48" spans="1:17" ht="14.45" customHeight="1" x14ac:dyDescent="0.2">
      <c r="A48" s="491" t="s">
        <v>487</v>
      </c>
      <c r="B48" s="492" t="s">
        <v>437</v>
      </c>
      <c r="C48" s="492" t="s">
        <v>438</v>
      </c>
      <c r="D48" s="492" t="s">
        <v>439</v>
      </c>
      <c r="E48" s="492" t="s">
        <v>440</v>
      </c>
      <c r="F48" s="504">
        <v>3</v>
      </c>
      <c r="G48" s="504">
        <v>1065</v>
      </c>
      <c r="H48" s="504">
        <v>1.5</v>
      </c>
      <c r="I48" s="504">
        <v>355</v>
      </c>
      <c r="J48" s="504">
        <v>2</v>
      </c>
      <c r="K48" s="504">
        <v>710</v>
      </c>
      <c r="L48" s="504">
        <v>1</v>
      </c>
      <c r="M48" s="504">
        <v>355</v>
      </c>
      <c r="N48" s="504">
        <v>4</v>
      </c>
      <c r="O48" s="504">
        <v>1432</v>
      </c>
      <c r="P48" s="497">
        <v>2.0169014084507042</v>
      </c>
      <c r="Q48" s="505">
        <v>358</v>
      </c>
    </row>
    <row r="49" spans="1:17" ht="14.45" customHeight="1" x14ac:dyDescent="0.2">
      <c r="A49" s="491" t="s">
        <v>487</v>
      </c>
      <c r="B49" s="492" t="s">
        <v>437</v>
      </c>
      <c r="C49" s="492" t="s">
        <v>438</v>
      </c>
      <c r="D49" s="492" t="s">
        <v>441</v>
      </c>
      <c r="E49" s="492" t="s">
        <v>442</v>
      </c>
      <c r="F49" s="504"/>
      <c r="G49" s="504"/>
      <c r="H49" s="504"/>
      <c r="I49" s="504"/>
      <c r="J49" s="504"/>
      <c r="K49" s="504"/>
      <c r="L49" s="504"/>
      <c r="M49" s="504"/>
      <c r="N49" s="504">
        <v>8</v>
      </c>
      <c r="O49" s="504">
        <v>1432</v>
      </c>
      <c r="P49" s="497"/>
      <c r="Q49" s="505">
        <v>179</v>
      </c>
    </row>
    <row r="50" spans="1:17" ht="14.45" customHeight="1" x14ac:dyDescent="0.2">
      <c r="A50" s="491" t="s">
        <v>488</v>
      </c>
      <c r="B50" s="492" t="s">
        <v>437</v>
      </c>
      <c r="C50" s="492" t="s">
        <v>438</v>
      </c>
      <c r="D50" s="492" t="s">
        <v>439</v>
      </c>
      <c r="E50" s="492" t="s">
        <v>440</v>
      </c>
      <c r="F50" s="504">
        <v>2</v>
      </c>
      <c r="G50" s="504">
        <v>710</v>
      </c>
      <c r="H50" s="504">
        <v>0.66666666666666663</v>
      </c>
      <c r="I50" s="504">
        <v>355</v>
      </c>
      <c r="J50" s="504">
        <v>3</v>
      </c>
      <c r="K50" s="504">
        <v>1065</v>
      </c>
      <c r="L50" s="504">
        <v>1</v>
      </c>
      <c r="M50" s="504">
        <v>355</v>
      </c>
      <c r="N50" s="504">
        <v>9</v>
      </c>
      <c r="O50" s="504">
        <v>3222</v>
      </c>
      <c r="P50" s="497">
        <v>3.0253521126760563</v>
      </c>
      <c r="Q50" s="505">
        <v>358</v>
      </c>
    </row>
    <row r="51" spans="1:17" ht="14.45" customHeight="1" x14ac:dyDescent="0.2">
      <c r="A51" s="491" t="s">
        <v>488</v>
      </c>
      <c r="B51" s="492" t="s">
        <v>437</v>
      </c>
      <c r="C51" s="492" t="s">
        <v>438</v>
      </c>
      <c r="D51" s="492" t="s">
        <v>441</v>
      </c>
      <c r="E51" s="492" t="s">
        <v>442</v>
      </c>
      <c r="F51" s="504">
        <v>5</v>
      </c>
      <c r="G51" s="504">
        <v>885</v>
      </c>
      <c r="H51" s="504">
        <v>0.9943820224719101</v>
      </c>
      <c r="I51" s="504">
        <v>177</v>
      </c>
      <c r="J51" s="504">
        <v>5</v>
      </c>
      <c r="K51" s="504">
        <v>890</v>
      </c>
      <c r="L51" s="504">
        <v>1</v>
      </c>
      <c r="M51" s="504">
        <v>178</v>
      </c>
      <c r="N51" s="504">
        <v>12</v>
      </c>
      <c r="O51" s="504">
        <v>2148</v>
      </c>
      <c r="P51" s="497">
        <v>2.4134831460674158</v>
      </c>
      <c r="Q51" s="505">
        <v>179</v>
      </c>
    </row>
    <row r="52" spans="1:17" ht="14.45" customHeight="1" x14ac:dyDescent="0.2">
      <c r="A52" s="491" t="s">
        <v>488</v>
      </c>
      <c r="B52" s="492" t="s">
        <v>437</v>
      </c>
      <c r="C52" s="492" t="s">
        <v>438</v>
      </c>
      <c r="D52" s="492" t="s">
        <v>443</v>
      </c>
      <c r="E52" s="492" t="s">
        <v>444</v>
      </c>
      <c r="F52" s="504"/>
      <c r="G52" s="504"/>
      <c r="H52" s="504"/>
      <c r="I52" s="504"/>
      <c r="J52" s="504"/>
      <c r="K52" s="504"/>
      <c r="L52" s="504"/>
      <c r="M52" s="504"/>
      <c r="N52" s="504">
        <v>1</v>
      </c>
      <c r="O52" s="504">
        <v>350</v>
      </c>
      <c r="P52" s="497"/>
      <c r="Q52" s="505">
        <v>350</v>
      </c>
    </row>
    <row r="53" spans="1:17" ht="14.45" customHeight="1" x14ac:dyDescent="0.2">
      <c r="A53" s="491" t="s">
        <v>489</v>
      </c>
      <c r="B53" s="492" t="s">
        <v>437</v>
      </c>
      <c r="C53" s="492" t="s">
        <v>438</v>
      </c>
      <c r="D53" s="492" t="s">
        <v>439</v>
      </c>
      <c r="E53" s="492" t="s">
        <v>440</v>
      </c>
      <c r="F53" s="504"/>
      <c r="G53" s="504"/>
      <c r="H53" s="504"/>
      <c r="I53" s="504"/>
      <c r="J53" s="504">
        <v>1</v>
      </c>
      <c r="K53" s="504">
        <v>355</v>
      </c>
      <c r="L53" s="504">
        <v>1</v>
      </c>
      <c r="M53" s="504">
        <v>355</v>
      </c>
      <c r="N53" s="504"/>
      <c r="O53" s="504"/>
      <c r="P53" s="497"/>
      <c r="Q53" s="505"/>
    </row>
    <row r="54" spans="1:17" ht="14.45" customHeight="1" x14ac:dyDescent="0.2">
      <c r="A54" s="491" t="s">
        <v>489</v>
      </c>
      <c r="B54" s="492" t="s">
        <v>437</v>
      </c>
      <c r="C54" s="492" t="s">
        <v>438</v>
      </c>
      <c r="D54" s="492" t="s">
        <v>441</v>
      </c>
      <c r="E54" s="492" t="s">
        <v>442</v>
      </c>
      <c r="F54" s="504"/>
      <c r="G54" s="504"/>
      <c r="H54" s="504"/>
      <c r="I54" s="504"/>
      <c r="J54" s="504">
        <v>1</v>
      </c>
      <c r="K54" s="504">
        <v>178</v>
      </c>
      <c r="L54" s="504">
        <v>1</v>
      </c>
      <c r="M54" s="504">
        <v>178</v>
      </c>
      <c r="N54" s="504">
        <v>2</v>
      </c>
      <c r="O54" s="504">
        <v>358</v>
      </c>
      <c r="P54" s="497">
        <v>2.0112359550561796</v>
      </c>
      <c r="Q54" s="505">
        <v>179</v>
      </c>
    </row>
    <row r="55" spans="1:17" ht="14.45" customHeight="1" thickBot="1" x14ac:dyDescent="0.25">
      <c r="A55" s="483" t="s">
        <v>489</v>
      </c>
      <c r="B55" s="484" t="s">
        <v>437</v>
      </c>
      <c r="C55" s="484" t="s">
        <v>438</v>
      </c>
      <c r="D55" s="484" t="s">
        <v>443</v>
      </c>
      <c r="E55" s="484" t="s">
        <v>444</v>
      </c>
      <c r="F55" s="506"/>
      <c r="G55" s="506"/>
      <c r="H55" s="506"/>
      <c r="I55" s="506"/>
      <c r="J55" s="506"/>
      <c r="K55" s="506"/>
      <c r="L55" s="506"/>
      <c r="M55" s="506"/>
      <c r="N55" s="506">
        <v>1</v>
      </c>
      <c r="O55" s="506">
        <v>350</v>
      </c>
      <c r="P55" s="489"/>
      <c r="Q55" s="507">
        <v>350</v>
      </c>
    </row>
  </sheetData>
  <autoFilter ref="A5:Q5" xr:uid="{00000000-0009-0000-0000-000027000000}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 xr:uid="{941B4244-BE85-422C-8B1D-313B4A1B0478}"/>
  </hyperlink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14">
    <tabColor rgb="FFFFFF66"/>
    <pageSetUpPr fitToPage="1"/>
  </sheetPr>
  <dimension ref="A1:E25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ColWidth="8.85546875" defaultRowHeight="12.75" x14ac:dyDescent="0.2"/>
  <cols>
    <col min="1" max="1" width="104.140625" style="146" bestFit="1" customWidth="1"/>
    <col min="2" max="2" width="11.7109375" style="146" hidden="1" customWidth="1"/>
    <col min="3" max="4" width="11" style="148" customWidth="1"/>
    <col min="5" max="5" width="11" style="149" customWidth="1"/>
    <col min="6" max="16384" width="8.85546875" style="146"/>
  </cols>
  <sheetData>
    <row r="1" spans="1:5" ht="19.5" thickBot="1" x14ac:dyDescent="0.35">
      <c r="A1" s="298" t="s">
        <v>113</v>
      </c>
      <c r="B1" s="298"/>
      <c r="C1" s="299"/>
      <c r="D1" s="299"/>
      <c r="E1" s="299"/>
    </row>
    <row r="2" spans="1:5" ht="14.45" customHeight="1" thickBot="1" x14ac:dyDescent="0.25">
      <c r="A2" s="413" t="s">
        <v>241</v>
      </c>
      <c r="B2" s="147"/>
    </row>
    <row r="3" spans="1:5" ht="14.45" customHeight="1" thickBot="1" x14ac:dyDescent="0.25">
      <c r="A3" s="150"/>
      <c r="C3" s="151" t="s">
        <v>103</v>
      </c>
      <c r="D3" s="152" t="s">
        <v>69</v>
      </c>
      <c r="E3" s="153" t="s">
        <v>71</v>
      </c>
    </row>
    <row r="4" spans="1:5" ht="14.45" customHeight="1" thickBot="1" x14ac:dyDescent="0.25">
      <c r="A4" s="154" t="str">
        <f>HYPERLINK("#HI!A1","NÁKLADY CELKEM (v tisících Kč)")</f>
        <v>NÁKLADY CELKEM (v tisících Kč)</v>
      </c>
      <c r="B4" s="155"/>
      <c r="C4" s="156">
        <f ca="1">IF(ISERROR(VLOOKUP("Náklady celkem",INDIRECT("HI!$A:$G"),6,0)),0,VLOOKUP("Náklady celkem",INDIRECT("HI!$A:$G"),6,0))</f>
        <v>1932.0987628479004</v>
      </c>
      <c r="D4" s="156">
        <f ca="1">IF(ISERROR(VLOOKUP("Náklady celkem",INDIRECT("HI!$A:$G"),5,0)),0,VLOOKUP("Náklady celkem",INDIRECT("HI!$A:$G"),5,0))</f>
        <v>2305.2594700000004</v>
      </c>
      <c r="E4" s="157">
        <f ca="1">IF(C4=0,0,D4/C4)</f>
        <v>1.1931374908610073</v>
      </c>
    </row>
    <row r="5" spans="1:5" ht="14.45" customHeight="1" x14ac:dyDescent="0.2">
      <c r="A5" s="158" t="s">
        <v>138</v>
      </c>
      <c r="B5" s="159"/>
      <c r="C5" s="160"/>
      <c r="D5" s="160"/>
      <c r="E5" s="161"/>
    </row>
    <row r="6" spans="1:5" ht="14.45" customHeight="1" x14ac:dyDescent="0.2">
      <c r="A6" s="162" t="s">
        <v>143</v>
      </c>
      <c r="B6" s="163"/>
      <c r="C6" s="164"/>
      <c r="D6" s="164"/>
      <c r="E6" s="161"/>
    </row>
    <row r="7" spans="1:5" ht="14.45" customHeight="1" x14ac:dyDescent="0.25">
      <c r="A7" s="231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63" t="s">
        <v>107</v>
      </c>
      <c r="C7" s="164">
        <f>IF(ISERROR(HI!F5),"",HI!F5)</f>
        <v>0</v>
      </c>
      <c r="D7" s="164">
        <f>IF(ISERROR(HI!E5),"",HI!E5)</f>
        <v>0</v>
      </c>
      <c r="E7" s="161">
        <f t="shared" ref="E7:E13" si="0">IF(C7=0,0,D7/C7)</f>
        <v>0</v>
      </c>
    </row>
    <row r="8" spans="1:5" ht="14.45" customHeight="1" x14ac:dyDescent="0.2">
      <c r="A8" s="166" t="s">
        <v>139</v>
      </c>
      <c r="B8" s="163"/>
      <c r="C8" s="164"/>
      <c r="D8" s="164"/>
      <c r="E8" s="161"/>
    </row>
    <row r="9" spans="1:5" ht="14.45" customHeight="1" x14ac:dyDescent="0.25">
      <c r="A9" s="231" t="str">
        <f>HYPERLINK("#'Léky Recepty'!A1","Záchyt v lékárně (Úhrada Kč, min. 60%)")</f>
        <v>Záchyt v lékárně (Úhrada Kč, min. 60%)</v>
      </c>
      <c r="B9" s="163" t="s">
        <v>110</v>
      </c>
      <c r="C9" s="165">
        <v>0.6</v>
      </c>
      <c r="D9" s="165">
        <f>IF(ISERROR(VLOOKUP("Celkem",'Léky Recepty'!B:H,5,0)),0,VLOOKUP("Celkem",'Léky Recepty'!B:H,5,0))</f>
        <v>0.71956383903061427</v>
      </c>
      <c r="E9" s="161">
        <f t="shared" si="0"/>
        <v>1.1992730650510239</v>
      </c>
    </row>
    <row r="10" spans="1:5" ht="14.45" customHeight="1" x14ac:dyDescent="0.25">
      <c r="A10" s="231" t="str">
        <f>HYPERLINK("#'LRp PL'!A1","Plnění pozitivního listu (min. 80%)")</f>
        <v>Plnění pozitivního listu (min. 80%)</v>
      </c>
      <c r="B10" s="163" t="s">
        <v>132</v>
      </c>
      <c r="C10" s="165">
        <v>0.8</v>
      </c>
      <c r="D10" s="165">
        <f>IF(ISERROR(VLOOKUP("Celkem",'LRp PL'!A:F,5,0)),0,VLOOKUP("Celkem",'LRp PL'!A:F,5,0))</f>
        <v>0.69071865632099638</v>
      </c>
      <c r="E10" s="161">
        <f t="shared" si="0"/>
        <v>0.86339832040124542</v>
      </c>
    </row>
    <row r="11" spans="1:5" ht="14.45" customHeight="1" x14ac:dyDescent="0.2">
      <c r="A11" s="166" t="s">
        <v>140</v>
      </c>
      <c r="B11" s="163"/>
      <c r="C11" s="164"/>
      <c r="D11" s="164"/>
      <c r="E11" s="161"/>
    </row>
    <row r="12" spans="1:5" ht="14.45" customHeight="1" x14ac:dyDescent="0.2">
      <c r="A12" s="167" t="s">
        <v>144</v>
      </c>
      <c r="B12" s="163"/>
      <c r="C12" s="160"/>
      <c r="D12" s="160"/>
      <c r="E12" s="161"/>
    </row>
    <row r="13" spans="1:5" ht="14.45" customHeight="1" x14ac:dyDescent="0.2">
      <c r="A13" s="168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3" s="163" t="s">
        <v>107</v>
      </c>
      <c r="C13" s="164">
        <f>IF(ISERROR(HI!F6),"",HI!F6)</f>
        <v>0</v>
      </c>
      <c r="D13" s="164">
        <f>IF(ISERROR(HI!E6),"",HI!E6)</f>
        <v>0</v>
      </c>
      <c r="E13" s="161">
        <f t="shared" si="0"/>
        <v>0</v>
      </c>
    </row>
    <row r="14" spans="1:5" ht="14.45" customHeight="1" thickBot="1" x14ac:dyDescent="0.25">
      <c r="A14" s="169" t="str">
        <f>HYPERLINK("#HI!A1","Osobní náklady")</f>
        <v>Osobní náklady</v>
      </c>
      <c r="B14" s="163"/>
      <c r="C14" s="160">
        <f ca="1">IF(ISERROR(VLOOKUP("Osobní náklady (Kč) *",INDIRECT("HI!$A:$G"),6,0)),0,VLOOKUP("Osobní náklady (Kč) *",INDIRECT("HI!$A:$G"),6,0))</f>
        <v>1929.7495224609374</v>
      </c>
      <c r="D14" s="160">
        <f ca="1">IF(ISERROR(VLOOKUP("Osobní náklady (Kč) *",INDIRECT("HI!$A:$G"),5,0)),0,VLOOKUP("Osobní náklady (Kč) *",INDIRECT("HI!$A:$G"),5,0))</f>
        <v>2305.2334699999997</v>
      </c>
      <c r="E14" s="161">
        <f ca="1">IF(C14=0,0,D14/C14)</f>
        <v>1.19457652051144</v>
      </c>
    </row>
    <row r="15" spans="1:5" ht="14.45" customHeight="1" thickBot="1" x14ac:dyDescent="0.25">
      <c r="A15" s="173"/>
      <c r="B15" s="174"/>
      <c r="C15" s="175"/>
      <c r="D15" s="175"/>
      <c r="E15" s="176"/>
    </row>
    <row r="16" spans="1:5" ht="14.45" customHeight="1" thickBot="1" x14ac:dyDescent="0.25">
      <c r="A16" s="177" t="str">
        <f>HYPERLINK("#HI!A1","VÝNOSY CELKEM (v tisících)")</f>
        <v>VÝNOSY CELKEM (v tisících)</v>
      </c>
      <c r="B16" s="178"/>
      <c r="C16" s="179">
        <f ca="1">IF(ISERROR(VLOOKUP("Výnosy celkem",INDIRECT("HI!$A:$G"),6,0)),0,VLOOKUP("Výnosy celkem",INDIRECT("HI!$A:$G"),6,0))</f>
        <v>1.9450000000000001</v>
      </c>
      <c r="D16" s="179">
        <f ca="1">IF(ISERROR(VLOOKUP("Výnosy celkem",INDIRECT("HI!$A:$G"),5,0)),0,VLOOKUP("Výnosy celkem",INDIRECT("HI!$A:$G"),5,0))</f>
        <v>5.0949999999999998</v>
      </c>
      <c r="E16" s="180">
        <f t="shared" ref="E16:E21" ca="1" si="1">IF(C16=0,0,D16/C16)</f>
        <v>2.6195372750642671</v>
      </c>
    </row>
    <row r="17" spans="1:5" ht="14.45" customHeight="1" x14ac:dyDescent="0.2">
      <c r="A17" s="181" t="str">
        <f>HYPERLINK("#HI!A1","Ambulance (body za výkony + Kč za ZUM a ZULP)")</f>
        <v>Ambulance (body za výkony + Kč za ZUM a ZULP)</v>
      </c>
      <c r="B17" s="159"/>
      <c r="C17" s="160">
        <f ca="1">IF(ISERROR(VLOOKUP("Ambulance *",INDIRECT("HI!$A:$G"),6,0)),0,VLOOKUP("Ambulance *",INDIRECT("HI!$A:$G"),6,0))</f>
        <v>1.9450000000000001</v>
      </c>
      <c r="D17" s="160">
        <f ca="1">IF(ISERROR(VLOOKUP("Ambulance *",INDIRECT("HI!$A:$G"),5,0)),0,VLOOKUP("Ambulance *",INDIRECT("HI!$A:$G"),5,0))</f>
        <v>5.0949999999999998</v>
      </c>
      <c r="E17" s="161">
        <f t="shared" ca="1" si="1"/>
        <v>2.6195372750642671</v>
      </c>
    </row>
    <row r="18" spans="1:5" ht="14.45" customHeight="1" x14ac:dyDescent="0.25">
      <c r="A18" s="237" t="str">
        <f>HYPERLINK("#'ZV Vykáz.-A'!A1","Zdravotní výkony vykázané u ambulantních pacientů (min. 100 % 2016)")</f>
        <v>Zdravotní výkony vykázané u ambulantních pacientů (min. 100 % 2016)</v>
      </c>
      <c r="B18" s="238" t="s">
        <v>115</v>
      </c>
      <c r="C18" s="165">
        <v>1</v>
      </c>
      <c r="D18" s="165">
        <f>IF(ISERROR(VLOOKUP("Celkem:",'ZV Vykáz.-A'!$A:$AB,10,0)),"",VLOOKUP("Celkem:",'ZV Vykáz.-A'!$A:$AB,10,0))</f>
        <v>2.6195372750642671</v>
      </c>
      <c r="E18" s="161">
        <f t="shared" si="1"/>
        <v>2.6195372750642671</v>
      </c>
    </row>
    <row r="19" spans="1:5" ht="14.45" customHeight="1" x14ac:dyDescent="0.25">
      <c r="A19" s="236" t="str">
        <f>HYPERLINK("#'ZV Vykáz.-A'!A1","Specializovaná ambulantní péče")</f>
        <v>Specializovaná ambulantní péče</v>
      </c>
      <c r="B19" s="238" t="s">
        <v>115</v>
      </c>
      <c r="C19" s="165">
        <v>1</v>
      </c>
      <c r="D19" s="230">
        <f>IF(ISERROR(VLOOKUP("Specializovaná ambulantní péče",'ZV Vykáz.-A'!$A:$AB,10,0)),"",VLOOKUP("Specializovaná ambulantní péče",'ZV Vykáz.-A'!$A:$AB,10,0))</f>
        <v>2.6195372750642671</v>
      </c>
      <c r="E19" s="161">
        <f t="shared" si="1"/>
        <v>2.6195372750642671</v>
      </c>
    </row>
    <row r="20" spans="1:5" ht="14.45" customHeight="1" x14ac:dyDescent="0.25">
      <c r="A20" s="236" t="str">
        <f>HYPERLINK("#'ZV Vykáz.-A'!A1","Ambulantní péče ve vyjmenovaných odbornostech (§9)")</f>
        <v>Ambulantní péče ve vyjmenovaných odbornostech (§9)</v>
      </c>
      <c r="B20" s="238" t="s">
        <v>115</v>
      </c>
      <c r="C20" s="165">
        <v>1</v>
      </c>
      <c r="D20" s="230" t="str">
        <f>IF(ISERROR(VLOOKUP("Ambulantní péče ve vyjmenovaných odbornostech (§9) *",'ZV Vykáz.-A'!$A:$AB,10,0)),"",VLOOKUP("Ambulantní péče ve vyjmenovaných odbornostech (§9) *",'ZV Vykáz.-A'!$A:$AB,10,0))</f>
        <v/>
      </c>
      <c r="E20" s="161">
        <f>IF(OR(C20=0,D20=""),0,IF(C20="","",D20/C20))</f>
        <v>0</v>
      </c>
    </row>
    <row r="21" spans="1:5" ht="14.45" customHeight="1" x14ac:dyDescent="0.2">
      <c r="A21" s="182" t="str">
        <f>HYPERLINK("#'ZV Vykáz.-H'!A1","Zdravotní výkony vykázané u hospitalizovaných pacientů (max. 85 %)")</f>
        <v>Zdravotní výkony vykázané u hospitalizovaných pacientů (max. 85 %)</v>
      </c>
      <c r="B21" s="238" t="s">
        <v>117</v>
      </c>
      <c r="C21" s="165">
        <v>0.85</v>
      </c>
      <c r="D21" s="165">
        <f>IF(ISERROR(VLOOKUP("Celkem:",'ZV Vykáz.-H'!$A:$S,7,0)),"",VLOOKUP("Celkem:",'ZV Vykáz.-H'!$A:$S,7,0))</f>
        <v>1.1043987915407856</v>
      </c>
      <c r="E21" s="161">
        <f t="shared" si="1"/>
        <v>1.2992926959303359</v>
      </c>
    </row>
    <row r="22" spans="1:5" ht="14.45" customHeight="1" x14ac:dyDescent="0.2">
      <c r="A22" s="183" t="str">
        <f>HYPERLINK("#HI!A1","Hospitalizace (casemix * 30000)")</f>
        <v>Hospitalizace (casemix * 30000)</v>
      </c>
      <c r="B22" s="163"/>
      <c r="C22" s="160">
        <f ca="1">IF(ISERROR(VLOOKUP("Hospitalizace *",INDIRECT("HI!$A:$G"),6,0)),0,VLOOKUP("Hospitalizace *",INDIRECT("HI!$A:$G"),6,0))</f>
        <v>0</v>
      </c>
      <c r="D22" s="160">
        <f ca="1">IF(ISERROR(VLOOKUP("Hospitalizace *",INDIRECT("HI!$A:$G"),5,0)),0,VLOOKUP("Hospitalizace *",INDIRECT("HI!$A:$G"),5,0))</f>
        <v>0</v>
      </c>
      <c r="E22" s="161">
        <f ca="1">IF(C22=0,0,D22/C22)</f>
        <v>0</v>
      </c>
    </row>
    <row r="23" spans="1:5" ht="14.45" customHeight="1" thickBot="1" x14ac:dyDescent="0.25">
      <c r="A23" s="184" t="s">
        <v>141</v>
      </c>
      <c r="B23" s="170"/>
      <c r="C23" s="171"/>
      <c r="D23" s="171"/>
      <c r="E23" s="172"/>
    </row>
    <row r="24" spans="1:5" ht="14.45" customHeight="1" thickBot="1" x14ac:dyDescent="0.25">
      <c r="A24" s="185"/>
      <c r="B24" s="186"/>
      <c r="C24" s="187"/>
      <c r="D24" s="187"/>
      <c r="E24" s="188"/>
    </row>
    <row r="25" spans="1:5" ht="14.45" customHeight="1" thickBot="1" x14ac:dyDescent="0.25">
      <c r="A25" s="189" t="s">
        <v>142</v>
      </c>
      <c r="B25" s="190"/>
      <c r="C25" s="191"/>
      <c r="D25" s="191"/>
      <c r="E25" s="192"/>
    </row>
  </sheetData>
  <mergeCells count="1">
    <mergeCell ref="A1:E1"/>
  </mergeCells>
  <conditionalFormatting sqref="E5">
    <cfRule type="cellIs" dxfId="33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2">
    <cfRule type="cellIs" dxfId="32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31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7">
    <cfRule type="cellIs" dxfId="30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22">
    <cfRule type="cellIs" dxfId="29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28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6 E9:E10 E18:E19">
    <cfRule type="cellIs" dxfId="27" priority="48" operator="lessThan">
      <formula>1</formula>
    </cfRule>
    <cfRule type="iconSet" priority="49">
      <iconSet iconSet="3Symbols2">
        <cfvo type="percent" val="0"/>
        <cfvo type="num" val="1"/>
        <cfvo type="num" val="1"/>
      </iconSet>
    </cfRule>
  </conditionalFormatting>
  <conditionalFormatting sqref="E4 E7 E13 E20:E21">
    <cfRule type="cellIs" dxfId="26" priority="54" operator="greaterThan">
      <formula>1</formula>
    </cfRule>
    <cfRule type="iconSet" priority="5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 xr:uid="{20C6FA3D-FC38-46AA-82DC-D4389AF9869B}"/>
  </hyperlinks>
  <pageMargins left="0.25" right="0.25" top="0.75" bottom="0.75" header="0.3" footer="0.3"/>
  <pageSetup paperSize="9" fitToHeight="0" orientation="landscape" r:id="rId1"/>
  <ignoredErrors>
    <ignoredError sqref="E18:E19 E21" evalError="1"/>
    <ignoredError sqref="E20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ColWidth="8.85546875" defaultRowHeight="14.45" customHeight="1" outlineLevelCol="1" x14ac:dyDescent="0.2"/>
  <cols>
    <col min="1" max="1" width="34.28515625" style="126" bestFit="1" customWidth="1"/>
    <col min="2" max="2" width="9.5703125" style="126" hidden="1" customWidth="1" outlineLevel="1"/>
    <col min="3" max="3" width="9.5703125" style="126" customWidth="1" collapsed="1"/>
    <col min="4" max="4" width="2.28515625" style="126" customWidth="1"/>
    <col min="5" max="8" width="9.5703125" style="126" customWidth="1"/>
    <col min="9" max="10" width="9.7109375" style="126" hidden="1" customWidth="1" outlineLevel="1"/>
    <col min="11" max="11" width="8.85546875" style="126" collapsed="1"/>
    <col min="12" max="16384" width="8.85546875" style="126"/>
  </cols>
  <sheetData>
    <row r="1" spans="1:10" ht="18.600000000000001" customHeight="1" thickBot="1" x14ac:dyDescent="0.35">
      <c r="A1" s="309" t="s">
        <v>128</v>
      </c>
      <c r="B1" s="309"/>
      <c r="C1" s="309"/>
      <c r="D1" s="309"/>
      <c r="E1" s="309"/>
      <c r="F1" s="309"/>
      <c r="G1" s="309"/>
      <c r="H1" s="309"/>
      <c r="I1" s="309"/>
      <c r="J1" s="309"/>
    </row>
    <row r="2" spans="1:10" ht="14.45" customHeight="1" thickBot="1" x14ac:dyDescent="0.25">
      <c r="A2" s="413" t="s">
        <v>241</v>
      </c>
      <c r="B2" s="108"/>
      <c r="C2" s="108"/>
      <c r="D2" s="108"/>
      <c r="E2" s="108"/>
      <c r="F2" s="108"/>
    </row>
    <row r="3" spans="1:10" ht="14.45" customHeight="1" x14ac:dyDescent="0.2">
      <c r="A3" s="300"/>
      <c r="B3" s="104">
        <v>2015</v>
      </c>
      <c r="C3" s="40">
        <v>2018</v>
      </c>
      <c r="D3" s="7"/>
      <c r="E3" s="304">
        <v>2019</v>
      </c>
      <c r="F3" s="305"/>
      <c r="G3" s="305"/>
      <c r="H3" s="306"/>
      <c r="I3" s="307">
        <v>2017</v>
      </c>
      <c r="J3" s="308"/>
    </row>
    <row r="4" spans="1:10" ht="14.45" customHeight="1" thickBot="1" x14ac:dyDescent="0.25">
      <c r="A4" s="301"/>
      <c r="B4" s="302" t="s">
        <v>69</v>
      </c>
      <c r="C4" s="303"/>
      <c r="D4" s="7"/>
      <c r="E4" s="125" t="s">
        <v>69</v>
      </c>
      <c r="F4" s="106" t="s">
        <v>70</v>
      </c>
      <c r="G4" s="106" t="s">
        <v>64</v>
      </c>
      <c r="H4" s="107" t="s">
        <v>71</v>
      </c>
      <c r="I4" s="241" t="s">
        <v>185</v>
      </c>
      <c r="J4" s="242" t="s">
        <v>186</v>
      </c>
    </row>
    <row r="5" spans="1:10" ht="14.45" customHeight="1" x14ac:dyDescent="0.2">
      <c r="A5" s="109" t="str">
        <f>HYPERLINK("#'Léky Žádanky'!A1","Léky (Kč)")</f>
        <v>Léky (Kč)</v>
      </c>
      <c r="B5" s="27">
        <v>0</v>
      </c>
      <c r="C5" s="29">
        <v>0</v>
      </c>
      <c r="D5" s="8"/>
      <c r="E5" s="114">
        <v>0</v>
      </c>
      <c r="F5" s="28">
        <v>0</v>
      </c>
      <c r="G5" s="113">
        <f>E5-F5</f>
        <v>0</v>
      </c>
      <c r="H5" s="119" t="str">
        <f>IF(F5&lt;0.00000001,"",E5/F5)</f>
        <v/>
      </c>
    </row>
    <row r="6" spans="1:10" ht="14.45" customHeight="1" x14ac:dyDescent="0.2">
      <c r="A6" s="109" t="str">
        <f>HYPERLINK("#'Materiál Žádanky'!A1","Materiál - SZM (Kč)")</f>
        <v>Materiál - SZM (Kč)</v>
      </c>
      <c r="B6" s="10">
        <v>0</v>
      </c>
      <c r="C6" s="31">
        <v>0</v>
      </c>
      <c r="D6" s="8"/>
      <c r="E6" s="115">
        <v>0</v>
      </c>
      <c r="F6" s="30">
        <v>0</v>
      </c>
      <c r="G6" s="116">
        <f>E6-F6</f>
        <v>0</v>
      </c>
      <c r="H6" s="120" t="str">
        <f>IF(F6&lt;0.00000001,"",E6/F6)</f>
        <v/>
      </c>
    </row>
    <row r="7" spans="1:10" ht="14.45" customHeight="1" x14ac:dyDescent="0.2">
      <c r="A7" s="109" t="str">
        <f>HYPERLINK("#'Osobní náklady'!A1","Osobní náklady (Kč) *")</f>
        <v>Osobní náklady (Kč) *</v>
      </c>
      <c r="B7" s="10">
        <v>2028.2174600000001</v>
      </c>
      <c r="C7" s="31">
        <v>1965.73496</v>
      </c>
      <c r="D7" s="8"/>
      <c r="E7" s="115">
        <v>2305.2334699999997</v>
      </c>
      <c r="F7" s="30">
        <v>1929.7495224609374</v>
      </c>
      <c r="G7" s="116">
        <f>E7-F7</f>
        <v>375.48394753906223</v>
      </c>
      <c r="H7" s="120">
        <f>IF(F7&lt;0.00000001,"",E7/F7)</f>
        <v>1.19457652051144</v>
      </c>
    </row>
    <row r="8" spans="1:10" ht="14.45" customHeight="1" thickBot="1" x14ac:dyDescent="0.25">
      <c r="A8" s="1" t="s">
        <v>72</v>
      </c>
      <c r="B8" s="11">
        <v>23.024479999999812</v>
      </c>
      <c r="C8" s="33">
        <v>9.4299999999998363</v>
      </c>
      <c r="D8" s="8"/>
      <c r="E8" s="117">
        <v>2.6000000000749424E-2</v>
      </c>
      <c r="F8" s="32">
        <v>2.349240386962947</v>
      </c>
      <c r="G8" s="118">
        <f>E8-F8</f>
        <v>-2.3232403869621976</v>
      </c>
      <c r="H8" s="121">
        <f>IF(F8&lt;0.00000001,"",E8/F8)</f>
        <v>1.1067407211725031E-2</v>
      </c>
    </row>
    <row r="9" spans="1:10" ht="14.45" customHeight="1" thickBot="1" x14ac:dyDescent="0.25">
      <c r="A9" s="2" t="s">
        <v>73</v>
      </c>
      <c r="B9" s="3">
        <v>2051.2419399999999</v>
      </c>
      <c r="C9" s="35">
        <v>1975.1649599999998</v>
      </c>
      <c r="D9" s="8"/>
      <c r="E9" s="3">
        <v>2305.2594700000004</v>
      </c>
      <c r="F9" s="34">
        <v>1932.0987628479004</v>
      </c>
      <c r="G9" s="34">
        <f>E9-F9</f>
        <v>373.16070715210003</v>
      </c>
      <c r="H9" s="122">
        <f>IF(F9&lt;0.00000001,"",E9/F9)</f>
        <v>1.1931374908610073</v>
      </c>
    </row>
    <row r="10" spans="1:10" ht="14.45" customHeight="1" thickBot="1" x14ac:dyDescent="0.25">
      <c r="A10" s="12"/>
      <c r="B10" s="12"/>
      <c r="C10" s="105"/>
      <c r="D10" s="8"/>
      <c r="E10" s="12"/>
      <c r="F10" s="13"/>
    </row>
    <row r="11" spans="1:10" ht="14.45" customHeight="1" x14ac:dyDescent="0.2">
      <c r="A11" s="129" t="str">
        <f>HYPERLINK("#'ZV Vykáz.-A'!A1","Ambulance *")</f>
        <v>Ambulance *</v>
      </c>
      <c r="B11" s="9">
        <f>IF(ISERROR(VLOOKUP("Celkem:",'ZV Vykáz.-A'!A:H,2,0)),0,VLOOKUP("Celkem:",'ZV Vykáz.-A'!A:H,2,0)/1000)</f>
        <v>0</v>
      </c>
      <c r="C11" s="29">
        <f>IF(ISERROR(VLOOKUP("Celkem:",'ZV Vykáz.-A'!A:H,5,0)),0,VLOOKUP("Celkem:",'ZV Vykáz.-A'!A:H,5,0)/1000)</f>
        <v>1.9450000000000001</v>
      </c>
      <c r="D11" s="8"/>
      <c r="E11" s="114">
        <f>IF(ISERROR(VLOOKUP("Celkem:",'ZV Vykáz.-A'!A:H,8,0)),0,VLOOKUP("Celkem:",'ZV Vykáz.-A'!A:H,8,0)/1000)</f>
        <v>5.0949999999999998</v>
      </c>
      <c r="F11" s="28">
        <f>C11</f>
        <v>1.9450000000000001</v>
      </c>
      <c r="G11" s="113">
        <f>E11-F11</f>
        <v>3.1499999999999995</v>
      </c>
      <c r="H11" s="119">
        <f>IF(F11&lt;0.00000001,"",E11/F11)</f>
        <v>2.6195372750642671</v>
      </c>
      <c r="I11" s="113">
        <f>E11-B11</f>
        <v>5.0949999999999998</v>
      </c>
      <c r="J11" s="119" t="str">
        <f>IF(B11&lt;0.00000001,"",E11/B11)</f>
        <v/>
      </c>
    </row>
    <row r="12" spans="1:10" ht="14.45" customHeight="1" thickBot="1" x14ac:dyDescent="0.25">
      <c r="A12" s="130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117">
        <f>IF(ISERROR(VLOOKUP("Celkem",#REF!,4,0)),0,VLOOKUP("Celkem",#REF!,4,0)*30)</f>
        <v>0</v>
      </c>
      <c r="F12" s="32">
        <f>C12</f>
        <v>0</v>
      </c>
      <c r="G12" s="118">
        <f>E12-F12</f>
        <v>0</v>
      </c>
      <c r="H12" s="121" t="str">
        <f>IF(F12&lt;0.00000001,"",E12/F12)</f>
        <v/>
      </c>
      <c r="I12" s="118">
        <f>E12-B12</f>
        <v>0</v>
      </c>
      <c r="J12" s="121" t="str">
        <f>IF(B12&lt;0.00000001,"",E12/B12)</f>
        <v/>
      </c>
    </row>
    <row r="13" spans="1:10" ht="14.45" customHeight="1" thickBot="1" x14ac:dyDescent="0.25">
      <c r="A13" s="4" t="s">
        <v>76</v>
      </c>
      <c r="B13" s="5">
        <f>SUM(B11:B12)</f>
        <v>0</v>
      </c>
      <c r="C13" s="37">
        <f>SUM(C11:C12)</f>
        <v>1.9450000000000001</v>
      </c>
      <c r="D13" s="8"/>
      <c r="E13" s="5">
        <f>SUM(E11:E12)</f>
        <v>5.0949999999999998</v>
      </c>
      <c r="F13" s="36">
        <f>SUM(F11:F12)</f>
        <v>1.9450000000000001</v>
      </c>
      <c r="G13" s="36">
        <f>E13-F13</f>
        <v>3.1499999999999995</v>
      </c>
      <c r="H13" s="123">
        <f>IF(F13&lt;0.00000001,"",E13/F13)</f>
        <v>2.6195372750642671</v>
      </c>
      <c r="I13" s="36">
        <f>SUM(I11:I12)</f>
        <v>5.0949999999999998</v>
      </c>
      <c r="J13" s="123" t="str">
        <f>IF(B13&lt;0.00000001,"",E13/B13)</f>
        <v/>
      </c>
    </row>
    <row r="14" spans="1:10" ht="14.45" customHeight="1" thickBot="1" x14ac:dyDescent="0.25">
      <c r="A14" s="12"/>
      <c r="B14" s="12"/>
      <c r="C14" s="105"/>
      <c r="D14" s="8"/>
      <c r="E14" s="12"/>
      <c r="F14" s="13"/>
    </row>
    <row r="15" spans="1:10" ht="14.45" customHeight="1" thickBot="1" x14ac:dyDescent="0.25">
      <c r="A15" s="131" t="str">
        <f>HYPERLINK("#'HI Graf'!A1","Hospodářský index (Výnosy / Náklady) *")</f>
        <v>Hospodářský index (Výnosy / Náklady) *</v>
      </c>
      <c r="B15" s="6">
        <f>IF(B9=0,"",B13/B9)</f>
        <v>0</v>
      </c>
      <c r="C15" s="39">
        <f>IF(C9=0,"",C13/C9)</f>
        <v>9.8472787812112672E-4</v>
      </c>
      <c r="D15" s="8"/>
      <c r="E15" s="6">
        <f>IF(E9=0,"",E13/E9)</f>
        <v>2.2101633531083592E-3</v>
      </c>
      <c r="F15" s="38">
        <f>IF(F9=0,"",F13/F9)</f>
        <v>1.0066773176403692E-3</v>
      </c>
      <c r="G15" s="38">
        <f>IF(ISERROR(F15-E15),"",E15-F15)</f>
        <v>1.20348603546799E-3</v>
      </c>
      <c r="H15" s="124">
        <f>IF(ISERROR(F15-E15),"",IF(F15&lt;0.00000001,"",E15/F15))</f>
        <v>2.1955032803251555</v>
      </c>
    </row>
    <row r="17" spans="1:8" ht="14.45" customHeight="1" x14ac:dyDescent="0.2">
      <c r="A17" s="110" t="s">
        <v>145</v>
      </c>
    </row>
    <row r="18" spans="1:8" ht="14.45" customHeight="1" x14ac:dyDescent="0.25">
      <c r="A18" s="227" t="s">
        <v>171</v>
      </c>
      <c r="B18" s="228"/>
      <c r="C18" s="228"/>
      <c r="D18" s="228"/>
      <c r="E18" s="228"/>
      <c r="F18" s="228"/>
      <c r="G18" s="228"/>
      <c r="H18" s="228"/>
    </row>
    <row r="19" spans="1:8" ht="15" x14ac:dyDescent="0.25">
      <c r="A19" s="226" t="s">
        <v>170</v>
      </c>
      <c r="B19" s="228"/>
      <c r="C19" s="228"/>
      <c r="D19" s="228"/>
      <c r="E19" s="228"/>
      <c r="F19" s="228"/>
      <c r="G19" s="228"/>
      <c r="H19" s="228"/>
    </row>
    <row r="20" spans="1:8" ht="14.45" customHeight="1" x14ac:dyDescent="0.2">
      <c r="A20" s="111" t="s">
        <v>178</v>
      </c>
    </row>
    <row r="21" spans="1:8" ht="14.45" customHeight="1" x14ac:dyDescent="0.2">
      <c r="A21" s="111" t="s">
        <v>146</v>
      </c>
    </row>
    <row r="22" spans="1:8" ht="14.45" customHeight="1" x14ac:dyDescent="0.2">
      <c r="A22" s="112" t="s">
        <v>220</v>
      </c>
    </row>
    <row r="23" spans="1:8" ht="14.45" customHeight="1" x14ac:dyDescent="0.2">
      <c r="A23" s="112" t="s">
        <v>147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25" priority="8" operator="greaterThan">
      <formula>0</formula>
    </cfRule>
  </conditionalFormatting>
  <conditionalFormatting sqref="G11:G13 G15">
    <cfRule type="cellIs" dxfId="24" priority="7" operator="lessThan">
      <formula>0</formula>
    </cfRule>
  </conditionalFormatting>
  <conditionalFormatting sqref="H5:H9">
    <cfRule type="cellIs" dxfId="23" priority="6" operator="greaterThan">
      <formula>1</formula>
    </cfRule>
  </conditionalFormatting>
  <conditionalFormatting sqref="H11:H13 H15">
    <cfRule type="cellIs" dxfId="22" priority="5" operator="lessThan">
      <formula>1</formula>
    </cfRule>
  </conditionalFormatting>
  <conditionalFormatting sqref="I11:I13">
    <cfRule type="cellIs" dxfId="21" priority="4" operator="lessThan">
      <formula>0</formula>
    </cfRule>
  </conditionalFormatting>
  <conditionalFormatting sqref="J11:J13">
    <cfRule type="cellIs" dxfId="20" priority="3" operator="lessThan">
      <formula>1</formula>
    </cfRule>
  </conditionalFormatting>
  <hyperlinks>
    <hyperlink ref="A2" location="Obsah!A1" display="Zpět na Obsah  KL 01  1.-4.měsíc" xr:uid="{AAEDB1A3-C30B-401D-ACCB-3906B8FBF2CE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ColWidth="8.85546875" defaultRowHeight="14.45" customHeight="1" x14ac:dyDescent="0.2"/>
  <cols>
    <col min="1" max="1" width="8.85546875" style="126"/>
    <col min="2" max="13" width="8.85546875" style="126" customWidth="1"/>
    <col min="14" max="16384" width="8.85546875" style="126"/>
  </cols>
  <sheetData>
    <row r="1" spans="1:13" ht="18.600000000000001" customHeight="1" thickBot="1" x14ac:dyDescent="0.35">
      <c r="A1" s="298" t="s">
        <v>100</v>
      </c>
      <c r="B1" s="298"/>
      <c r="C1" s="298"/>
      <c r="D1" s="298"/>
      <c r="E1" s="298"/>
      <c r="F1" s="298"/>
      <c r="G1" s="298"/>
      <c r="H1" s="298"/>
      <c r="I1" s="298"/>
      <c r="J1" s="298"/>
      <c r="K1" s="298"/>
      <c r="L1" s="298"/>
      <c r="M1" s="298"/>
    </row>
    <row r="2" spans="1:13" ht="14.45" customHeight="1" x14ac:dyDescent="0.2">
      <c r="A2" s="413" t="s">
        <v>241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</row>
    <row r="3" spans="1:13" ht="14.45" customHeight="1" x14ac:dyDescent="0.2">
      <c r="A3" s="194"/>
      <c r="B3" s="195" t="s">
        <v>78</v>
      </c>
      <c r="C3" s="196" t="s">
        <v>79</v>
      </c>
      <c r="D3" s="196" t="s">
        <v>80</v>
      </c>
      <c r="E3" s="195" t="s">
        <v>81</v>
      </c>
      <c r="F3" s="196" t="s">
        <v>82</v>
      </c>
      <c r="G3" s="196" t="s">
        <v>83</v>
      </c>
      <c r="H3" s="196" t="s">
        <v>84</v>
      </c>
      <c r="I3" s="196" t="s">
        <v>85</v>
      </c>
      <c r="J3" s="196" t="s">
        <v>86</v>
      </c>
      <c r="K3" s="196" t="s">
        <v>87</v>
      </c>
      <c r="L3" s="196" t="s">
        <v>88</v>
      </c>
      <c r="M3" s="196" t="s">
        <v>89</v>
      </c>
    </row>
    <row r="4" spans="1:13" ht="14.45" customHeight="1" x14ac:dyDescent="0.2">
      <c r="A4" s="194" t="s">
        <v>77</v>
      </c>
      <c r="B4" s="197">
        <f>(B10+B8)/B6</f>
        <v>5.833903185751806E-3</v>
      </c>
      <c r="C4" s="197">
        <f t="shared" ref="C4:M4" si="0">(C10+C8)/C6</f>
        <v>5.2122233765164016E-3</v>
      </c>
      <c r="D4" s="197">
        <f t="shared" si="0"/>
        <v>5.0502516602012257E-3</v>
      </c>
      <c r="E4" s="197">
        <f t="shared" si="0"/>
        <v>4.2972488335055381E-3</v>
      </c>
      <c r="F4" s="197">
        <f t="shared" si="0"/>
        <v>3.8328554732213827E-3</v>
      </c>
      <c r="G4" s="197">
        <f t="shared" si="0"/>
        <v>3.905717233281248E-3</v>
      </c>
      <c r="H4" s="197">
        <f t="shared" si="0"/>
        <v>3.2230467812611107E-3</v>
      </c>
      <c r="I4" s="197">
        <f t="shared" si="0"/>
        <v>3.1339437504658619E-3</v>
      </c>
      <c r="J4" s="197">
        <f t="shared" si="0"/>
        <v>3.2898738522246845E-3</v>
      </c>
      <c r="K4" s="197">
        <f t="shared" si="0"/>
        <v>2.9257515799288279E-3</v>
      </c>
      <c r="L4" s="197">
        <f t="shared" si="0"/>
        <v>2.5981761660024412E-3</v>
      </c>
      <c r="M4" s="197">
        <f t="shared" si="0"/>
        <v>2.2101633531083627E-3</v>
      </c>
    </row>
    <row r="5" spans="1:13" ht="14.45" customHeight="1" x14ac:dyDescent="0.2">
      <c r="A5" s="198" t="s">
        <v>50</v>
      </c>
      <c r="B5" s="197">
        <f>IF(ISERROR(VLOOKUP($A5,'Man Tab'!$A:$Q,COLUMN()+2,0)),0,VLOOKUP($A5,'Man Tab'!$A:$Q,COLUMN()+2,0))</f>
        <v>152.04229000000001</v>
      </c>
      <c r="C5" s="197">
        <f>IF(ISERROR(VLOOKUP($A5,'Man Tab'!$A:$Q,COLUMN()+2,0)),0,VLOOKUP($A5,'Man Tab'!$A:$Q,COLUMN()+2,0))</f>
        <v>152.43430000000001</v>
      </c>
      <c r="D5" s="197">
        <f>IF(ISERROR(VLOOKUP($A5,'Man Tab'!$A:$Q,COLUMN()+2,0)),0,VLOOKUP($A5,'Man Tab'!$A:$Q,COLUMN()+2,0))</f>
        <v>148.37213</v>
      </c>
      <c r="E5" s="197">
        <f>IF(ISERROR(VLOOKUP($A5,'Man Tab'!$A:$Q,COLUMN()+2,0)),0,VLOOKUP($A5,'Man Tab'!$A:$Q,COLUMN()+2,0))</f>
        <v>160.79970999999901</v>
      </c>
      <c r="F5" s="197">
        <f>IF(ISERROR(VLOOKUP($A5,'Man Tab'!$A:$Q,COLUMN()+2,0)),0,VLOOKUP($A5,'Man Tab'!$A:$Q,COLUMN()+2,0))</f>
        <v>165.66611</v>
      </c>
      <c r="G5" s="197">
        <f>IF(ISERROR(VLOOKUP($A5,'Man Tab'!$A:$Q,COLUMN()+2,0)),0,VLOOKUP($A5,'Man Tab'!$A:$Q,COLUMN()+2,0))</f>
        <v>166.734489999999</v>
      </c>
      <c r="H5" s="197">
        <f>IF(ISERROR(VLOOKUP($A5,'Man Tab'!$A:$Q,COLUMN()+2,0)),0,VLOOKUP($A5,'Man Tab'!$A:$Q,COLUMN()+2,0))</f>
        <v>308.97464000000002</v>
      </c>
      <c r="I5" s="197">
        <f>IF(ISERROR(VLOOKUP($A5,'Man Tab'!$A:$Q,COLUMN()+2,0)),0,VLOOKUP($A5,'Man Tab'!$A:$Q,COLUMN()+2,0))</f>
        <v>147.36269999999999</v>
      </c>
      <c r="J5" s="197">
        <f>IF(ISERROR(VLOOKUP($A5,'Man Tab'!$A:$Q,COLUMN()+2,0)),0,VLOOKUP($A5,'Man Tab'!$A:$Q,COLUMN()+2,0))</f>
        <v>146.305229999999</v>
      </c>
      <c r="K5" s="197">
        <f>IF(ISERROR(VLOOKUP($A5,'Man Tab'!$A:$Q,COLUMN()+2,0)),0,VLOOKUP($A5,'Man Tab'!$A:$Q,COLUMN()+2,0))</f>
        <v>192.74127999999999</v>
      </c>
      <c r="L5" s="197">
        <f>IF(ISERROR(VLOOKUP($A5,'Man Tab'!$A:$Q,COLUMN()+2,0)),0,VLOOKUP($A5,'Man Tab'!$A:$Q,COLUMN()+2,0))</f>
        <v>219.55808999999999</v>
      </c>
      <c r="M5" s="197">
        <f>IF(ISERROR(VLOOKUP($A5,'Man Tab'!$A:$Q,COLUMN()+2,0)),0,VLOOKUP($A5,'Man Tab'!$A:$Q,COLUMN()+2,0))</f>
        <v>344.26850000000002</v>
      </c>
    </row>
    <row r="6" spans="1:13" ht="14.45" customHeight="1" x14ac:dyDescent="0.2">
      <c r="A6" s="198" t="s">
        <v>73</v>
      </c>
      <c r="B6" s="199">
        <f>B5</f>
        <v>152.04229000000001</v>
      </c>
      <c r="C6" s="199">
        <f t="shared" ref="C6:M6" si="1">C5+B6</f>
        <v>304.47658999999999</v>
      </c>
      <c r="D6" s="199">
        <f t="shared" si="1"/>
        <v>452.84871999999996</v>
      </c>
      <c r="E6" s="199">
        <f t="shared" si="1"/>
        <v>613.64842999999894</v>
      </c>
      <c r="F6" s="199">
        <f t="shared" si="1"/>
        <v>779.31453999999894</v>
      </c>
      <c r="G6" s="199">
        <f t="shared" si="1"/>
        <v>946.04902999999797</v>
      </c>
      <c r="H6" s="199">
        <f t="shared" si="1"/>
        <v>1255.023669999998</v>
      </c>
      <c r="I6" s="199">
        <f t="shared" si="1"/>
        <v>1402.3863699999979</v>
      </c>
      <c r="J6" s="199">
        <f t="shared" si="1"/>
        <v>1548.6915999999969</v>
      </c>
      <c r="K6" s="199">
        <f t="shared" si="1"/>
        <v>1741.4328799999969</v>
      </c>
      <c r="L6" s="199">
        <f t="shared" si="1"/>
        <v>1960.9909699999969</v>
      </c>
      <c r="M6" s="199">
        <f t="shared" si="1"/>
        <v>2305.2594699999968</v>
      </c>
    </row>
    <row r="7" spans="1:13" ht="14.45" customHeight="1" x14ac:dyDescent="0.2">
      <c r="A7" s="198" t="s">
        <v>98</v>
      </c>
      <c r="B7" s="198"/>
      <c r="C7" s="198"/>
      <c r="D7" s="198"/>
      <c r="E7" s="198"/>
      <c r="F7" s="198"/>
      <c r="G7" s="198"/>
      <c r="H7" s="198"/>
      <c r="I7" s="198"/>
      <c r="J7" s="198"/>
      <c r="K7" s="198"/>
      <c r="L7" s="198"/>
      <c r="M7" s="198"/>
    </row>
    <row r="8" spans="1:13" ht="14.45" customHeight="1" x14ac:dyDescent="0.2">
      <c r="A8" s="198" t="s">
        <v>74</v>
      </c>
      <c r="B8" s="199">
        <f>B7*30</f>
        <v>0</v>
      </c>
      <c r="C8" s="199">
        <f t="shared" ref="C8:M8" si="2">C7*30</f>
        <v>0</v>
      </c>
      <c r="D8" s="199">
        <f t="shared" si="2"/>
        <v>0</v>
      </c>
      <c r="E8" s="199">
        <f t="shared" si="2"/>
        <v>0</v>
      </c>
      <c r="F8" s="199">
        <f t="shared" si="2"/>
        <v>0</v>
      </c>
      <c r="G8" s="199">
        <f t="shared" si="2"/>
        <v>0</v>
      </c>
      <c r="H8" s="199">
        <f t="shared" si="2"/>
        <v>0</v>
      </c>
      <c r="I8" s="199">
        <f t="shared" si="2"/>
        <v>0</v>
      </c>
      <c r="J8" s="199">
        <f t="shared" si="2"/>
        <v>0</v>
      </c>
      <c r="K8" s="199">
        <f t="shared" si="2"/>
        <v>0</v>
      </c>
      <c r="L8" s="199">
        <f t="shared" si="2"/>
        <v>0</v>
      </c>
      <c r="M8" s="199">
        <f t="shared" si="2"/>
        <v>0</v>
      </c>
    </row>
    <row r="9" spans="1:13" ht="14.45" customHeight="1" x14ac:dyDescent="0.2">
      <c r="A9" s="198" t="s">
        <v>99</v>
      </c>
      <c r="B9" s="198">
        <v>887</v>
      </c>
      <c r="C9" s="198">
        <v>700</v>
      </c>
      <c r="D9" s="198">
        <v>700</v>
      </c>
      <c r="E9" s="198">
        <v>350</v>
      </c>
      <c r="F9" s="198">
        <v>350</v>
      </c>
      <c r="G9" s="198">
        <v>708</v>
      </c>
      <c r="H9" s="198">
        <v>350</v>
      </c>
      <c r="I9" s="198">
        <v>350</v>
      </c>
      <c r="J9" s="198">
        <v>700</v>
      </c>
      <c r="K9" s="198">
        <v>0</v>
      </c>
      <c r="L9" s="198">
        <v>0</v>
      </c>
      <c r="M9" s="198">
        <v>0</v>
      </c>
    </row>
    <row r="10" spans="1:13" ht="14.45" customHeight="1" x14ac:dyDescent="0.2">
      <c r="A10" s="198" t="s">
        <v>75</v>
      </c>
      <c r="B10" s="199">
        <f>B9/1000</f>
        <v>0.88700000000000001</v>
      </c>
      <c r="C10" s="199">
        <f t="shared" ref="C10:M10" si="3">C9/1000+B10</f>
        <v>1.587</v>
      </c>
      <c r="D10" s="199">
        <f t="shared" si="3"/>
        <v>2.2869999999999999</v>
      </c>
      <c r="E10" s="199">
        <f t="shared" si="3"/>
        <v>2.637</v>
      </c>
      <c r="F10" s="199">
        <f t="shared" si="3"/>
        <v>2.9870000000000001</v>
      </c>
      <c r="G10" s="199">
        <f t="shared" si="3"/>
        <v>3.6950000000000003</v>
      </c>
      <c r="H10" s="199">
        <f t="shared" si="3"/>
        <v>4.0449999999999999</v>
      </c>
      <c r="I10" s="199">
        <f t="shared" si="3"/>
        <v>4.3949999999999996</v>
      </c>
      <c r="J10" s="199">
        <f t="shared" si="3"/>
        <v>5.0949999999999998</v>
      </c>
      <c r="K10" s="199">
        <f t="shared" si="3"/>
        <v>5.0949999999999998</v>
      </c>
      <c r="L10" s="199">
        <f t="shared" si="3"/>
        <v>5.0949999999999998</v>
      </c>
      <c r="M10" s="199">
        <f t="shared" si="3"/>
        <v>5.0949999999999998</v>
      </c>
    </row>
    <row r="11" spans="1:13" ht="14.45" customHeight="1" x14ac:dyDescent="0.2">
      <c r="A11" s="194"/>
      <c r="B11" s="194" t="s">
        <v>90</v>
      </c>
      <c r="C11" s="194">
        <f ca="1">IF(MONTH(TODAY())=1,12,MONTH(TODAY())-1)</f>
        <v>1</v>
      </c>
      <c r="D11" s="194"/>
      <c r="E11" s="194"/>
      <c r="F11" s="194"/>
      <c r="G11" s="194"/>
      <c r="H11" s="194"/>
      <c r="I11" s="194"/>
      <c r="J11" s="194"/>
      <c r="K11" s="194"/>
      <c r="L11" s="194"/>
      <c r="M11" s="194"/>
    </row>
    <row r="12" spans="1:13" ht="14.45" customHeight="1" x14ac:dyDescent="0.2">
      <c r="A12" s="194">
        <v>0</v>
      </c>
      <c r="B12" s="197">
        <f>IF(ISERROR(HI!F15),#REF!,HI!F15)</f>
        <v>1.0066773176403692E-3</v>
      </c>
      <c r="C12" s="194"/>
      <c r="D12" s="194"/>
      <c r="E12" s="194"/>
      <c r="F12" s="194"/>
      <c r="G12" s="194"/>
      <c r="H12" s="194"/>
      <c r="I12" s="194"/>
      <c r="J12" s="194"/>
      <c r="K12" s="194"/>
      <c r="L12" s="194"/>
      <c r="M12" s="194"/>
    </row>
    <row r="13" spans="1:13" ht="14.45" customHeight="1" x14ac:dyDescent="0.2">
      <c r="A13" s="194">
        <v>1</v>
      </c>
      <c r="B13" s="197">
        <f>IF(ISERROR(HI!F15),#REF!,HI!F15)</f>
        <v>1.0066773176403692E-3</v>
      </c>
      <c r="C13" s="194"/>
      <c r="D13" s="194"/>
      <c r="E13" s="194"/>
      <c r="F13" s="194"/>
      <c r="G13" s="194"/>
      <c r="H13" s="194"/>
      <c r="I13" s="194"/>
      <c r="J13" s="194"/>
      <c r="K13" s="194"/>
      <c r="L13" s="194"/>
      <c r="M13" s="194"/>
    </row>
  </sheetData>
  <mergeCells count="1">
    <mergeCell ref="A1:M1"/>
  </mergeCells>
  <hyperlinks>
    <hyperlink ref="A2" location="Obsah!A1" display="Zpět na Obsah  KL 01  1.-4.měsíc" xr:uid="{D8D9E7F2-C798-46A2-947A-6129C207AB49}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ColWidth="8.85546875" defaultRowHeight="14.45" customHeight="1" x14ac:dyDescent="0.2"/>
  <cols>
    <col min="1" max="1" width="42" style="126" bestFit="1" customWidth="1"/>
    <col min="2" max="2" width="12.7109375" style="126" bestFit="1" customWidth="1"/>
    <col min="3" max="3" width="13.7109375" style="126" bestFit="1" customWidth="1"/>
    <col min="4" max="15" width="7.7109375" style="126" bestFit="1" customWidth="1"/>
    <col min="16" max="16" width="8.85546875" style="126" customWidth="1"/>
    <col min="17" max="17" width="6.7109375" style="126" bestFit="1" customWidth="1"/>
    <col min="18" max="16384" width="8.85546875" style="126"/>
  </cols>
  <sheetData>
    <row r="1" spans="1:17" s="200" customFormat="1" ht="18.600000000000001" customHeight="1" thickBot="1" x14ac:dyDescent="0.35">
      <c r="A1" s="310" t="s">
        <v>244</v>
      </c>
      <c r="B1" s="310"/>
      <c r="C1" s="310"/>
      <c r="D1" s="310"/>
      <c r="E1" s="310"/>
      <c r="F1" s="310"/>
      <c r="G1" s="310"/>
      <c r="H1" s="298"/>
      <c r="I1" s="298"/>
      <c r="J1" s="298"/>
      <c r="K1" s="298"/>
      <c r="L1" s="298"/>
      <c r="M1" s="298"/>
      <c r="N1" s="298"/>
      <c r="O1" s="298"/>
      <c r="P1" s="298"/>
      <c r="Q1" s="298"/>
    </row>
    <row r="2" spans="1:17" s="200" customFormat="1" ht="14.45" customHeight="1" thickBot="1" x14ac:dyDescent="0.25">
      <c r="A2" s="413" t="s">
        <v>241</v>
      </c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1"/>
      <c r="O2" s="201"/>
      <c r="P2" s="201"/>
      <c r="Q2" s="201"/>
    </row>
    <row r="3" spans="1:17" ht="14.45" customHeight="1" x14ac:dyDescent="0.2">
      <c r="A3" s="75"/>
      <c r="B3" s="311" t="s">
        <v>26</v>
      </c>
      <c r="C3" s="312"/>
      <c r="D3" s="312"/>
      <c r="E3" s="312"/>
      <c r="F3" s="312"/>
      <c r="G3" s="312"/>
      <c r="H3" s="312"/>
      <c r="I3" s="312"/>
      <c r="J3" s="312"/>
      <c r="K3" s="312"/>
      <c r="L3" s="312"/>
      <c r="M3" s="312"/>
      <c r="N3" s="312"/>
      <c r="O3" s="312"/>
      <c r="P3" s="134"/>
      <c r="Q3" s="136"/>
    </row>
    <row r="4" spans="1:17" ht="14.45" customHeight="1" x14ac:dyDescent="0.2">
      <c r="A4" s="76"/>
      <c r="B4" s="20">
        <v>2019</v>
      </c>
      <c r="C4" s="135" t="s">
        <v>27</v>
      </c>
      <c r="D4" s="235" t="s">
        <v>221</v>
      </c>
      <c r="E4" s="235" t="s">
        <v>222</v>
      </c>
      <c r="F4" s="235" t="s">
        <v>223</v>
      </c>
      <c r="G4" s="235" t="s">
        <v>224</v>
      </c>
      <c r="H4" s="235" t="s">
        <v>225</v>
      </c>
      <c r="I4" s="235" t="s">
        <v>226</v>
      </c>
      <c r="J4" s="235" t="s">
        <v>227</v>
      </c>
      <c r="K4" s="235" t="s">
        <v>228</v>
      </c>
      <c r="L4" s="235" t="s">
        <v>229</v>
      </c>
      <c r="M4" s="235" t="s">
        <v>230</v>
      </c>
      <c r="N4" s="235" t="s">
        <v>231</v>
      </c>
      <c r="O4" s="235" t="s">
        <v>232</v>
      </c>
      <c r="P4" s="313" t="s">
        <v>3</v>
      </c>
      <c r="Q4" s="314"/>
    </row>
    <row r="5" spans="1:17" ht="14.45" customHeight="1" thickBot="1" x14ac:dyDescent="0.25">
      <c r="A5" s="77"/>
      <c r="B5" s="21" t="s">
        <v>28</v>
      </c>
      <c r="C5" s="22" t="s">
        <v>28</v>
      </c>
      <c r="D5" s="22" t="s">
        <v>29</v>
      </c>
      <c r="E5" s="22" t="s">
        <v>29</v>
      </c>
      <c r="F5" s="22" t="s">
        <v>29</v>
      </c>
      <c r="G5" s="22" t="s">
        <v>29</v>
      </c>
      <c r="H5" s="22" t="s">
        <v>29</v>
      </c>
      <c r="I5" s="22" t="s">
        <v>29</v>
      </c>
      <c r="J5" s="22" t="s">
        <v>29</v>
      </c>
      <c r="K5" s="22" t="s">
        <v>29</v>
      </c>
      <c r="L5" s="22" t="s">
        <v>29</v>
      </c>
      <c r="M5" s="22" t="s">
        <v>29</v>
      </c>
      <c r="N5" s="22" t="s">
        <v>29</v>
      </c>
      <c r="O5" s="22" t="s">
        <v>29</v>
      </c>
      <c r="P5" s="22" t="s">
        <v>29</v>
      </c>
      <c r="Q5" s="23" t="s">
        <v>30</v>
      </c>
    </row>
    <row r="6" spans="1:17" ht="14.45" customHeight="1" x14ac:dyDescent="0.2">
      <c r="A6" s="14" t="s">
        <v>31</v>
      </c>
      <c r="B6" s="48">
        <v>0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0</v>
      </c>
      <c r="O6" s="49">
        <v>0</v>
      </c>
      <c r="P6" s="50">
        <v>0</v>
      </c>
      <c r="Q6" s="93" t="s">
        <v>242</v>
      </c>
    </row>
    <row r="7" spans="1:17" ht="14.45" customHeight="1" x14ac:dyDescent="0.2">
      <c r="A7" s="15" t="s">
        <v>32</v>
      </c>
      <c r="B7" s="51">
        <v>0</v>
      </c>
      <c r="C7" s="52">
        <v>0</v>
      </c>
      <c r="D7" s="52">
        <v>0</v>
      </c>
      <c r="E7" s="52">
        <v>0</v>
      </c>
      <c r="F7" s="52">
        <v>0</v>
      </c>
      <c r="G7" s="52">
        <v>0</v>
      </c>
      <c r="H7" s="52">
        <v>0</v>
      </c>
      <c r="I7" s="52">
        <v>0</v>
      </c>
      <c r="J7" s="52">
        <v>0</v>
      </c>
      <c r="K7" s="52">
        <v>0</v>
      </c>
      <c r="L7" s="52">
        <v>0</v>
      </c>
      <c r="M7" s="52">
        <v>0</v>
      </c>
      <c r="N7" s="52">
        <v>0</v>
      </c>
      <c r="O7" s="52">
        <v>0</v>
      </c>
      <c r="P7" s="53">
        <v>0</v>
      </c>
      <c r="Q7" s="94" t="s">
        <v>242</v>
      </c>
    </row>
    <row r="8" spans="1:17" ht="14.45" customHeight="1" x14ac:dyDescent="0.2">
      <c r="A8" s="15" t="s">
        <v>33</v>
      </c>
      <c r="B8" s="51">
        <v>0</v>
      </c>
      <c r="C8" s="52">
        <v>0</v>
      </c>
      <c r="D8" s="52">
        <v>0</v>
      </c>
      <c r="E8" s="52">
        <v>0</v>
      </c>
      <c r="F8" s="52">
        <v>0</v>
      </c>
      <c r="G8" s="52">
        <v>0</v>
      </c>
      <c r="H8" s="52">
        <v>0</v>
      </c>
      <c r="I8" s="52">
        <v>0</v>
      </c>
      <c r="J8" s="52">
        <v>0</v>
      </c>
      <c r="K8" s="52">
        <v>0</v>
      </c>
      <c r="L8" s="52">
        <v>0</v>
      </c>
      <c r="M8" s="52">
        <v>0</v>
      </c>
      <c r="N8" s="52">
        <v>0</v>
      </c>
      <c r="O8" s="52">
        <v>0</v>
      </c>
      <c r="P8" s="53">
        <v>0</v>
      </c>
      <c r="Q8" s="94" t="s">
        <v>242</v>
      </c>
    </row>
    <row r="9" spans="1:17" ht="14.45" customHeight="1" x14ac:dyDescent="0.2">
      <c r="A9" s="15" t="s">
        <v>34</v>
      </c>
      <c r="B9" s="51">
        <v>0</v>
      </c>
      <c r="C9" s="52">
        <v>0</v>
      </c>
      <c r="D9" s="52">
        <v>0</v>
      </c>
      <c r="E9" s="52">
        <v>0</v>
      </c>
      <c r="F9" s="52">
        <v>0</v>
      </c>
      <c r="G9" s="52">
        <v>0</v>
      </c>
      <c r="H9" s="52">
        <v>0</v>
      </c>
      <c r="I9" s="52">
        <v>0</v>
      </c>
      <c r="J9" s="52">
        <v>0</v>
      </c>
      <c r="K9" s="52">
        <v>0</v>
      </c>
      <c r="L9" s="52">
        <v>0</v>
      </c>
      <c r="M9" s="52">
        <v>0</v>
      </c>
      <c r="N9" s="52">
        <v>0</v>
      </c>
      <c r="O9" s="52">
        <v>0</v>
      </c>
      <c r="P9" s="53">
        <v>0</v>
      </c>
      <c r="Q9" s="94" t="s">
        <v>242</v>
      </c>
    </row>
    <row r="10" spans="1:17" ht="14.45" customHeight="1" x14ac:dyDescent="0.2">
      <c r="A10" s="15" t="s">
        <v>35</v>
      </c>
      <c r="B10" s="51">
        <v>0</v>
      </c>
      <c r="C10" s="52">
        <v>0</v>
      </c>
      <c r="D10" s="52">
        <v>0</v>
      </c>
      <c r="E10" s="52">
        <v>0</v>
      </c>
      <c r="F10" s="52">
        <v>0</v>
      </c>
      <c r="G10" s="52">
        <v>0</v>
      </c>
      <c r="H10" s="52">
        <v>0</v>
      </c>
      <c r="I10" s="52">
        <v>0</v>
      </c>
      <c r="J10" s="52">
        <v>0</v>
      </c>
      <c r="K10" s="52">
        <v>0</v>
      </c>
      <c r="L10" s="52">
        <v>0</v>
      </c>
      <c r="M10" s="52">
        <v>0</v>
      </c>
      <c r="N10" s="52">
        <v>0</v>
      </c>
      <c r="O10" s="52">
        <v>0</v>
      </c>
      <c r="P10" s="53">
        <v>0</v>
      </c>
      <c r="Q10" s="94" t="s">
        <v>242</v>
      </c>
    </row>
    <row r="11" spans="1:17" ht="14.45" customHeight="1" x14ac:dyDescent="0.2">
      <c r="A11" s="15" t="s">
        <v>36</v>
      </c>
      <c r="B11" s="51">
        <v>2.3492403842980001</v>
      </c>
      <c r="C11" s="52">
        <v>0.19577003202400001</v>
      </c>
      <c r="D11" s="52">
        <v>0</v>
      </c>
      <c r="E11" s="52">
        <v>0</v>
      </c>
      <c r="F11" s="52">
        <v>2.5999999999E-2</v>
      </c>
      <c r="G11" s="52">
        <v>0</v>
      </c>
      <c r="H11" s="52">
        <v>0.19900000000000001</v>
      </c>
      <c r="I11" s="52">
        <v>-0.198999999999</v>
      </c>
      <c r="J11" s="52">
        <v>0</v>
      </c>
      <c r="K11" s="52">
        <v>0</v>
      </c>
      <c r="L11" s="52">
        <v>0</v>
      </c>
      <c r="M11" s="52">
        <v>0</v>
      </c>
      <c r="N11" s="52">
        <v>0</v>
      </c>
      <c r="O11" s="52">
        <v>0</v>
      </c>
      <c r="P11" s="53">
        <v>2.5999999999999999E-2</v>
      </c>
      <c r="Q11" s="94">
        <v>1.1067407223E-2</v>
      </c>
    </row>
    <row r="12" spans="1:17" ht="14.45" customHeight="1" x14ac:dyDescent="0.2">
      <c r="A12" s="15" t="s">
        <v>37</v>
      </c>
      <c r="B12" s="51">
        <v>0</v>
      </c>
      <c r="C12" s="52">
        <v>0</v>
      </c>
      <c r="D12" s="52">
        <v>0</v>
      </c>
      <c r="E12" s="52">
        <v>0</v>
      </c>
      <c r="F12" s="52">
        <v>0</v>
      </c>
      <c r="G12" s="52">
        <v>0</v>
      </c>
      <c r="H12" s="52">
        <v>0</v>
      </c>
      <c r="I12" s="52">
        <v>0</v>
      </c>
      <c r="J12" s="52">
        <v>0</v>
      </c>
      <c r="K12" s="52">
        <v>0</v>
      </c>
      <c r="L12" s="52">
        <v>0</v>
      </c>
      <c r="M12" s="52">
        <v>0</v>
      </c>
      <c r="N12" s="52">
        <v>0</v>
      </c>
      <c r="O12" s="52">
        <v>0</v>
      </c>
      <c r="P12" s="53">
        <v>0</v>
      </c>
      <c r="Q12" s="94" t="s">
        <v>242</v>
      </c>
    </row>
    <row r="13" spans="1:17" ht="14.45" customHeight="1" x14ac:dyDescent="0.2">
      <c r="A13" s="15" t="s">
        <v>38</v>
      </c>
      <c r="B13" s="51">
        <v>0</v>
      </c>
      <c r="C13" s="52">
        <v>0</v>
      </c>
      <c r="D13" s="52">
        <v>0</v>
      </c>
      <c r="E13" s="52">
        <v>0</v>
      </c>
      <c r="F13" s="52">
        <v>0</v>
      </c>
      <c r="G13" s="52">
        <v>0</v>
      </c>
      <c r="H13" s="52">
        <v>0</v>
      </c>
      <c r="I13" s="52">
        <v>0</v>
      </c>
      <c r="J13" s="52">
        <v>0</v>
      </c>
      <c r="K13" s="52">
        <v>0</v>
      </c>
      <c r="L13" s="52">
        <v>0</v>
      </c>
      <c r="M13" s="52">
        <v>0</v>
      </c>
      <c r="N13" s="52">
        <v>0</v>
      </c>
      <c r="O13" s="52">
        <v>0</v>
      </c>
      <c r="P13" s="53">
        <v>0</v>
      </c>
      <c r="Q13" s="94" t="s">
        <v>242</v>
      </c>
    </row>
    <row r="14" spans="1:17" ht="14.45" customHeight="1" x14ac:dyDescent="0.2">
      <c r="A14" s="15" t="s">
        <v>39</v>
      </c>
      <c r="B14" s="51">
        <v>0</v>
      </c>
      <c r="C14" s="52">
        <v>0</v>
      </c>
      <c r="D14" s="52">
        <v>0</v>
      </c>
      <c r="E14" s="52">
        <v>0</v>
      </c>
      <c r="F14" s="52">
        <v>0</v>
      </c>
      <c r="G14" s="52">
        <v>0</v>
      </c>
      <c r="H14" s="52">
        <v>0</v>
      </c>
      <c r="I14" s="52">
        <v>0</v>
      </c>
      <c r="J14" s="52">
        <v>0</v>
      </c>
      <c r="K14" s="52">
        <v>0</v>
      </c>
      <c r="L14" s="52">
        <v>0</v>
      </c>
      <c r="M14" s="52">
        <v>0</v>
      </c>
      <c r="N14" s="52">
        <v>0</v>
      </c>
      <c r="O14" s="52">
        <v>0</v>
      </c>
      <c r="P14" s="53">
        <v>0</v>
      </c>
      <c r="Q14" s="94" t="s">
        <v>242</v>
      </c>
    </row>
    <row r="15" spans="1:17" ht="14.45" customHeight="1" x14ac:dyDescent="0.2">
      <c r="A15" s="15" t="s">
        <v>40</v>
      </c>
      <c r="B15" s="51">
        <v>0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3">
        <v>0</v>
      </c>
      <c r="Q15" s="94" t="s">
        <v>242</v>
      </c>
    </row>
    <row r="16" spans="1:17" ht="14.45" customHeight="1" x14ac:dyDescent="0.2">
      <c r="A16" s="15" t="s">
        <v>41</v>
      </c>
      <c r="B16" s="51">
        <v>0</v>
      </c>
      <c r="C16" s="52">
        <v>0</v>
      </c>
      <c r="D16" s="52">
        <v>0</v>
      </c>
      <c r="E16" s="52">
        <v>0</v>
      </c>
      <c r="F16" s="52">
        <v>0</v>
      </c>
      <c r="G16" s="52">
        <v>0</v>
      </c>
      <c r="H16" s="52">
        <v>0</v>
      </c>
      <c r="I16" s="52">
        <v>0</v>
      </c>
      <c r="J16" s="52">
        <v>0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53">
        <v>0</v>
      </c>
      <c r="Q16" s="94" t="s">
        <v>242</v>
      </c>
    </row>
    <row r="17" spans="1:17" ht="14.45" customHeight="1" x14ac:dyDescent="0.2">
      <c r="A17" s="15" t="s">
        <v>42</v>
      </c>
      <c r="B17" s="51">
        <v>0</v>
      </c>
      <c r="C17" s="52">
        <v>0</v>
      </c>
      <c r="D17" s="52">
        <v>0</v>
      </c>
      <c r="E17" s="52">
        <v>0</v>
      </c>
      <c r="F17" s="52">
        <v>0</v>
      </c>
      <c r="G17" s="52">
        <v>0</v>
      </c>
      <c r="H17" s="52">
        <v>0</v>
      </c>
      <c r="I17" s="52">
        <v>0</v>
      </c>
      <c r="J17" s="52">
        <v>0</v>
      </c>
      <c r="K17" s="52">
        <v>0</v>
      </c>
      <c r="L17" s="52">
        <v>0</v>
      </c>
      <c r="M17" s="52">
        <v>0</v>
      </c>
      <c r="N17" s="52">
        <v>0</v>
      </c>
      <c r="O17" s="52">
        <v>0</v>
      </c>
      <c r="P17" s="53">
        <v>0</v>
      </c>
      <c r="Q17" s="94" t="s">
        <v>242</v>
      </c>
    </row>
    <row r="18" spans="1:17" ht="14.45" customHeight="1" x14ac:dyDescent="0.2">
      <c r="A18" s="15" t="s">
        <v>43</v>
      </c>
      <c r="B18" s="51">
        <v>0</v>
      </c>
      <c r="C18" s="52">
        <v>0</v>
      </c>
      <c r="D18" s="52">
        <v>0</v>
      </c>
      <c r="E18" s="52">
        <v>0</v>
      </c>
      <c r="F18" s="52">
        <v>0</v>
      </c>
      <c r="G18" s="52">
        <v>0</v>
      </c>
      <c r="H18" s="52">
        <v>0</v>
      </c>
      <c r="I18" s="52">
        <v>0</v>
      </c>
      <c r="J18" s="52">
        <v>0</v>
      </c>
      <c r="K18" s="52">
        <v>0</v>
      </c>
      <c r="L18" s="52">
        <v>0</v>
      </c>
      <c r="M18" s="52">
        <v>0</v>
      </c>
      <c r="N18" s="52">
        <v>0</v>
      </c>
      <c r="O18" s="52">
        <v>0</v>
      </c>
      <c r="P18" s="53">
        <v>0</v>
      </c>
      <c r="Q18" s="94" t="s">
        <v>242</v>
      </c>
    </row>
    <row r="19" spans="1:17" ht="14.45" customHeight="1" x14ac:dyDescent="0.2">
      <c r="A19" s="15" t="s">
        <v>44</v>
      </c>
      <c r="B19" s="51">
        <v>0</v>
      </c>
      <c r="C19" s="52">
        <v>0</v>
      </c>
      <c r="D19" s="52">
        <v>0</v>
      </c>
      <c r="E19" s="52">
        <v>0</v>
      </c>
      <c r="F19" s="52">
        <v>0</v>
      </c>
      <c r="G19" s="52">
        <v>0</v>
      </c>
      <c r="H19" s="52">
        <v>0</v>
      </c>
      <c r="I19" s="52">
        <v>0</v>
      </c>
      <c r="J19" s="52">
        <v>0</v>
      </c>
      <c r="K19" s="52">
        <v>0</v>
      </c>
      <c r="L19" s="52">
        <v>0</v>
      </c>
      <c r="M19" s="52">
        <v>0</v>
      </c>
      <c r="N19" s="52">
        <v>0</v>
      </c>
      <c r="O19" s="52">
        <v>0</v>
      </c>
      <c r="P19" s="53">
        <v>0</v>
      </c>
      <c r="Q19" s="94" t="s">
        <v>242</v>
      </c>
    </row>
    <row r="20" spans="1:17" ht="14.45" customHeight="1" x14ac:dyDescent="0.2">
      <c r="A20" s="15" t="s">
        <v>45</v>
      </c>
      <c r="B20" s="51">
        <v>1929.7495220000001</v>
      </c>
      <c r="C20" s="52">
        <v>160.81246016666699</v>
      </c>
      <c r="D20" s="52">
        <v>152.04229000000001</v>
      </c>
      <c r="E20" s="52">
        <v>152.43430000000001</v>
      </c>
      <c r="F20" s="52">
        <v>148.34612999999999</v>
      </c>
      <c r="G20" s="52">
        <v>160.79970999999901</v>
      </c>
      <c r="H20" s="52">
        <v>165.46710999999999</v>
      </c>
      <c r="I20" s="52">
        <v>166.93348999999901</v>
      </c>
      <c r="J20" s="52">
        <v>308.97464000000002</v>
      </c>
      <c r="K20" s="52">
        <v>147.36269999999999</v>
      </c>
      <c r="L20" s="52">
        <v>146.305229999999</v>
      </c>
      <c r="M20" s="52">
        <v>192.74127999999999</v>
      </c>
      <c r="N20" s="52">
        <v>219.55808999999999</v>
      </c>
      <c r="O20" s="52">
        <v>344.26850000000002</v>
      </c>
      <c r="P20" s="53">
        <v>2305.2334700000001</v>
      </c>
      <c r="Q20" s="94">
        <v>1.194576520796</v>
      </c>
    </row>
    <row r="21" spans="1:17" ht="14.45" customHeight="1" x14ac:dyDescent="0.2">
      <c r="A21" s="16" t="s">
        <v>46</v>
      </c>
      <c r="B21" s="51">
        <v>0</v>
      </c>
      <c r="C21" s="52">
        <v>0</v>
      </c>
      <c r="D21" s="52">
        <v>0</v>
      </c>
      <c r="E21" s="52">
        <v>0</v>
      </c>
      <c r="F21" s="52">
        <v>0</v>
      </c>
      <c r="G21" s="52">
        <v>0</v>
      </c>
      <c r="H21" s="52">
        <v>0</v>
      </c>
      <c r="I21" s="52">
        <v>0</v>
      </c>
      <c r="J21" s="52">
        <v>0</v>
      </c>
      <c r="K21" s="52">
        <v>0</v>
      </c>
      <c r="L21" s="52">
        <v>0</v>
      </c>
      <c r="M21" s="52">
        <v>0</v>
      </c>
      <c r="N21" s="52">
        <v>0</v>
      </c>
      <c r="O21" s="52">
        <v>0</v>
      </c>
      <c r="P21" s="53">
        <v>0</v>
      </c>
      <c r="Q21" s="94" t="s">
        <v>242</v>
      </c>
    </row>
    <row r="22" spans="1:17" ht="14.45" customHeight="1" x14ac:dyDescent="0.2">
      <c r="A22" s="15" t="s">
        <v>47</v>
      </c>
      <c r="B22" s="51">
        <v>0</v>
      </c>
      <c r="C22" s="52">
        <v>0</v>
      </c>
      <c r="D22" s="52">
        <v>0</v>
      </c>
      <c r="E22" s="52">
        <v>0</v>
      </c>
      <c r="F22" s="52">
        <v>0</v>
      </c>
      <c r="G22" s="52">
        <v>0</v>
      </c>
      <c r="H22" s="52">
        <v>0</v>
      </c>
      <c r="I22" s="52">
        <v>0</v>
      </c>
      <c r="J22" s="52">
        <v>0</v>
      </c>
      <c r="K22" s="52">
        <v>0</v>
      </c>
      <c r="L22" s="52">
        <v>0</v>
      </c>
      <c r="M22" s="52">
        <v>0</v>
      </c>
      <c r="N22" s="52">
        <v>0</v>
      </c>
      <c r="O22" s="52">
        <v>0</v>
      </c>
      <c r="P22" s="53">
        <v>0</v>
      </c>
      <c r="Q22" s="94" t="s">
        <v>242</v>
      </c>
    </row>
    <row r="23" spans="1:17" ht="14.45" customHeight="1" x14ac:dyDescent="0.2">
      <c r="A23" s="16" t="s">
        <v>48</v>
      </c>
      <c r="B23" s="51">
        <v>0</v>
      </c>
      <c r="C23" s="52">
        <v>0</v>
      </c>
      <c r="D23" s="52">
        <v>0</v>
      </c>
      <c r="E23" s="52">
        <v>0</v>
      </c>
      <c r="F23" s="52">
        <v>0</v>
      </c>
      <c r="G23" s="52">
        <v>0</v>
      </c>
      <c r="H23" s="52">
        <v>0</v>
      </c>
      <c r="I23" s="52">
        <v>0</v>
      </c>
      <c r="J23" s="52">
        <v>0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P23" s="53">
        <v>0</v>
      </c>
      <c r="Q23" s="94" t="s">
        <v>242</v>
      </c>
    </row>
    <row r="24" spans="1:17" ht="14.45" customHeight="1" x14ac:dyDescent="0.2">
      <c r="A24" s="16" t="s">
        <v>49</v>
      </c>
      <c r="B24" s="51">
        <v>-2.2737367544323201E-13</v>
      </c>
      <c r="C24" s="52">
        <v>0</v>
      </c>
      <c r="D24" s="52">
        <v>0</v>
      </c>
      <c r="E24" s="52">
        <v>0</v>
      </c>
      <c r="F24" s="52">
        <v>0</v>
      </c>
      <c r="G24" s="52">
        <v>0</v>
      </c>
      <c r="H24" s="52">
        <v>0</v>
      </c>
      <c r="I24" s="52">
        <v>2.8421709430404001E-14</v>
      </c>
      <c r="J24" s="52">
        <v>0</v>
      </c>
      <c r="K24" s="52">
        <v>0</v>
      </c>
      <c r="L24" s="52">
        <v>0</v>
      </c>
      <c r="M24" s="52">
        <v>0</v>
      </c>
      <c r="N24" s="52">
        <v>0</v>
      </c>
      <c r="O24" s="52">
        <v>0</v>
      </c>
      <c r="P24" s="53">
        <v>2.8421709430404001E-14</v>
      </c>
      <c r="Q24" s="94"/>
    </row>
    <row r="25" spans="1:17" ht="14.45" customHeight="1" x14ac:dyDescent="0.2">
      <c r="A25" s="17" t="s">
        <v>50</v>
      </c>
      <c r="B25" s="54">
        <v>1932.0987623843</v>
      </c>
      <c r="C25" s="55">
        <v>161.00823019869199</v>
      </c>
      <c r="D25" s="55">
        <v>152.04229000000001</v>
      </c>
      <c r="E25" s="55">
        <v>152.43430000000001</v>
      </c>
      <c r="F25" s="55">
        <v>148.37213</v>
      </c>
      <c r="G25" s="55">
        <v>160.79970999999901</v>
      </c>
      <c r="H25" s="55">
        <v>165.66611</v>
      </c>
      <c r="I25" s="55">
        <v>166.734489999999</v>
      </c>
      <c r="J25" s="55">
        <v>308.97464000000002</v>
      </c>
      <c r="K25" s="55">
        <v>147.36269999999999</v>
      </c>
      <c r="L25" s="55">
        <v>146.305229999999</v>
      </c>
      <c r="M25" s="55">
        <v>192.74127999999999</v>
      </c>
      <c r="N25" s="55">
        <v>219.55808999999999</v>
      </c>
      <c r="O25" s="55">
        <v>344.26850000000002</v>
      </c>
      <c r="P25" s="56">
        <v>2305.25947</v>
      </c>
      <c r="Q25" s="95">
        <v>1.1931374911470001</v>
      </c>
    </row>
    <row r="26" spans="1:17" ht="14.45" customHeight="1" x14ac:dyDescent="0.2">
      <c r="A26" s="15" t="s">
        <v>51</v>
      </c>
      <c r="B26" s="51">
        <v>324.41362877600699</v>
      </c>
      <c r="C26" s="52">
        <v>27.034469064667</v>
      </c>
      <c r="D26" s="52">
        <v>26.94886</v>
      </c>
      <c r="E26" s="52">
        <v>28.123819999999998</v>
      </c>
      <c r="F26" s="52">
        <v>23.344439999999999</v>
      </c>
      <c r="G26" s="52">
        <v>29.33154</v>
      </c>
      <c r="H26" s="52">
        <v>25.969339999999999</v>
      </c>
      <c r="I26" s="52">
        <v>42.761670000000002</v>
      </c>
      <c r="J26" s="52">
        <v>39.438130000000001</v>
      </c>
      <c r="K26" s="52">
        <v>21.741009999999999</v>
      </c>
      <c r="L26" s="52">
        <v>23.104340000000001</v>
      </c>
      <c r="M26" s="52">
        <v>31.384329999999999</v>
      </c>
      <c r="N26" s="52">
        <v>19.130510000000001</v>
      </c>
      <c r="O26" s="52">
        <v>39.677990000000001</v>
      </c>
      <c r="P26" s="53">
        <v>350.95598000000001</v>
      </c>
      <c r="Q26" s="94">
        <v>1.08181638769</v>
      </c>
    </row>
    <row r="27" spans="1:17" ht="14.45" customHeight="1" x14ac:dyDescent="0.2">
      <c r="A27" s="18" t="s">
        <v>52</v>
      </c>
      <c r="B27" s="54">
        <v>2256.51239116031</v>
      </c>
      <c r="C27" s="55">
        <v>188.042699263359</v>
      </c>
      <c r="D27" s="55">
        <v>178.99115</v>
      </c>
      <c r="E27" s="55">
        <v>180.55812</v>
      </c>
      <c r="F27" s="55">
        <v>171.71656999999999</v>
      </c>
      <c r="G27" s="55">
        <v>190.131249999999</v>
      </c>
      <c r="H27" s="55">
        <v>191.63544999999999</v>
      </c>
      <c r="I27" s="55">
        <v>209.49615999999901</v>
      </c>
      <c r="J27" s="55">
        <v>348.41277000000002</v>
      </c>
      <c r="K27" s="55">
        <v>169.10371000000001</v>
      </c>
      <c r="L27" s="55">
        <v>169.40956999999901</v>
      </c>
      <c r="M27" s="55">
        <v>224.12560999999999</v>
      </c>
      <c r="N27" s="55">
        <v>238.68860000000001</v>
      </c>
      <c r="O27" s="55">
        <v>383.94648999999998</v>
      </c>
      <c r="P27" s="56">
        <v>2656.2154500000001</v>
      </c>
      <c r="Q27" s="95">
        <v>1.1771331105489999</v>
      </c>
    </row>
    <row r="28" spans="1:17" ht="14.45" customHeight="1" x14ac:dyDescent="0.2">
      <c r="A28" s="16" t="s">
        <v>53</v>
      </c>
      <c r="B28" s="51">
        <v>0</v>
      </c>
      <c r="C28" s="52">
        <v>0</v>
      </c>
      <c r="D28" s="52">
        <v>0</v>
      </c>
      <c r="E28" s="52">
        <v>0</v>
      </c>
      <c r="F28" s="52">
        <v>0</v>
      </c>
      <c r="G28" s="52">
        <v>0</v>
      </c>
      <c r="H28" s="52">
        <v>0</v>
      </c>
      <c r="I28" s="52">
        <v>0</v>
      </c>
      <c r="J28" s="52">
        <v>0.43675999999999998</v>
      </c>
      <c r="K28" s="52">
        <v>0</v>
      </c>
      <c r="L28" s="52">
        <v>0</v>
      </c>
      <c r="M28" s="52">
        <v>0</v>
      </c>
      <c r="N28" s="52">
        <v>0</v>
      </c>
      <c r="O28" s="52">
        <v>0</v>
      </c>
      <c r="P28" s="53">
        <v>0.43675999999999998</v>
      </c>
      <c r="Q28" s="94" t="s">
        <v>243</v>
      </c>
    </row>
    <row r="29" spans="1:17" ht="14.45" customHeight="1" x14ac:dyDescent="0.2">
      <c r="A29" s="16" t="s">
        <v>54</v>
      </c>
      <c r="B29" s="51">
        <v>0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3">
        <v>0</v>
      </c>
      <c r="Q29" s="94" t="s">
        <v>242</v>
      </c>
    </row>
    <row r="30" spans="1:17" ht="14.45" customHeight="1" x14ac:dyDescent="0.2">
      <c r="A30" s="16" t="s">
        <v>55</v>
      </c>
      <c r="B30" s="51">
        <v>0</v>
      </c>
      <c r="C30" s="52">
        <v>0</v>
      </c>
      <c r="D30" s="52">
        <v>0</v>
      </c>
      <c r="E30" s="52">
        <v>0</v>
      </c>
      <c r="F30" s="52">
        <v>0</v>
      </c>
      <c r="G30" s="52">
        <v>0</v>
      </c>
      <c r="H30" s="52">
        <v>0</v>
      </c>
      <c r="I30" s="52">
        <v>0</v>
      </c>
      <c r="J30" s="52">
        <v>0</v>
      </c>
      <c r="K30" s="52">
        <v>0</v>
      </c>
      <c r="L30" s="52">
        <v>0</v>
      </c>
      <c r="M30" s="52">
        <v>0</v>
      </c>
      <c r="N30" s="52">
        <v>0</v>
      </c>
      <c r="O30" s="52">
        <v>0</v>
      </c>
      <c r="P30" s="53">
        <v>0</v>
      </c>
      <c r="Q30" s="94">
        <v>0</v>
      </c>
    </row>
    <row r="31" spans="1:17" ht="14.45" customHeight="1" thickBot="1" x14ac:dyDescent="0.25">
      <c r="A31" s="19" t="s">
        <v>56</v>
      </c>
      <c r="B31" s="57">
        <v>0</v>
      </c>
      <c r="C31" s="58">
        <v>0</v>
      </c>
      <c r="D31" s="58">
        <v>0</v>
      </c>
      <c r="E31" s="58">
        <v>0</v>
      </c>
      <c r="F31" s="58">
        <v>0</v>
      </c>
      <c r="G31" s="58">
        <v>0</v>
      </c>
      <c r="H31" s="58">
        <v>0</v>
      </c>
      <c r="I31" s="58">
        <v>0</v>
      </c>
      <c r="J31" s="58">
        <v>0</v>
      </c>
      <c r="K31" s="58">
        <v>0</v>
      </c>
      <c r="L31" s="58">
        <v>0</v>
      </c>
      <c r="M31" s="58">
        <v>0</v>
      </c>
      <c r="N31" s="58">
        <v>0</v>
      </c>
      <c r="O31" s="58">
        <v>0</v>
      </c>
      <c r="P31" s="59">
        <v>0</v>
      </c>
      <c r="Q31" s="96" t="s">
        <v>242</v>
      </c>
    </row>
    <row r="32" spans="1:17" ht="14.45" customHeight="1" x14ac:dyDescent="0.2">
      <c r="B32" s="127"/>
      <c r="C32" s="127"/>
      <c r="D32" s="127"/>
      <c r="E32" s="127"/>
      <c r="F32" s="127"/>
      <c r="G32" s="127"/>
      <c r="H32" s="127"/>
      <c r="I32" s="127"/>
      <c r="J32" s="127"/>
      <c r="K32" s="127"/>
      <c r="L32" s="127"/>
      <c r="M32" s="127"/>
      <c r="N32" s="127"/>
      <c r="O32" s="127"/>
      <c r="P32" s="127"/>
      <c r="Q32" s="127"/>
    </row>
    <row r="33" spans="1:17" ht="14.45" customHeight="1" x14ac:dyDescent="0.2">
      <c r="A33" s="110" t="s">
        <v>145</v>
      </c>
      <c r="B33" s="128"/>
      <c r="C33" s="128"/>
      <c r="D33" s="128"/>
      <c r="E33" s="128"/>
      <c r="F33" s="128"/>
      <c r="G33" s="128"/>
      <c r="H33" s="128"/>
      <c r="I33" s="128"/>
      <c r="J33" s="128"/>
      <c r="K33" s="128"/>
      <c r="L33" s="128"/>
      <c r="M33" s="128"/>
      <c r="N33" s="128"/>
      <c r="O33" s="128"/>
      <c r="P33" s="128"/>
      <c r="Q33" s="128"/>
    </row>
    <row r="34" spans="1:17" ht="14.45" customHeight="1" x14ac:dyDescent="0.2">
      <c r="A34" s="132" t="s">
        <v>219</v>
      </c>
      <c r="B34" s="128"/>
      <c r="C34" s="128"/>
      <c r="D34" s="128"/>
      <c r="E34" s="128"/>
      <c r="F34" s="128"/>
      <c r="G34" s="128"/>
      <c r="H34" s="128"/>
      <c r="I34" s="128"/>
      <c r="J34" s="128"/>
      <c r="K34" s="128"/>
      <c r="L34" s="128"/>
      <c r="M34" s="128"/>
      <c r="N34" s="128"/>
      <c r="O34" s="128"/>
      <c r="P34" s="128"/>
      <c r="Q34" s="128"/>
    </row>
    <row r="35" spans="1:17" ht="14.45" customHeight="1" x14ac:dyDescent="0.2">
      <c r="A35" s="133" t="s">
        <v>57</v>
      </c>
      <c r="B35" s="128"/>
      <c r="C35" s="128"/>
      <c r="D35" s="128"/>
      <c r="E35" s="128"/>
      <c r="F35" s="128"/>
      <c r="G35" s="128"/>
      <c r="H35" s="128"/>
      <c r="I35" s="128"/>
      <c r="J35" s="128"/>
      <c r="K35" s="128"/>
      <c r="L35" s="128"/>
      <c r="M35" s="128"/>
      <c r="N35" s="128"/>
      <c r="O35" s="128"/>
      <c r="P35" s="128"/>
      <c r="Q35" s="128"/>
    </row>
  </sheetData>
  <autoFilter ref="A5:A31" xr:uid="{00000000-0009-0000-0000-000005000000}"/>
  <mergeCells count="3">
    <mergeCell ref="A1:Q1"/>
    <mergeCell ref="B3:O3"/>
    <mergeCell ref="P4:Q4"/>
  </mergeCells>
  <hyperlinks>
    <hyperlink ref="A2" location="Obsah!A1" display="Zpět na Obsah  KL 01  1.-4.měsíc" xr:uid="{91C11A18-3D0A-47FA-9F63-27081B359AF2}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6">
    <tabColor theme="0" tint="-0.249977111117893"/>
    <pageSetUpPr fitToPage="1"/>
  </sheetPr>
  <dimension ref="A1:K77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ColWidth="8.85546875" defaultRowHeight="14.45" customHeight="1" x14ac:dyDescent="0.2"/>
  <cols>
    <col min="1" max="1" width="50" style="126" customWidth="1"/>
    <col min="2" max="11" width="10" style="126" customWidth="1"/>
    <col min="12" max="16384" width="8.85546875" style="126"/>
  </cols>
  <sheetData>
    <row r="1" spans="1:11" s="60" customFormat="1" ht="18.600000000000001" customHeight="1" thickBot="1" x14ac:dyDescent="0.35">
      <c r="A1" s="310" t="s">
        <v>58</v>
      </c>
      <c r="B1" s="310"/>
      <c r="C1" s="310"/>
      <c r="D1" s="310"/>
      <c r="E1" s="310"/>
      <c r="F1" s="310"/>
      <c r="G1" s="310"/>
      <c r="H1" s="315"/>
      <c r="I1" s="315"/>
      <c r="J1" s="315"/>
      <c r="K1" s="315"/>
    </row>
    <row r="2" spans="1:11" s="60" customFormat="1" ht="14.45" customHeight="1" thickBot="1" x14ac:dyDescent="0.25">
      <c r="A2" s="413" t="s">
        <v>241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1" ht="14.45" customHeight="1" x14ac:dyDescent="0.2">
      <c r="A3" s="75"/>
      <c r="B3" s="311" t="s">
        <v>59</v>
      </c>
      <c r="C3" s="312"/>
      <c r="D3" s="312"/>
      <c r="E3" s="312"/>
      <c r="F3" s="318" t="s">
        <v>60</v>
      </c>
      <c r="G3" s="312"/>
      <c r="H3" s="312"/>
      <c r="I3" s="312"/>
      <c r="J3" s="312"/>
      <c r="K3" s="319"/>
    </row>
    <row r="4" spans="1:11" ht="14.45" customHeight="1" x14ac:dyDescent="0.2">
      <c r="A4" s="76"/>
      <c r="B4" s="316"/>
      <c r="C4" s="317"/>
      <c r="D4" s="317"/>
      <c r="E4" s="317"/>
      <c r="F4" s="320" t="s">
        <v>237</v>
      </c>
      <c r="G4" s="322" t="s">
        <v>61</v>
      </c>
      <c r="H4" s="137" t="s">
        <v>131</v>
      </c>
      <c r="I4" s="320" t="s">
        <v>62</v>
      </c>
      <c r="J4" s="322" t="s">
        <v>239</v>
      </c>
      <c r="K4" s="323" t="s">
        <v>240</v>
      </c>
    </row>
    <row r="5" spans="1:11" ht="39" thickBot="1" x14ac:dyDescent="0.25">
      <c r="A5" s="77"/>
      <c r="B5" s="24" t="s">
        <v>233</v>
      </c>
      <c r="C5" s="25" t="s">
        <v>234</v>
      </c>
      <c r="D5" s="26" t="s">
        <v>235</v>
      </c>
      <c r="E5" s="26" t="s">
        <v>236</v>
      </c>
      <c r="F5" s="321"/>
      <c r="G5" s="321"/>
      <c r="H5" s="25" t="s">
        <v>238</v>
      </c>
      <c r="I5" s="321"/>
      <c r="J5" s="321"/>
      <c r="K5" s="324"/>
    </row>
    <row r="6" spans="1:11" ht="14.45" customHeight="1" thickBot="1" x14ac:dyDescent="0.25">
      <c r="A6" s="432" t="s">
        <v>245</v>
      </c>
      <c r="B6" s="414">
        <v>1927.24936085426</v>
      </c>
      <c r="C6" s="414">
        <v>1975.1649600000001</v>
      </c>
      <c r="D6" s="415">
        <v>47.915599145740998</v>
      </c>
      <c r="E6" s="416">
        <v>1.0248621689120001</v>
      </c>
      <c r="F6" s="414">
        <v>1932.0987623843</v>
      </c>
      <c r="G6" s="415">
        <v>1932.0987623843</v>
      </c>
      <c r="H6" s="417">
        <v>344.26850000000002</v>
      </c>
      <c r="I6" s="414">
        <v>2305.25947</v>
      </c>
      <c r="J6" s="415">
        <v>373.16070761569802</v>
      </c>
      <c r="K6" s="418">
        <v>1.1931374911470001</v>
      </c>
    </row>
    <row r="7" spans="1:11" ht="14.45" customHeight="1" thickBot="1" x14ac:dyDescent="0.25">
      <c r="A7" s="433" t="s">
        <v>246</v>
      </c>
      <c r="B7" s="414">
        <v>3.9719719435299998</v>
      </c>
      <c r="C7" s="414">
        <v>0.93</v>
      </c>
      <c r="D7" s="415">
        <v>-3.0419719435300001</v>
      </c>
      <c r="E7" s="416">
        <v>0.234140626676</v>
      </c>
      <c r="F7" s="414">
        <v>2.3492403842980001</v>
      </c>
      <c r="G7" s="415">
        <v>2.3492403842980001</v>
      </c>
      <c r="H7" s="417">
        <v>0</v>
      </c>
      <c r="I7" s="414">
        <v>2.5999999999999999E-2</v>
      </c>
      <c r="J7" s="415">
        <v>-2.3232403842979998</v>
      </c>
      <c r="K7" s="418">
        <v>1.1067407223E-2</v>
      </c>
    </row>
    <row r="8" spans="1:11" ht="14.45" customHeight="1" thickBot="1" x14ac:dyDescent="0.25">
      <c r="A8" s="434" t="s">
        <v>247</v>
      </c>
      <c r="B8" s="414">
        <v>3.9719719435299998</v>
      </c>
      <c r="C8" s="414">
        <v>0.93</v>
      </c>
      <c r="D8" s="415">
        <v>-3.0419719435300001</v>
      </c>
      <c r="E8" s="416">
        <v>0.234140626676</v>
      </c>
      <c r="F8" s="414">
        <v>2.3492403842980001</v>
      </c>
      <c r="G8" s="415">
        <v>2.3492403842980001</v>
      </c>
      <c r="H8" s="417">
        <v>0</v>
      </c>
      <c r="I8" s="414">
        <v>2.5999999999999999E-2</v>
      </c>
      <c r="J8" s="415">
        <v>-2.3232403842979998</v>
      </c>
      <c r="K8" s="418">
        <v>1.1067407223E-2</v>
      </c>
    </row>
    <row r="9" spans="1:11" ht="14.45" customHeight="1" thickBot="1" x14ac:dyDescent="0.25">
      <c r="A9" s="435" t="s">
        <v>248</v>
      </c>
      <c r="B9" s="419">
        <v>2.2017867764860002</v>
      </c>
      <c r="C9" s="419">
        <v>0.93</v>
      </c>
      <c r="D9" s="420">
        <v>-1.271786776486</v>
      </c>
      <c r="E9" s="421">
        <v>0.42238422445399998</v>
      </c>
      <c r="F9" s="419">
        <v>2.3492403842980001</v>
      </c>
      <c r="G9" s="420">
        <v>2.3492403842980001</v>
      </c>
      <c r="H9" s="422">
        <v>0</v>
      </c>
      <c r="I9" s="419">
        <v>2.5999999999999999E-2</v>
      </c>
      <c r="J9" s="420">
        <v>-2.3232403842979998</v>
      </c>
      <c r="K9" s="423">
        <v>1.1067407223E-2</v>
      </c>
    </row>
    <row r="10" spans="1:11" ht="14.45" customHeight="1" thickBot="1" x14ac:dyDescent="0.25">
      <c r="A10" s="436" t="s">
        <v>249</v>
      </c>
      <c r="B10" s="414">
        <v>2</v>
      </c>
      <c r="C10" s="414">
        <v>0.54279999999999995</v>
      </c>
      <c r="D10" s="415">
        <v>-1.4572000000000001</v>
      </c>
      <c r="E10" s="416">
        <v>0.27139999999999997</v>
      </c>
      <c r="F10" s="414">
        <v>2</v>
      </c>
      <c r="G10" s="415">
        <v>2</v>
      </c>
      <c r="H10" s="417">
        <v>0</v>
      </c>
      <c r="I10" s="414">
        <v>0</v>
      </c>
      <c r="J10" s="415">
        <v>-2</v>
      </c>
      <c r="K10" s="418">
        <v>0</v>
      </c>
    </row>
    <row r="11" spans="1:11" ht="14.45" customHeight="1" thickBot="1" x14ac:dyDescent="0.25">
      <c r="A11" s="436" t="s">
        <v>250</v>
      </c>
      <c r="B11" s="414">
        <v>0</v>
      </c>
      <c r="C11" s="414">
        <v>0</v>
      </c>
      <c r="D11" s="415">
        <v>0</v>
      </c>
      <c r="E11" s="416">
        <v>1</v>
      </c>
      <c r="F11" s="414">
        <v>0</v>
      </c>
      <c r="G11" s="415">
        <v>0</v>
      </c>
      <c r="H11" s="417">
        <v>0</v>
      </c>
      <c r="I11" s="414">
        <v>2.5999999999E-2</v>
      </c>
      <c r="J11" s="415">
        <v>2.5999999999E-2</v>
      </c>
      <c r="K11" s="424" t="s">
        <v>243</v>
      </c>
    </row>
    <row r="12" spans="1:11" ht="14.45" customHeight="1" thickBot="1" x14ac:dyDescent="0.25">
      <c r="A12" s="436" t="s">
        <v>251</v>
      </c>
      <c r="B12" s="414">
        <v>0.20178677648599999</v>
      </c>
      <c r="C12" s="414">
        <v>0.38719999999999999</v>
      </c>
      <c r="D12" s="415">
        <v>0.18541322351299999</v>
      </c>
      <c r="E12" s="416">
        <v>1.918857155765</v>
      </c>
      <c r="F12" s="414">
        <v>0.34924038429799997</v>
      </c>
      <c r="G12" s="415">
        <v>0.34924038429799997</v>
      </c>
      <c r="H12" s="417">
        <v>0</v>
      </c>
      <c r="I12" s="414">
        <v>7.4940054162198096E-16</v>
      </c>
      <c r="J12" s="415">
        <v>-0.34924038429799997</v>
      </c>
      <c r="K12" s="418">
        <v>2.1458015032454199E-15</v>
      </c>
    </row>
    <row r="13" spans="1:11" ht="14.45" customHeight="1" thickBot="1" x14ac:dyDescent="0.25">
      <c r="A13" s="435" t="s">
        <v>252</v>
      </c>
      <c r="B13" s="419">
        <v>1.7701851670440001</v>
      </c>
      <c r="C13" s="419">
        <v>0</v>
      </c>
      <c r="D13" s="420">
        <v>-1.7701851670440001</v>
      </c>
      <c r="E13" s="421">
        <v>0</v>
      </c>
      <c r="F13" s="419">
        <v>0</v>
      </c>
      <c r="G13" s="420">
        <v>0</v>
      </c>
      <c r="H13" s="422">
        <v>0</v>
      </c>
      <c r="I13" s="419">
        <v>0</v>
      </c>
      <c r="J13" s="420">
        <v>0</v>
      </c>
      <c r="K13" s="425" t="s">
        <v>242</v>
      </c>
    </row>
    <row r="14" spans="1:11" ht="14.45" customHeight="1" thickBot="1" x14ac:dyDescent="0.25">
      <c r="A14" s="436" t="s">
        <v>253</v>
      </c>
      <c r="B14" s="414">
        <v>1.7701851670440001</v>
      </c>
      <c r="C14" s="414">
        <v>0</v>
      </c>
      <c r="D14" s="415">
        <v>-1.7701851670440001</v>
      </c>
      <c r="E14" s="416">
        <v>0</v>
      </c>
      <c r="F14" s="414">
        <v>0</v>
      </c>
      <c r="G14" s="415">
        <v>0</v>
      </c>
      <c r="H14" s="417">
        <v>0</v>
      </c>
      <c r="I14" s="414">
        <v>0</v>
      </c>
      <c r="J14" s="415">
        <v>0</v>
      </c>
      <c r="K14" s="418">
        <v>12</v>
      </c>
    </row>
    <row r="15" spans="1:11" ht="14.45" customHeight="1" thickBot="1" x14ac:dyDescent="0.25">
      <c r="A15" s="437" t="s">
        <v>254</v>
      </c>
      <c r="B15" s="419">
        <v>3.0975689951000002E-2</v>
      </c>
      <c r="C15" s="419">
        <v>0</v>
      </c>
      <c r="D15" s="420">
        <v>-3.0975689951000002E-2</v>
      </c>
      <c r="E15" s="421">
        <v>0</v>
      </c>
      <c r="F15" s="419">
        <v>0</v>
      </c>
      <c r="G15" s="420">
        <v>0</v>
      </c>
      <c r="H15" s="422">
        <v>0</v>
      </c>
      <c r="I15" s="419">
        <v>0</v>
      </c>
      <c r="J15" s="420">
        <v>0</v>
      </c>
      <c r="K15" s="425" t="s">
        <v>242</v>
      </c>
    </row>
    <row r="16" spans="1:11" ht="14.45" customHeight="1" thickBot="1" x14ac:dyDescent="0.25">
      <c r="A16" s="434" t="s">
        <v>44</v>
      </c>
      <c r="B16" s="414">
        <v>3.0975689951000002E-2</v>
      </c>
      <c r="C16" s="414">
        <v>0</v>
      </c>
      <c r="D16" s="415">
        <v>-3.0975689951000002E-2</v>
      </c>
      <c r="E16" s="416">
        <v>0</v>
      </c>
      <c r="F16" s="414">
        <v>0</v>
      </c>
      <c r="G16" s="415">
        <v>0</v>
      </c>
      <c r="H16" s="417">
        <v>0</v>
      </c>
      <c r="I16" s="414">
        <v>0</v>
      </c>
      <c r="J16" s="415">
        <v>0</v>
      </c>
      <c r="K16" s="424" t="s">
        <v>242</v>
      </c>
    </row>
    <row r="17" spans="1:11" ht="14.45" customHeight="1" thickBot="1" x14ac:dyDescent="0.25">
      <c r="A17" s="435" t="s">
        <v>255</v>
      </c>
      <c r="B17" s="419">
        <v>3.0975689951000002E-2</v>
      </c>
      <c r="C17" s="419">
        <v>0</v>
      </c>
      <c r="D17" s="420">
        <v>-3.0975689951000002E-2</v>
      </c>
      <c r="E17" s="421">
        <v>0</v>
      </c>
      <c r="F17" s="419">
        <v>0</v>
      </c>
      <c r="G17" s="420">
        <v>0</v>
      </c>
      <c r="H17" s="422">
        <v>0</v>
      </c>
      <c r="I17" s="419">
        <v>0</v>
      </c>
      <c r="J17" s="420">
        <v>0</v>
      </c>
      <c r="K17" s="423">
        <v>12</v>
      </c>
    </row>
    <row r="18" spans="1:11" ht="14.45" customHeight="1" thickBot="1" x14ac:dyDescent="0.25">
      <c r="A18" s="436" t="s">
        <v>256</v>
      </c>
      <c r="B18" s="414">
        <v>3.0975689951000002E-2</v>
      </c>
      <c r="C18" s="414">
        <v>0</v>
      </c>
      <c r="D18" s="415">
        <v>-3.0975689951000002E-2</v>
      </c>
      <c r="E18" s="416">
        <v>0</v>
      </c>
      <c r="F18" s="414">
        <v>0</v>
      </c>
      <c r="G18" s="415">
        <v>0</v>
      </c>
      <c r="H18" s="417">
        <v>0</v>
      </c>
      <c r="I18" s="414">
        <v>0</v>
      </c>
      <c r="J18" s="415">
        <v>0</v>
      </c>
      <c r="K18" s="418">
        <v>12</v>
      </c>
    </row>
    <row r="19" spans="1:11" ht="14.45" customHeight="1" thickBot="1" x14ac:dyDescent="0.25">
      <c r="A19" s="433" t="s">
        <v>45</v>
      </c>
      <c r="B19" s="414">
        <v>1915.511</v>
      </c>
      <c r="C19" s="414">
        <v>1965.73496</v>
      </c>
      <c r="D19" s="415">
        <v>50.223960000006997</v>
      </c>
      <c r="E19" s="416">
        <v>1.0262196145039999</v>
      </c>
      <c r="F19" s="414">
        <v>1929.7495220000001</v>
      </c>
      <c r="G19" s="415">
        <v>1929.7495220000001</v>
      </c>
      <c r="H19" s="417">
        <v>344.26850000000002</v>
      </c>
      <c r="I19" s="414">
        <v>2305.2334700000001</v>
      </c>
      <c r="J19" s="415">
        <v>375.48394799999602</v>
      </c>
      <c r="K19" s="418">
        <v>1.194576520796</v>
      </c>
    </row>
    <row r="20" spans="1:11" ht="14.45" customHeight="1" thickBot="1" x14ac:dyDescent="0.25">
      <c r="A20" s="438" t="s">
        <v>257</v>
      </c>
      <c r="B20" s="419">
        <v>1409.3510000000001</v>
      </c>
      <c r="C20" s="419">
        <v>1446.1659999999999</v>
      </c>
      <c r="D20" s="420">
        <v>36.815000000006002</v>
      </c>
      <c r="E20" s="421">
        <v>1.0261219525859999</v>
      </c>
      <c r="F20" s="419">
        <v>1343.59</v>
      </c>
      <c r="G20" s="420">
        <v>1343.59</v>
      </c>
      <c r="H20" s="422">
        <v>253.62200000000001</v>
      </c>
      <c r="I20" s="419">
        <v>1696.6010000000001</v>
      </c>
      <c r="J20" s="420">
        <v>353.01099999999599</v>
      </c>
      <c r="K20" s="423">
        <v>1.262737144515</v>
      </c>
    </row>
    <row r="21" spans="1:11" ht="14.45" customHeight="1" thickBot="1" x14ac:dyDescent="0.25">
      <c r="A21" s="435" t="s">
        <v>258</v>
      </c>
      <c r="B21" s="419">
        <v>1406</v>
      </c>
      <c r="C21" s="419">
        <v>1421.1659999999999</v>
      </c>
      <c r="D21" s="420">
        <v>15.166000000005999</v>
      </c>
      <c r="E21" s="421">
        <v>1.0107866287339999</v>
      </c>
      <c r="F21" s="419">
        <v>1343.59</v>
      </c>
      <c r="G21" s="420">
        <v>1343.59</v>
      </c>
      <c r="H21" s="422">
        <v>246.12200000000001</v>
      </c>
      <c r="I21" s="419">
        <v>1689.1010000000001</v>
      </c>
      <c r="J21" s="420">
        <v>345.51099999999599</v>
      </c>
      <c r="K21" s="423">
        <v>1.2571550845120001</v>
      </c>
    </row>
    <row r="22" spans="1:11" ht="14.45" customHeight="1" thickBot="1" x14ac:dyDescent="0.25">
      <c r="A22" s="436" t="s">
        <v>259</v>
      </c>
      <c r="B22" s="414">
        <v>1406</v>
      </c>
      <c r="C22" s="414">
        <v>1421.1659999999999</v>
      </c>
      <c r="D22" s="415">
        <v>15.166000000005999</v>
      </c>
      <c r="E22" s="416">
        <v>1.0107866287339999</v>
      </c>
      <c r="F22" s="414">
        <v>1343.59</v>
      </c>
      <c r="G22" s="415">
        <v>1343.59</v>
      </c>
      <c r="H22" s="417">
        <v>246.12200000000001</v>
      </c>
      <c r="I22" s="414">
        <v>1689.1010000000001</v>
      </c>
      <c r="J22" s="415">
        <v>345.51099999999599</v>
      </c>
      <c r="K22" s="418">
        <v>1.2571550845120001</v>
      </c>
    </row>
    <row r="23" spans="1:11" ht="14.45" customHeight="1" thickBot="1" x14ac:dyDescent="0.25">
      <c r="A23" s="435" t="s">
        <v>260</v>
      </c>
      <c r="B23" s="419">
        <v>3.351</v>
      </c>
      <c r="C23" s="419">
        <v>0</v>
      </c>
      <c r="D23" s="420">
        <v>-3.351</v>
      </c>
      <c r="E23" s="421">
        <v>0</v>
      </c>
      <c r="F23" s="419">
        <v>0</v>
      </c>
      <c r="G23" s="420">
        <v>0</v>
      </c>
      <c r="H23" s="422">
        <v>0</v>
      </c>
      <c r="I23" s="419">
        <v>0</v>
      </c>
      <c r="J23" s="420">
        <v>0</v>
      </c>
      <c r="K23" s="423">
        <v>12</v>
      </c>
    </row>
    <row r="24" spans="1:11" ht="14.45" customHeight="1" thickBot="1" x14ac:dyDescent="0.25">
      <c r="A24" s="436" t="s">
        <v>261</v>
      </c>
      <c r="B24" s="414">
        <v>3.351</v>
      </c>
      <c r="C24" s="414">
        <v>0</v>
      </c>
      <c r="D24" s="415">
        <v>-3.351</v>
      </c>
      <c r="E24" s="416">
        <v>0</v>
      </c>
      <c r="F24" s="414">
        <v>0</v>
      </c>
      <c r="G24" s="415">
        <v>0</v>
      </c>
      <c r="H24" s="417">
        <v>0</v>
      </c>
      <c r="I24" s="414">
        <v>0</v>
      </c>
      <c r="J24" s="415">
        <v>0</v>
      </c>
      <c r="K24" s="418">
        <v>12</v>
      </c>
    </row>
    <row r="25" spans="1:11" ht="14.45" customHeight="1" thickBot="1" x14ac:dyDescent="0.25">
      <c r="A25" s="439" t="s">
        <v>262</v>
      </c>
      <c r="B25" s="414">
        <v>0</v>
      </c>
      <c r="C25" s="414">
        <v>25</v>
      </c>
      <c r="D25" s="415">
        <v>25</v>
      </c>
      <c r="E25" s="426" t="s">
        <v>242</v>
      </c>
      <c r="F25" s="414">
        <v>0</v>
      </c>
      <c r="G25" s="415">
        <v>0</v>
      </c>
      <c r="H25" s="417">
        <v>7.4999999999989999</v>
      </c>
      <c r="I25" s="414">
        <v>7.4999999999989999</v>
      </c>
      <c r="J25" s="415">
        <v>7.4999999999989999</v>
      </c>
      <c r="K25" s="424" t="s">
        <v>242</v>
      </c>
    </row>
    <row r="26" spans="1:11" ht="14.45" customHeight="1" thickBot="1" x14ac:dyDescent="0.25">
      <c r="A26" s="436" t="s">
        <v>263</v>
      </c>
      <c r="B26" s="414">
        <v>0</v>
      </c>
      <c r="C26" s="414">
        <v>25</v>
      </c>
      <c r="D26" s="415">
        <v>25</v>
      </c>
      <c r="E26" s="426" t="s">
        <v>242</v>
      </c>
      <c r="F26" s="414">
        <v>0</v>
      </c>
      <c r="G26" s="415">
        <v>0</v>
      </c>
      <c r="H26" s="417">
        <v>7.4999999999989999</v>
      </c>
      <c r="I26" s="414">
        <v>7.4999999999989999</v>
      </c>
      <c r="J26" s="415">
        <v>7.4999999999989999</v>
      </c>
      <c r="K26" s="424" t="s">
        <v>242</v>
      </c>
    </row>
    <row r="27" spans="1:11" ht="14.45" customHeight="1" thickBot="1" x14ac:dyDescent="0.25">
      <c r="A27" s="434" t="s">
        <v>264</v>
      </c>
      <c r="B27" s="414">
        <v>478.04</v>
      </c>
      <c r="C27" s="414">
        <v>491.15025000000099</v>
      </c>
      <c r="D27" s="415">
        <v>13.110250000001001</v>
      </c>
      <c r="E27" s="416">
        <v>1.0274250062750001</v>
      </c>
      <c r="F27" s="414">
        <v>547.22</v>
      </c>
      <c r="G27" s="415">
        <v>547.22</v>
      </c>
      <c r="H27" s="417">
        <v>85.724239999999</v>
      </c>
      <c r="I27" s="414">
        <v>574.84873000000005</v>
      </c>
      <c r="J27" s="415">
        <v>27.628730000000001</v>
      </c>
      <c r="K27" s="418">
        <v>1.050489254778</v>
      </c>
    </row>
    <row r="28" spans="1:11" ht="14.45" customHeight="1" thickBot="1" x14ac:dyDescent="0.25">
      <c r="A28" s="435" t="s">
        <v>265</v>
      </c>
      <c r="B28" s="419">
        <v>126.54</v>
      </c>
      <c r="C28" s="419">
        <v>130.1455</v>
      </c>
      <c r="D28" s="420">
        <v>3.6054999999990001</v>
      </c>
      <c r="E28" s="421">
        <v>1.02849296665</v>
      </c>
      <c r="F28" s="419">
        <v>144.87</v>
      </c>
      <c r="G28" s="420">
        <v>144.87</v>
      </c>
      <c r="H28" s="422">
        <v>22.826000000000001</v>
      </c>
      <c r="I28" s="419">
        <v>152.70050000000001</v>
      </c>
      <c r="J28" s="420">
        <v>7.8304999999999998</v>
      </c>
      <c r="K28" s="423">
        <v>1.0540519086069999</v>
      </c>
    </row>
    <row r="29" spans="1:11" ht="14.45" customHeight="1" thickBot="1" x14ac:dyDescent="0.25">
      <c r="A29" s="436" t="s">
        <v>266</v>
      </c>
      <c r="B29" s="414">
        <v>126.54</v>
      </c>
      <c r="C29" s="414">
        <v>130.1455</v>
      </c>
      <c r="D29" s="415">
        <v>3.6054999999990001</v>
      </c>
      <c r="E29" s="416">
        <v>1.02849296665</v>
      </c>
      <c r="F29" s="414">
        <v>144.87</v>
      </c>
      <c r="G29" s="415">
        <v>144.87</v>
      </c>
      <c r="H29" s="417">
        <v>22.826000000000001</v>
      </c>
      <c r="I29" s="414">
        <v>152.70050000000001</v>
      </c>
      <c r="J29" s="415">
        <v>7.8304999999999998</v>
      </c>
      <c r="K29" s="418">
        <v>1.0540519086069999</v>
      </c>
    </row>
    <row r="30" spans="1:11" ht="14.45" customHeight="1" thickBot="1" x14ac:dyDescent="0.25">
      <c r="A30" s="435" t="s">
        <v>267</v>
      </c>
      <c r="B30" s="419">
        <v>351.5</v>
      </c>
      <c r="C30" s="419">
        <v>361.00475000000102</v>
      </c>
      <c r="D30" s="420">
        <v>9.5047500000009997</v>
      </c>
      <c r="E30" s="421">
        <v>1.02704054054</v>
      </c>
      <c r="F30" s="419">
        <v>402.35</v>
      </c>
      <c r="G30" s="420">
        <v>402.35</v>
      </c>
      <c r="H30" s="422">
        <v>62.898239999998999</v>
      </c>
      <c r="I30" s="419">
        <v>422.14823000000001</v>
      </c>
      <c r="J30" s="420">
        <v>19.798229999998998</v>
      </c>
      <c r="K30" s="423">
        <v>1.0492064868890001</v>
      </c>
    </row>
    <row r="31" spans="1:11" ht="14.45" customHeight="1" thickBot="1" x14ac:dyDescent="0.25">
      <c r="A31" s="436" t="s">
        <v>268</v>
      </c>
      <c r="B31" s="414">
        <v>351.5</v>
      </c>
      <c r="C31" s="414">
        <v>361.00475000000102</v>
      </c>
      <c r="D31" s="415">
        <v>9.5047500000009997</v>
      </c>
      <c r="E31" s="416">
        <v>1.02704054054</v>
      </c>
      <c r="F31" s="414">
        <v>402.35</v>
      </c>
      <c r="G31" s="415">
        <v>402.35</v>
      </c>
      <c r="H31" s="417">
        <v>62.898239999998999</v>
      </c>
      <c r="I31" s="414">
        <v>422.14823000000001</v>
      </c>
      <c r="J31" s="415">
        <v>19.798229999998998</v>
      </c>
      <c r="K31" s="418">
        <v>1.0492064868890001</v>
      </c>
    </row>
    <row r="32" spans="1:11" ht="14.45" customHeight="1" thickBot="1" x14ac:dyDescent="0.25">
      <c r="A32" s="434" t="s">
        <v>269</v>
      </c>
      <c r="B32" s="414">
        <v>0</v>
      </c>
      <c r="C32" s="414">
        <v>0</v>
      </c>
      <c r="D32" s="415">
        <v>0</v>
      </c>
      <c r="E32" s="416">
        <v>1</v>
      </c>
      <c r="F32" s="414">
        <v>6.7595219999999996</v>
      </c>
      <c r="G32" s="415">
        <v>6.7595219999999996</v>
      </c>
      <c r="H32" s="417">
        <v>0</v>
      </c>
      <c r="I32" s="414">
        <v>0</v>
      </c>
      <c r="J32" s="415">
        <v>-6.7595219999999996</v>
      </c>
      <c r="K32" s="418">
        <v>0</v>
      </c>
    </row>
    <row r="33" spans="1:11" ht="14.45" customHeight="1" thickBot="1" x14ac:dyDescent="0.25">
      <c r="A33" s="435" t="s">
        <v>270</v>
      </c>
      <c r="B33" s="419">
        <v>0</v>
      </c>
      <c r="C33" s="419">
        <v>0</v>
      </c>
      <c r="D33" s="420">
        <v>0</v>
      </c>
      <c r="E33" s="421">
        <v>1</v>
      </c>
      <c r="F33" s="419">
        <v>6.7595219999999996</v>
      </c>
      <c r="G33" s="420">
        <v>6.7595219999999996</v>
      </c>
      <c r="H33" s="422">
        <v>0</v>
      </c>
      <c r="I33" s="419">
        <v>0</v>
      </c>
      <c r="J33" s="420">
        <v>-6.7595219999999996</v>
      </c>
      <c r="K33" s="423">
        <v>0</v>
      </c>
    </row>
    <row r="34" spans="1:11" ht="14.45" customHeight="1" thickBot="1" x14ac:dyDescent="0.25">
      <c r="A34" s="436" t="s">
        <v>271</v>
      </c>
      <c r="B34" s="414">
        <v>0</v>
      </c>
      <c r="C34" s="414">
        <v>0</v>
      </c>
      <c r="D34" s="415">
        <v>0</v>
      </c>
      <c r="E34" s="416">
        <v>1</v>
      </c>
      <c r="F34" s="414">
        <v>6.7595219999999996</v>
      </c>
      <c r="G34" s="415">
        <v>6.7595219999999996</v>
      </c>
      <c r="H34" s="417">
        <v>0</v>
      </c>
      <c r="I34" s="414">
        <v>0</v>
      </c>
      <c r="J34" s="415">
        <v>-6.7595219999999996</v>
      </c>
      <c r="K34" s="418">
        <v>0</v>
      </c>
    </row>
    <row r="35" spans="1:11" ht="14.45" customHeight="1" thickBot="1" x14ac:dyDescent="0.25">
      <c r="A35" s="434" t="s">
        <v>272</v>
      </c>
      <c r="B35" s="414">
        <v>28.12</v>
      </c>
      <c r="C35" s="414">
        <v>28.418710000000001</v>
      </c>
      <c r="D35" s="415">
        <v>0.298709999999</v>
      </c>
      <c r="E35" s="416">
        <v>1.010622688477</v>
      </c>
      <c r="F35" s="414">
        <v>32.18</v>
      </c>
      <c r="G35" s="415">
        <v>32.18</v>
      </c>
      <c r="H35" s="417">
        <v>4.9222599999999996</v>
      </c>
      <c r="I35" s="414">
        <v>33.783740000000002</v>
      </c>
      <c r="J35" s="415">
        <v>1.6037399999999999</v>
      </c>
      <c r="K35" s="418">
        <v>1.0498365444369999</v>
      </c>
    </row>
    <row r="36" spans="1:11" ht="14.45" customHeight="1" thickBot="1" x14ac:dyDescent="0.25">
      <c r="A36" s="435" t="s">
        <v>273</v>
      </c>
      <c r="B36" s="419">
        <v>28.12</v>
      </c>
      <c r="C36" s="419">
        <v>28.418710000000001</v>
      </c>
      <c r="D36" s="420">
        <v>0.298709999999</v>
      </c>
      <c r="E36" s="421">
        <v>1.010622688477</v>
      </c>
      <c r="F36" s="419">
        <v>32.18</v>
      </c>
      <c r="G36" s="420">
        <v>32.18</v>
      </c>
      <c r="H36" s="422">
        <v>4.9222599999999996</v>
      </c>
      <c r="I36" s="419">
        <v>33.783740000000002</v>
      </c>
      <c r="J36" s="420">
        <v>1.6037399999999999</v>
      </c>
      <c r="K36" s="423">
        <v>1.0498365444369999</v>
      </c>
    </row>
    <row r="37" spans="1:11" ht="14.45" customHeight="1" thickBot="1" x14ac:dyDescent="0.25">
      <c r="A37" s="436" t="s">
        <v>274</v>
      </c>
      <c r="B37" s="414">
        <v>28.12</v>
      </c>
      <c r="C37" s="414">
        <v>28.418710000000001</v>
      </c>
      <c r="D37" s="415">
        <v>0.298709999999</v>
      </c>
      <c r="E37" s="416">
        <v>1.010622688477</v>
      </c>
      <c r="F37" s="414">
        <v>32.18</v>
      </c>
      <c r="G37" s="415">
        <v>32.18</v>
      </c>
      <c r="H37" s="417">
        <v>4.9222599999999996</v>
      </c>
      <c r="I37" s="414">
        <v>33.783740000000002</v>
      </c>
      <c r="J37" s="415">
        <v>1.6037399999999999</v>
      </c>
      <c r="K37" s="418">
        <v>1.0498365444369999</v>
      </c>
    </row>
    <row r="38" spans="1:11" ht="14.45" customHeight="1" thickBot="1" x14ac:dyDescent="0.25">
      <c r="A38" s="433" t="s">
        <v>275</v>
      </c>
      <c r="B38" s="414">
        <v>7.7354132207830002</v>
      </c>
      <c r="C38" s="414">
        <v>8.5</v>
      </c>
      <c r="D38" s="415">
        <v>0.76458677921600005</v>
      </c>
      <c r="E38" s="416">
        <v>1.0988423963130001</v>
      </c>
      <c r="F38" s="414">
        <v>0</v>
      </c>
      <c r="G38" s="415">
        <v>0</v>
      </c>
      <c r="H38" s="417">
        <v>0</v>
      </c>
      <c r="I38" s="414">
        <v>0</v>
      </c>
      <c r="J38" s="415">
        <v>0</v>
      </c>
      <c r="K38" s="424" t="s">
        <v>242</v>
      </c>
    </row>
    <row r="39" spans="1:11" ht="14.45" customHeight="1" thickBot="1" x14ac:dyDescent="0.25">
      <c r="A39" s="434" t="s">
        <v>276</v>
      </c>
      <c r="B39" s="414">
        <v>7.7354132207830002</v>
      </c>
      <c r="C39" s="414">
        <v>8.5</v>
      </c>
      <c r="D39" s="415">
        <v>0.76458677921600005</v>
      </c>
      <c r="E39" s="416">
        <v>1.0988423963130001</v>
      </c>
      <c r="F39" s="414">
        <v>0</v>
      </c>
      <c r="G39" s="415">
        <v>0</v>
      </c>
      <c r="H39" s="417">
        <v>0</v>
      </c>
      <c r="I39" s="414">
        <v>0</v>
      </c>
      <c r="J39" s="415">
        <v>0</v>
      </c>
      <c r="K39" s="424" t="s">
        <v>242</v>
      </c>
    </row>
    <row r="40" spans="1:11" ht="14.45" customHeight="1" thickBot="1" x14ac:dyDescent="0.25">
      <c r="A40" s="435" t="s">
        <v>277</v>
      </c>
      <c r="B40" s="419">
        <v>0</v>
      </c>
      <c r="C40" s="419">
        <v>8.5</v>
      </c>
      <c r="D40" s="420">
        <v>8.5</v>
      </c>
      <c r="E40" s="427" t="s">
        <v>243</v>
      </c>
      <c r="F40" s="419">
        <v>0</v>
      </c>
      <c r="G40" s="420">
        <v>0</v>
      </c>
      <c r="H40" s="422">
        <v>0</v>
      </c>
      <c r="I40" s="419">
        <v>0</v>
      </c>
      <c r="J40" s="420">
        <v>0</v>
      </c>
      <c r="K40" s="425" t="s">
        <v>242</v>
      </c>
    </row>
    <row r="41" spans="1:11" ht="14.45" customHeight="1" thickBot="1" x14ac:dyDescent="0.25">
      <c r="A41" s="436" t="s">
        <v>278</v>
      </c>
      <c r="B41" s="414">
        <v>0</v>
      </c>
      <c r="C41" s="414">
        <v>8.5</v>
      </c>
      <c r="D41" s="415">
        <v>8.5</v>
      </c>
      <c r="E41" s="426" t="s">
        <v>243</v>
      </c>
      <c r="F41" s="414">
        <v>0</v>
      </c>
      <c r="G41" s="415">
        <v>0</v>
      </c>
      <c r="H41" s="417">
        <v>0</v>
      </c>
      <c r="I41" s="414">
        <v>0</v>
      </c>
      <c r="J41" s="415">
        <v>0</v>
      </c>
      <c r="K41" s="424" t="s">
        <v>242</v>
      </c>
    </row>
    <row r="42" spans="1:11" ht="14.45" customHeight="1" thickBot="1" x14ac:dyDescent="0.25">
      <c r="A42" s="439" t="s">
        <v>279</v>
      </c>
      <c r="B42" s="414">
        <v>7.7354132207830002</v>
      </c>
      <c r="C42" s="414">
        <v>0</v>
      </c>
      <c r="D42" s="415">
        <v>-7.7354132207830002</v>
      </c>
      <c r="E42" s="416">
        <v>0</v>
      </c>
      <c r="F42" s="414">
        <v>0</v>
      </c>
      <c r="G42" s="415">
        <v>0</v>
      </c>
      <c r="H42" s="417">
        <v>0</v>
      </c>
      <c r="I42" s="414">
        <v>0</v>
      </c>
      <c r="J42" s="415">
        <v>0</v>
      </c>
      <c r="K42" s="418">
        <v>12</v>
      </c>
    </row>
    <row r="43" spans="1:11" ht="14.45" customHeight="1" thickBot="1" x14ac:dyDescent="0.25">
      <c r="A43" s="436" t="s">
        <v>280</v>
      </c>
      <c r="B43" s="414">
        <v>7.7354132207830002</v>
      </c>
      <c r="C43" s="414">
        <v>0</v>
      </c>
      <c r="D43" s="415">
        <v>-7.7354132207830002</v>
      </c>
      <c r="E43" s="416">
        <v>0</v>
      </c>
      <c r="F43" s="414">
        <v>0</v>
      </c>
      <c r="G43" s="415">
        <v>0</v>
      </c>
      <c r="H43" s="417">
        <v>0</v>
      </c>
      <c r="I43" s="414">
        <v>0</v>
      </c>
      <c r="J43" s="415">
        <v>0</v>
      </c>
      <c r="K43" s="418">
        <v>12</v>
      </c>
    </row>
    <row r="44" spans="1:11" ht="14.45" customHeight="1" thickBot="1" x14ac:dyDescent="0.25">
      <c r="A44" s="432" t="s">
        <v>281</v>
      </c>
      <c r="B44" s="414">
        <v>60.976339613748998</v>
      </c>
      <c r="C44" s="414">
        <v>128.91973999999999</v>
      </c>
      <c r="D44" s="415">
        <v>67.943400386250005</v>
      </c>
      <c r="E44" s="416">
        <v>2.1142584290330002</v>
      </c>
      <c r="F44" s="414">
        <v>117.849377845124</v>
      </c>
      <c r="G44" s="415">
        <v>117.849377845124</v>
      </c>
      <c r="H44" s="417">
        <v>15.99976</v>
      </c>
      <c r="I44" s="414">
        <v>128.59568999999999</v>
      </c>
      <c r="J44" s="415">
        <v>10.746312154876</v>
      </c>
      <c r="K44" s="418">
        <v>1.0911868382450001</v>
      </c>
    </row>
    <row r="45" spans="1:11" ht="14.45" customHeight="1" thickBot="1" x14ac:dyDescent="0.25">
      <c r="A45" s="433" t="s">
        <v>282</v>
      </c>
      <c r="B45" s="414">
        <v>60.976339613748998</v>
      </c>
      <c r="C45" s="414">
        <v>101.02719</v>
      </c>
      <c r="D45" s="415">
        <v>40.050850386249998</v>
      </c>
      <c r="E45" s="416">
        <v>1.6568260843460001</v>
      </c>
      <c r="F45" s="414">
        <v>117.849377845124</v>
      </c>
      <c r="G45" s="415">
        <v>117.849377845124</v>
      </c>
      <c r="H45" s="417">
        <v>8.4997600000000002</v>
      </c>
      <c r="I45" s="414">
        <v>121.09569</v>
      </c>
      <c r="J45" s="415">
        <v>3.2463121548760001</v>
      </c>
      <c r="K45" s="418">
        <v>1.027546281654</v>
      </c>
    </row>
    <row r="46" spans="1:11" ht="14.45" customHeight="1" thickBot="1" x14ac:dyDescent="0.25">
      <c r="A46" s="434" t="s">
        <v>283</v>
      </c>
      <c r="B46" s="414">
        <v>60.976339613748998</v>
      </c>
      <c r="C46" s="414">
        <v>101.02719</v>
      </c>
      <c r="D46" s="415">
        <v>40.050850386249998</v>
      </c>
      <c r="E46" s="416">
        <v>1.6568260843460001</v>
      </c>
      <c r="F46" s="414">
        <v>117.849377845124</v>
      </c>
      <c r="G46" s="415">
        <v>117.849377845124</v>
      </c>
      <c r="H46" s="417">
        <v>8.4997600000000002</v>
      </c>
      <c r="I46" s="414">
        <v>121.09569</v>
      </c>
      <c r="J46" s="415">
        <v>3.2463121548760001</v>
      </c>
      <c r="K46" s="418">
        <v>1.027546281654</v>
      </c>
    </row>
    <row r="47" spans="1:11" ht="14.45" customHeight="1" thickBot="1" x14ac:dyDescent="0.25">
      <c r="A47" s="435" t="s">
        <v>284</v>
      </c>
      <c r="B47" s="419">
        <v>0</v>
      </c>
      <c r="C47" s="419">
        <v>0</v>
      </c>
      <c r="D47" s="420">
        <v>0</v>
      </c>
      <c r="E47" s="421">
        <v>1</v>
      </c>
      <c r="F47" s="419">
        <v>0</v>
      </c>
      <c r="G47" s="420">
        <v>0</v>
      </c>
      <c r="H47" s="422">
        <v>0</v>
      </c>
      <c r="I47" s="419">
        <v>0.43675999999999998</v>
      </c>
      <c r="J47" s="420">
        <v>0.43675999999999998</v>
      </c>
      <c r="K47" s="425" t="s">
        <v>243</v>
      </c>
    </row>
    <row r="48" spans="1:11" ht="14.45" customHeight="1" thickBot="1" x14ac:dyDescent="0.25">
      <c r="A48" s="436" t="s">
        <v>285</v>
      </c>
      <c r="B48" s="414">
        <v>0</v>
      </c>
      <c r="C48" s="414">
        <v>0</v>
      </c>
      <c r="D48" s="415">
        <v>0</v>
      </c>
      <c r="E48" s="416">
        <v>1</v>
      </c>
      <c r="F48" s="414">
        <v>0</v>
      </c>
      <c r="G48" s="415">
        <v>0</v>
      </c>
      <c r="H48" s="417">
        <v>0</v>
      </c>
      <c r="I48" s="414">
        <v>0.43675999999999998</v>
      </c>
      <c r="J48" s="415">
        <v>0.43675999999999998</v>
      </c>
      <c r="K48" s="424" t="s">
        <v>243</v>
      </c>
    </row>
    <row r="49" spans="1:11" ht="14.45" customHeight="1" thickBot="1" x14ac:dyDescent="0.25">
      <c r="A49" s="435" t="s">
        <v>286</v>
      </c>
      <c r="B49" s="419">
        <v>1.274917889605</v>
      </c>
      <c r="C49" s="419">
        <v>1.7194799999999999</v>
      </c>
      <c r="D49" s="420">
        <v>0.44456211039400001</v>
      </c>
      <c r="E49" s="421">
        <v>1.348698621314</v>
      </c>
      <c r="F49" s="419">
        <v>0</v>
      </c>
      <c r="G49" s="420">
        <v>0</v>
      </c>
      <c r="H49" s="422">
        <v>0</v>
      </c>
      <c r="I49" s="419">
        <v>0</v>
      </c>
      <c r="J49" s="420">
        <v>0</v>
      </c>
      <c r="K49" s="425" t="s">
        <v>242</v>
      </c>
    </row>
    <row r="50" spans="1:11" ht="14.45" customHeight="1" thickBot="1" x14ac:dyDescent="0.25">
      <c r="A50" s="436" t="s">
        <v>287</v>
      </c>
      <c r="B50" s="414">
        <v>1.274917889605</v>
      </c>
      <c r="C50" s="414">
        <v>1.7194799999999999</v>
      </c>
      <c r="D50" s="415">
        <v>0.44456211039400001</v>
      </c>
      <c r="E50" s="416">
        <v>1.348698621314</v>
      </c>
      <c r="F50" s="414">
        <v>0</v>
      </c>
      <c r="G50" s="415">
        <v>0</v>
      </c>
      <c r="H50" s="417">
        <v>0</v>
      </c>
      <c r="I50" s="414">
        <v>0</v>
      </c>
      <c r="J50" s="415">
        <v>0</v>
      </c>
      <c r="K50" s="424" t="s">
        <v>242</v>
      </c>
    </row>
    <row r="51" spans="1:11" ht="14.45" customHeight="1" thickBot="1" x14ac:dyDescent="0.25">
      <c r="A51" s="439" t="s">
        <v>288</v>
      </c>
      <c r="B51" s="414">
        <v>0.39765726080000002</v>
      </c>
      <c r="C51" s="414">
        <v>1.4679199999999999</v>
      </c>
      <c r="D51" s="415">
        <v>1.0702627391990001</v>
      </c>
      <c r="E51" s="416">
        <v>3.6914200863470001</v>
      </c>
      <c r="F51" s="414">
        <v>0.42444813791399999</v>
      </c>
      <c r="G51" s="415">
        <v>0.42444813791399999</v>
      </c>
      <c r="H51" s="417">
        <v>0</v>
      </c>
      <c r="I51" s="414">
        <v>0.68064000000000002</v>
      </c>
      <c r="J51" s="415">
        <v>0.256191862085</v>
      </c>
      <c r="K51" s="418">
        <v>1.603588139987</v>
      </c>
    </row>
    <row r="52" spans="1:11" ht="14.45" customHeight="1" thickBot="1" x14ac:dyDescent="0.25">
      <c r="A52" s="436" t="s">
        <v>289</v>
      </c>
      <c r="B52" s="414">
        <v>0</v>
      </c>
      <c r="C52" s="414">
        <v>0</v>
      </c>
      <c r="D52" s="415">
        <v>0</v>
      </c>
      <c r="E52" s="416">
        <v>1</v>
      </c>
      <c r="F52" s="414">
        <v>0.42444813791399999</v>
      </c>
      <c r="G52" s="415">
        <v>0.42444813791399999</v>
      </c>
      <c r="H52" s="417">
        <v>0</v>
      </c>
      <c r="I52" s="414">
        <v>0.68064000000000002</v>
      </c>
      <c r="J52" s="415">
        <v>0.256191862085</v>
      </c>
      <c r="K52" s="418">
        <v>1.603588139987</v>
      </c>
    </row>
    <row r="53" spans="1:11" ht="14.45" customHeight="1" thickBot="1" x14ac:dyDescent="0.25">
      <c r="A53" s="436" t="s">
        <v>290</v>
      </c>
      <c r="B53" s="414">
        <v>0.39765726080000002</v>
      </c>
      <c r="C53" s="414">
        <v>1.4679199999999999</v>
      </c>
      <c r="D53" s="415">
        <v>1.0702627391990001</v>
      </c>
      <c r="E53" s="416">
        <v>3.6914200863470001</v>
      </c>
      <c r="F53" s="414">
        <v>0</v>
      </c>
      <c r="G53" s="415">
        <v>0</v>
      </c>
      <c r="H53" s="417">
        <v>0</v>
      </c>
      <c r="I53" s="414">
        <v>0</v>
      </c>
      <c r="J53" s="415">
        <v>0</v>
      </c>
      <c r="K53" s="424" t="s">
        <v>242</v>
      </c>
    </row>
    <row r="54" spans="1:11" ht="14.45" customHeight="1" thickBot="1" x14ac:dyDescent="0.25">
      <c r="A54" s="435" t="s">
        <v>291</v>
      </c>
      <c r="B54" s="419">
        <v>59.303764463341999</v>
      </c>
      <c r="C54" s="419">
        <v>95.451859999999996</v>
      </c>
      <c r="D54" s="420">
        <v>36.148095536657003</v>
      </c>
      <c r="E54" s="421">
        <v>1.609541331208</v>
      </c>
      <c r="F54" s="419">
        <v>117.424929707209</v>
      </c>
      <c r="G54" s="420">
        <v>117.424929707209</v>
      </c>
      <c r="H54" s="422">
        <v>8.4213100000000001</v>
      </c>
      <c r="I54" s="419">
        <v>115.03567</v>
      </c>
      <c r="J54" s="420">
        <v>-2.3892597072089998</v>
      </c>
      <c r="K54" s="423">
        <v>0.97965287513300003</v>
      </c>
    </row>
    <row r="55" spans="1:11" ht="14.45" customHeight="1" thickBot="1" x14ac:dyDescent="0.25">
      <c r="A55" s="436" t="s">
        <v>292</v>
      </c>
      <c r="B55" s="414">
        <v>24.835623740237999</v>
      </c>
      <c r="C55" s="414">
        <v>39.414760000000001</v>
      </c>
      <c r="D55" s="415">
        <v>14.579136259761</v>
      </c>
      <c r="E55" s="416">
        <v>1.5870251704659999</v>
      </c>
      <c r="F55" s="414">
        <v>0</v>
      </c>
      <c r="G55" s="415">
        <v>0</v>
      </c>
      <c r="H55" s="417">
        <v>0</v>
      </c>
      <c r="I55" s="414">
        <v>0</v>
      </c>
      <c r="J55" s="415">
        <v>0</v>
      </c>
      <c r="K55" s="424" t="s">
        <v>242</v>
      </c>
    </row>
    <row r="56" spans="1:11" ht="14.45" customHeight="1" thickBot="1" x14ac:dyDescent="0.25">
      <c r="A56" s="436" t="s">
        <v>293</v>
      </c>
      <c r="B56" s="414">
        <v>34.468140723104</v>
      </c>
      <c r="C56" s="414">
        <v>56.037100000000002</v>
      </c>
      <c r="D56" s="415">
        <v>21.568959276895001</v>
      </c>
      <c r="E56" s="416">
        <v>1.6257650927609999</v>
      </c>
      <c r="F56" s="414">
        <v>117.424929707209</v>
      </c>
      <c r="G56" s="415">
        <v>117.424929707209</v>
      </c>
      <c r="H56" s="417">
        <v>8.4213100000000001</v>
      </c>
      <c r="I56" s="414">
        <v>115.03567</v>
      </c>
      <c r="J56" s="415">
        <v>-2.3892597072089998</v>
      </c>
      <c r="K56" s="418">
        <v>0.97965287513300003</v>
      </c>
    </row>
    <row r="57" spans="1:11" ht="14.45" customHeight="1" thickBot="1" x14ac:dyDescent="0.25">
      <c r="A57" s="435" t="s">
        <v>294</v>
      </c>
      <c r="B57" s="419">
        <v>0</v>
      </c>
      <c r="C57" s="419">
        <v>2.3879299999999999</v>
      </c>
      <c r="D57" s="420">
        <v>2.3879299999999999</v>
      </c>
      <c r="E57" s="427" t="s">
        <v>242</v>
      </c>
      <c r="F57" s="419">
        <v>0</v>
      </c>
      <c r="G57" s="420">
        <v>0</v>
      </c>
      <c r="H57" s="422">
        <v>7.8450000000000006E-2</v>
      </c>
      <c r="I57" s="419">
        <v>4.9426199999999998</v>
      </c>
      <c r="J57" s="420">
        <v>4.9426199999999998</v>
      </c>
      <c r="K57" s="425" t="s">
        <v>242</v>
      </c>
    </row>
    <row r="58" spans="1:11" ht="14.45" customHeight="1" thickBot="1" x14ac:dyDescent="0.25">
      <c r="A58" s="436" t="s">
        <v>295</v>
      </c>
      <c r="B58" s="414">
        <v>0</v>
      </c>
      <c r="C58" s="414">
        <v>1.03813</v>
      </c>
      <c r="D58" s="415">
        <v>1.03813</v>
      </c>
      <c r="E58" s="426" t="s">
        <v>242</v>
      </c>
      <c r="F58" s="414">
        <v>0</v>
      </c>
      <c r="G58" s="415">
        <v>0</v>
      </c>
      <c r="H58" s="417">
        <v>0</v>
      </c>
      <c r="I58" s="414">
        <v>0</v>
      </c>
      <c r="J58" s="415">
        <v>0</v>
      </c>
      <c r="K58" s="424" t="s">
        <v>242</v>
      </c>
    </row>
    <row r="59" spans="1:11" ht="14.45" customHeight="1" thickBot="1" x14ac:dyDescent="0.25">
      <c r="A59" s="436" t="s">
        <v>296</v>
      </c>
      <c r="B59" s="414">
        <v>0</v>
      </c>
      <c r="C59" s="414">
        <v>1.3498000000000001</v>
      </c>
      <c r="D59" s="415">
        <v>1.3498000000000001</v>
      </c>
      <c r="E59" s="426" t="s">
        <v>242</v>
      </c>
      <c r="F59" s="414">
        <v>0</v>
      </c>
      <c r="G59" s="415">
        <v>0</v>
      </c>
      <c r="H59" s="417">
        <v>7.8450000000000006E-2</v>
      </c>
      <c r="I59" s="414">
        <v>4.9426199999999998</v>
      </c>
      <c r="J59" s="415">
        <v>4.9426199999999998</v>
      </c>
      <c r="K59" s="424" t="s">
        <v>242</v>
      </c>
    </row>
    <row r="60" spans="1:11" ht="14.45" customHeight="1" thickBot="1" x14ac:dyDescent="0.25">
      <c r="A60" s="433" t="s">
        <v>297</v>
      </c>
      <c r="B60" s="414">
        <v>0</v>
      </c>
      <c r="C60" s="414">
        <v>27.89255</v>
      </c>
      <c r="D60" s="415">
        <v>27.89255</v>
      </c>
      <c r="E60" s="426" t="s">
        <v>242</v>
      </c>
      <c r="F60" s="414">
        <v>0</v>
      </c>
      <c r="G60" s="415">
        <v>0</v>
      </c>
      <c r="H60" s="417">
        <v>7.5</v>
      </c>
      <c r="I60" s="414">
        <v>7.5</v>
      </c>
      <c r="J60" s="415">
        <v>7.5</v>
      </c>
      <c r="K60" s="424" t="s">
        <v>242</v>
      </c>
    </row>
    <row r="61" spans="1:11" ht="14.45" customHeight="1" thickBot="1" x14ac:dyDescent="0.25">
      <c r="A61" s="434" t="s">
        <v>298</v>
      </c>
      <c r="B61" s="414">
        <v>0</v>
      </c>
      <c r="C61" s="414">
        <v>25</v>
      </c>
      <c r="D61" s="415">
        <v>25</v>
      </c>
      <c r="E61" s="426" t="s">
        <v>242</v>
      </c>
      <c r="F61" s="414">
        <v>0</v>
      </c>
      <c r="G61" s="415">
        <v>0</v>
      </c>
      <c r="H61" s="417">
        <v>7.5</v>
      </c>
      <c r="I61" s="414">
        <v>7.5</v>
      </c>
      <c r="J61" s="415">
        <v>7.5</v>
      </c>
      <c r="K61" s="424" t="s">
        <v>242</v>
      </c>
    </row>
    <row r="62" spans="1:11" ht="14.45" customHeight="1" thickBot="1" x14ac:dyDescent="0.25">
      <c r="A62" s="435" t="s">
        <v>299</v>
      </c>
      <c r="B62" s="419">
        <v>0</v>
      </c>
      <c r="C62" s="419">
        <v>25</v>
      </c>
      <c r="D62" s="420">
        <v>25</v>
      </c>
      <c r="E62" s="427" t="s">
        <v>242</v>
      </c>
      <c r="F62" s="419">
        <v>0</v>
      </c>
      <c r="G62" s="420">
        <v>0</v>
      </c>
      <c r="H62" s="422">
        <v>7.5</v>
      </c>
      <c r="I62" s="419">
        <v>7.5</v>
      </c>
      <c r="J62" s="420">
        <v>7.5</v>
      </c>
      <c r="K62" s="425" t="s">
        <v>242</v>
      </c>
    </row>
    <row r="63" spans="1:11" ht="14.45" customHeight="1" thickBot="1" x14ac:dyDescent="0.25">
      <c r="A63" s="436" t="s">
        <v>300</v>
      </c>
      <c r="B63" s="414">
        <v>0</v>
      </c>
      <c r="C63" s="414">
        <v>25</v>
      </c>
      <c r="D63" s="415">
        <v>25</v>
      </c>
      <c r="E63" s="426" t="s">
        <v>242</v>
      </c>
      <c r="F63" s="414">
        <v>0</v>
      </c>
      <c r="G63" s="415">
        <v>0</v>
      </c>
      <c r="H63" s="417">
        <v>7.5</v>
      </c>
      <c r="I63" s="414">
        <v>7.5</v>
      </c>
      <c r="J63" s="415">
        <v>7.5</v>
      </c>
      <c r="K63" s="424" t="s">
        <v>242</v>
      </c>
    </row>
    <row r="64" spans="1:11" ht="14.45" customHeight="1" thickBot="1" x14ac:dyDescent="0.25">
      <c r="A64" s="438" t="s">
        <v>301</v>
      </c>
      <c r="B64" s="419">
        <v>0</v>
      </c>
      <c r="C64" s="419">
        <v>2.89255</v>
      </c>
      <c r="D64" s="420">
        <v>2.89255</v>
      </c>
      <c r="E64" s="427" t="s">
        <v>242</v>
      </c>
      <c r="F64" s="419">
        <v>0</v>
      </c>
      <c r="G64" s="420">
        <v>0</v>
      </c>
      <c r="H64" s="422">
        <v>0</v>
      </c>
      <c r="I64" s="419">
        <v>0</v>
      </c>
      <c r="J64" s="420">
        <v>0</v>
      </c>
      <c r="K64" s="425" t="s">
        <v>242</v>
      </c>
    </row>
    <row r="65" spans="1:11" ht="14.45" customHeight="1" thickBot="1" x14ac:dyDescent="0.25">
      <c r="A65" s="435" t="s">
        <v>302</v>
      </c>
      <c r="B65" s="419">
        <v>0</v>
      </c>
      <c r="C65" s="419">
        <v>-5.0000000000000002E-5</v>
      </c>
      <c r="D65" s="420">
        <v>-5.0000000000000002E-5</v>
      </c>
      <c r="E65" s="427" t="s">
        <v>242</v>
      </c>
      <c r="F65" s="419">
        <v>0</v>
      </c>
      <c r="G65" s="420">
        <v>0</v>
      </c>
      <c r="H65" s="422">
        <v>0</v>
      </c>
      <c r="I65" s="419">
        <v>0</v>
      </c>
      <c r="J65" s="420">
        <v>0</v>
      </c>
      <c r="K65" s="425" t="s">
        <v>242</v>
      </c>
    </row>
    <row r="66" spans="1:11" ht="14.45" customHeight="1" thickBot="1" x14ac:dyDescent="0.25">
      <c r="A66" s="436" t="s">
        <v>303</v>
      </c>
      <c r="B66" s="414">
        <v>0</v>
      </c>
      <c r="C66" s="414">
        <v>-5.0000000000000002E-5</v>
      </c>
      <c r="D66" s="415">
        <v>-5.0000000000000002E-5</v>
      </c>
      <c r="E66" s="426" t="s">
        <v>243</v>
      </c>
      <c r="F66" s="414">
        <v>0</v>
      </c>
      <c r="G66" s="415">
        <v>0</v>
      </c>
      <c r="H66" s="417">
        <v>0</v>
      </c>
      <c r="I66" s="414">
        <v>0</v>
      </c>
      <c r="J66" s="415">
        <v>0</v>
      </c>
      <c r="K66" s="424" t="s">
        <v>242</v>
      </c>
    </row>
    <row r="67" spans="1:11" ht="14.45" customHeight="1" thickBot="1" x14ac:dyDescent="0.25">
      <c r="A67" s="435" t="s">
        <v>304</v>
      </c>
      <c r="B67" s="419">
        <v>0</v>
      </c>
      <c r="C67" s="419">
        <v>2.8925999999999998</v>
      </c>
      <c r="D67" s="420">
        <v>2.8925999999999998</v>
      </c>
      <c r="E67" s="427" t="s">
        <v>243</v>
      </c>
      <c r="F67" s="419">
        <v>0</v>
      </c>
      <c r="G67" s="420">
        <v>0</v>
      </c>
      <c r="H67" s="422">
        <v>0</v>
      </c>
      <c r="I67" s="419">
        <v>0</v>
      </c>
      <c r="J67" s="420">
        <v>0</v>
      </c>
      <c r="K67" s="425" t="s">
        <v>242</v>
      </c>
    </row>
    <row r="68" spans="1:11" ht="14.45" customHeight="1" thickBot="1" x14ac:dyDescent="0.25">
      <c r="A68" s="436" t="s">
        <v>305</v>
      </c>
      <c r="B68" s="414">
        <v>0</v>
      </c>
      <c r="C68" s="414">
        <v>2.8925999999999998</v>
      </c>
      <c r="D68" s="415">
        <v>2.8925999999999998</v>
      </c>
      <c r="E68" s="426" t="s">
        <v>243</v>
      </c>
      <c r="F68" s="414">
        <v>0</v>
      </c>
      <c r="G68" s="415">
        <v>0</v>
      </c>
      <c r="H68" s="417">
        <v>0</v>
      </c>
      <c r="I68" s="414">
        <v>0</v>
      </c>
      <c r="J68" s="415">
        <v>0</v>
      </c>
      <c r="K68" s="424" t="s">
        <v>242</v>
      </c>
    </row>
    <row r="69" spans="1:11" ht="14.45" customHeight="1" thickBot="1" x14ac:dyDescent="0.25">
      <c r="A69" s="432" t="s">
        <v>306</v>
      </c>
      <c r="B69" s="414">
        <v>305.65539494870097</v>
      </c>
      <c r="C69" s="414">
        <v>316.08514000000002</v>
      </c>
      <c r="D69" s="415">
        <v>10.429745051298999</v>
      </c>
      <c r="E69" s="416">
        <v>1.0341225616280001</v>
      </c>
      <c r="F69" s="414">
        <v>324.41362877600699</v>
      </c>
      <c r="G69" s="415">
        <v>324.41362877600699</v>
      </c>
      <c r="H69" s="417">
        <v>39.677990000000001</v>
      </c>
      <c r="I69" s="414">
        <v>350.95598000000001</v>
      </c>
      <c r="J69" s="415">
        <v>26.542351223992998</v>
      </c>
      <c r="K69" s="418">
        <v>1.08181638769</v>
      </c>
    </row>
    <row r="70" spans="1:11" ht="14.45" customHeight="1" thickBot="1" x14ac:dyDescent="0.25">
      <c r="A70" s="437" t="s">
        <v>307</v>
      </c>
      <c r="B70" s="419">
        <v>305.65539494870097</v>
      </c>
      <c r="C70" s="419">
        <v>316.08514000000002</v>
      </c>
      <c r="D70" s="420">
        <v>10.429745051298999</v>
      </c>
      <c r="E70" s="421">
        <v>1.0341225616280001</v>
      </c>
      <c r="F70" s="419">
        <v>324.41362877600699</v>
      </c>
      <c r="G70" s="420">
        <v>324.41362877600699</v>
      </c>
      <c r="H70" s="422">
        <v>39.677990000000001</v>
      </c>
      <c r="I70" s="419">
        <v>350.95598000000001</v>
      </c>
      <c r="J70" s="420">
        <v>26.542351223992998</v>
      </c>
      <c r="K70" s="423">
        <v>1.08181638769</v>
      </c>
    </row>
    <row r="71" spans="1:11" ht="14.45" customHeight="1" thickBot="1" x14ac:dyDescent="0.25">
      <c r="A71" s="438" t="s">
        <v>51</v>
      </c>
      <c r="B71" s="419">
        <v>305.65539494870097</v>
      </c>
      <c r="C71" s="419">
        <v>316.08514000000002</v>
      </c>
      <c r="D71" s="420">
        <v>10.429745051298999</v>
      </c>
      <c r="E71" s="421">
        <v>1.0341225616280001</v>
      </c>
      <c r="F71" s="419">
        <v>324.41362877600699</v>
      </c>
      <c r="G71" s="420">
        <v>324.41362877600699</v>
      </c>
      <c r="H71" s="422">
        <v>39.677990000000001</v>
      </c>
      <c r="I71" s="419">
        <v>350.95598000000001</v>
      </c>
      <c r="J71" s="420">
        <v>26.542351223992998</v>
      </c>
      <c r="K71" s="423">
        <v>1.08181638769</v>
      </c>
    </row>
    <row r="72" spans="1:11" ht="14.45" customHeight="1" thickBot="1" x14ac:dyDescent="0.25">
      <c r="A72" s="435" t="s">
        <v>308</v>
      </c>
      <c r="B72" s="419">
        <v>133.88959628331199</v>
      </c>
      <c r="C72" s="419">
        <v>112.13939000000001</v>
      </c>
      <c r="D72" s="420">
        <v>-21.750206283312</v>
      </c>
      <c r="E72" s="421">
        <v>0.83755118480299995</v>
      </c>
      <c r="F72" s="419">
        <v>150.56957828616299</v>
      </c>
      <c r="G72" s="420">
        <v>150.56957828616299</v>
      </c>
      <c r="H72" s="422">
        <v>8.4678199999999997</v>
      </c>
      <c r="I72" s="419">
        <v>118.84518</v>
      </c>
      <c r="J72" s="420">
        <v>-31.724398286162</v>
      </c>
      <c r="K72" s="423">
        <v>0.78930406362700001</v>
      </c>
    </row>
    <row r="73" spans="1:11" ht="14.45" customHeight="1" thickBot="1" x14ac:dyDescent="0.25">
      <c r="A73" s="436" t="s">
        <v>309</v>
      </c>
      <c r="B73" s="414">
        <v>133.88959628331199</v>
      </c>
      <c r="C73" s="414">
        <v>112.13939000000001</v>
      </c>
      <c r="D73" s="415">
        <v>-21.750206283312</v>
      </c>
      <c r="E73" s="416">
        <v>0.83755118480299995</v>
      </c>
      <c r="F73" s="414">
        <v>150.56957828616299</v>
      </c>
      <c r="G73" s="415">
        <v>150.56957828616299</v>
      </c>
      <c r="H73" s="417">
        <v>8.4678199999999997</v>
      </c>
      <c r="I73" s="414">
        <v>118.84518</v>
      </c>
      <c r="J73" s="415">
        <v>-31.724398286162</v>
      </c>
      <c r="K73" s="418">
        <v>0.78930406362700001</v>
      </c>
    </row>
    <row r="74" spans="1:11" ht="14.45" customHeight="1" thickBot="1" x14ac:dyDescent="0.25">
      <c r="A74" s="435" t="s">
        <v>310</v>
      </c>
      <c r="B74" s="419">
        <v>171.76579866538799</v>
      </c>
      <c r="C74" s="419">
        <v>203.94575</v>
      </c>
      <c r="D74" s="420">
        <v>32.179951334610998</v>
      </c>
      <c r="E74" s="421">
        <v>1.187347839818</v>
      </c>
      <c r="F74" s="419">
        <v>173.84405048984399</v>
      </c>
      <c r="G74" s="420">
        <v>173.84405048984399</v>
      </c>
      <c r="H74" s="422">
        <v>31.210170000000002</v>
      </c>
      <c r="I74" s="419">
        <v>232.11080000000001</v>
      </c>
      <c r="J74" s="420">
        <v>58.266749510155996</v>
      </c>
      <c r="K74" s="423">
        <v>1.335166773588</v>
      </c>
    </row>
    <row r="75" spans="1:11" ht="14.45" customHeight="1" thickBot="1" x14ac:dyDescent="0.25">
      <c r="A75" s="436" t="s">
        <v>311</v>
      </c>
      <c r="B75" s="414">
        <v>171.76579866538799</v>
      </c>
      <c r="C75" s="414">
        <v>203.94575</v>
      </c>
      <c r="D75" s="415">
        <v>32.179951334610998</v>
      </c>
      <c r="E75" s="416">
        <v>1.187347839818</v>
      </c>
      <c r="F75" s="414">
        <v>173.84405048984399</v>
      </c>
      <c r="G75" s="415">
        <v>173.84405048984399</v>
      </c>
      <c r="H75" s="417">
        <v>31.210170000000002</v>
      </c>
      <c r="I75" s="414">
        <v>232.11080000000001</v>
      </c>
      <c r="J75" s="415">
        <v>58.266749510155996</v>
      </c>
      <c r="K75" s="418">
        <v>1.335166773588</v>
      </c>
    </row>
    <row r="76" spans="1:11" ht="14.45" customHeight="1" thickBot="1" x14ac:dyDescent="0.25">
      <c r="A76" s="440"/>
      <c r="B76" s="414">
        <v>-2171.9284161892101</v>
      </c>
      <c r="C76" s="414">
        <v>-2162.3303599999999</v>
      </c>
      <c r="D76" s="415">
        <v>9.5980561892090002</v>
      </c>
      <c r="E76" s="416">
        <v>0.99558085979300004</v>
      </c>
      <c r="F76" s="414">
        <v>-2138.6630133151798</v>
      </c>
      <c r="G76" s="415">
        <v>-2138.6630133151798</v>
      </c>
      <c r="H76" s="417">
        <v>-367.94673</v>
      </c>
      <c r="I76" s="414">
        <v>-2527.61976</v>
      </c>
      <c r="J76" s="415">
        <v>-388.95674668481502</v>
      </c>
      <c r="K76" s="418">
        <v>1.181869113676</v>
      </c>
    </row>
    <row r="77" spans="1:11" ht="14.45" customHeight="1" thickBot="1" x14ac:dyDescent="0.25">
      <c r="A77" s="441" t="s">
        <v>63</v>
      </c>
      <c r="B77" s="428">
        <v>-2171.9284161892101</v>
      </c>
      <c r="C77" s="428">
        <v>-2162.3303599999999</v>
      </c>
      <c r="D77" s="429">
        <v>9.5980561892090002</v>
      </c>
      <c r="E77" s="430">
        <v>5.5273698491999999E-2</v>
      </c>
      <c r="F77" s="428">
        <v>-2138.6630133151798</v>
      </c>
      <c r="G77" s="429">
        <v>-2138.6630133151798</v>
      </c>
      <c r="H77" s="428">
        <v>-367.94673</v>
      </c>
      <c r="I77" s="428">
        <v>-2527.61976</v>
      </c>
      <c r="J77" s="429">
        <v>-388.95674668481502</v>
      </c>
      <c r="K77" s="431">
        <v>1.181869113676</v>
      </c>
    </row>
  </sheetData>
  <autoFilter ref="A5" xr:uid="{00000000-0009-0000-0000-000006000000}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 xr:uid="{35C5AD1A-C669-4FFB-B887-0552FBF5F0AB}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List11">
    <tabColor theme="0" tint="-0.249977111117893"/>
    <pageSetUpPr fitToPage="1"/>
  </sheetPr>
  <dimension ref="A1:N18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ColWidth="8.85546875" defaultRowHeight="14.45" customHeight="1" x14ac:dyDescent="0.2"/>
  <cols>
    <col min="1" max="1" width="9.28515625" style="126" customWidth="1"/>
    <col min="2" max="2" width="34.28515625" style="126" customWidth="1"/>
    <col min="3" max="3" width="11.140625" style="126" bestFit="1" customWidth="1"/>
    <col min="4" max="4" width="7.28515625" style="126" bestFit="1" customWidth="1"/>
    <col min="5" max="5" width="11.140625" style="126" bestFit="1" customWidth="1"/>
    <col min="6" max="6" width="5.28515625" style="126" customWidth="1"/>
    <col min="7" max="7" width="7.28515625" style="126" bestFit="1" customWidth="1"/>
    <col min="8" max="8" width="5.28515625" style="126" customWidth="1"/>
    <col min="9" max="9" width="11.140625" style="126" customWidth="1"/>
    <col min="10" max="10" width="5.28515625" style="126" customWidth="1"/>
    <col min="11" max="11" width="7.28515625" style="126" customWidth="1"/>
    <col min="12" max="12" width="5.28515625" style="126" customWidth="1"/>
    <col min="13" max="13" width="0" style="126" hidden="1" customWidth="1"/>
    <col min="14" max="16384" width="8.85546875" style="126"/>
  </cols>
  <sheetData>
    <row r="1" spans="1:14" ht="18.600000000000001" customHeight="1" thickBot="1" x14ac:dyDescent="0.35">
      <c r="A1" s="328" t="s">
        <v>129</v>
      </c>
      <c r="B1" s="328"/>
      <c r="C1" s="328"/>
      <c r="D1" s="328"/>
      <c r="E1" s="328"/>
      <c r="F1" s="328"/>
      <c r="G1" s="328"/>
      <c r="H1" s="328"/>
      <c r="I1" s="299"/>
      <c r="J1" s="299"/>
      <c r="K1" s="299"/>
      <c r="L1" s="299"/>
    </row>
    <row r="2" spans="1:14" ht="14.45" customHeight="1" thickBot="1" x14ac:dyDescent="0.25">
      <c r="A2" s="413" t="s">
        <v>241</v>
      </c>
      <c r="B2" s="202"/>
      <c r="C2" s="202"/>
      <c r="D2" s="202"/>
      <c r="E2" s="202"/>
      <c r="F2" s="202"/>
      <c r="G2" s="202"/>
      <c r="H2" s="202"/>
    </row>
    <row r="3" spans="1:14" ht="14.45" customHeight="1" thickBot="1" x14ac:dyDescent="0.25">
      <c r="A3" s="139"/>
      <c r="B3" s="139"/>
      <c r="C3" s="339" t="s">
        <v>12</v>
      </c>
      <c r="D3" s="338"/>
      <c r="E3" s="338" t="s">
        <v>13</v>
      </c>
      <c r="F3" s="338"/>
      <c r="G3" s="338"/>
      <c r="H3" s="338"/>
      <c r="I3" s="338" t="s">
        <v>134</v>
      </c>
      <c r="J3" s="338"/>
      <c r="K3" s="338"/>
      <c r="L3" s="340"/>
    </row>
    <row r="4" spans="1:14" ht="14.45" customHeight="1" thickBot="1" x14ac:dyDescent="0.25">
      <c r="A4" s="80" t="s">
        <v>14</v>
      </c>
      <c r="B4" s="81" t="s">
        <v>15</v>
      </c>
      <c r="C4" s="82" t="s">
        <v>16</v>
      </c>
      <c r="D4" s="82" t="s">
        <v>17</v>
      </c>
      <c r="E4" s="82" t="s">
        <v>16</v>
      </c>
      <c r="F4" s="82" t="s">
        <v>2</v>
      </c>
      <c r="G4" s="82" t="s">
        <v>17</v>
      </c>
      <c r="H4" s="82" t="s">
        <v>2</v>
      </c>
      <c r="I4" s="82" t="s">
        <v>16</v>
      </c>
      <c r="J4" s="82" t="s">
        <v>2</v>
      </c>
      <c r="K4" s="82" t="s">
        <v>17</v>
      </c>
      <c r="L4" s="83" t="s">
        <v>2</v>
      </c>
    </row>
    <row r="5" spans="1:14" ht="14.45" customHeight="1" x14ac:dyDescent="0.2">
      <c r="A5" s="442">
        <v>43</v>
      </c>
      <c r="B5" s="443" t="s">
        <v>312</v>
      </c>
      <c r="C5" s="444">
        <v>2555.0199999999995</v>
      </c>
      <c r="D5" s="444">
        <v>16</v>
      </c>
      <c r="E5" s="444">
        <v>1838.4999999999998</v>
      </c>
      <c r="F5" s="445">
        <v>0.71956383903061427</v>
      </c>
      <c r="G5" s="444">
        <v>13</v>
      </c>
      <c r="H5" s="445">
        <v>0.8125</v>
      </c>
      <c r="I5" s="444">
        <v>716.52</v>
      </c>
      <c r="J5" s="445">
        <v>0.28043616096938578</v>
      </c>
      <c r="K5" s="444">
        <v>3</v>
      </c>
      <c r="L5" s="445">
        <v>0.1875</v>
      </c>
      <c r="M5" s="444" t="s">
        <v>65</v>
      </c>
      <c r="N5" s="146"/>
    </row>
    <row r="6" spans="1:14" ht="14.45" customHeight="1" x14ac:dyDescent="0.2">
      <c r="A6" s="442">
        <v>43</v>
      </c>
      <c r="B6" s="443" t="s">
        <v>313</v>
      </c>
      <c r="C6" s="444">
        <v>2555.0199999999995</v>
      </c>
      <c r="D6" s="444">
        <v>15</v>
      </c>
      <c r="E6" s="444">
        <v>1838.4999999999998</v>
      </c>
      <c r="F6" s="445">
        <v>0.71956383903061427</v>
      </c>
      <c r="G6" s="444">
        <v>12</v>
      </c>
      <c r="H6" s="445">
        <v>0.8</v>
      </c>
      <c r="I6" s="444">
        <v>716.52</v>
      </c>
      <c r="J6" s="445">
        <v>0.28043616096938578</v>
      </c>
      <c r="K6" s="444">
        <v>3</v>
      </c>
      <c r="L6" s="445">
        <v>0.2</v>
      </c>
      <c r="M6" s="444" t="s">
        <v>1</v>
      </c>
      <c r="N6" s="146"/>
    </row>
    <row r="7" spans="1:14" ht="14.45" customHeight="1" x14ac:dyDescent="0.2">
      <c r="A7" s="442">
        <v>43</v>
      </c>
      <c r="B7" s="443" t="s">
        <v>314</v>
      </c>
      <c r="C7" s="444">
        <v>0</v>
      </c>
      <c r="D7" s="444">
        <v>1</v>
      </c>
      <c r="E7" s="444">
        <v>0</v>
      </c>
      <c r="F7" s="445" t="s">
        <v>315</v>
      </c>
      <c r="G7" s="444">
        <v>1</v>
      </c>
      <c r="H7" s="445">
        <v>1</v>
      </c>
      <c r="I7" s="444" t="s">
        <v>315</v>
      </c>
      <c r="J7" s="445" t="s">
        <v>315</v>
      </c>
      <c r="K7" s="444" t="s">
        <v>315</v>
      </c>
      <c r="L7" s="445">
        <v>0</v>
      </c>
      <c r="M7" s="444" t="s">
        <v>1</v>
      </c>
      <c r="N7" s="146"/>
    </row>
    <row r="8" spans="1:14" ht="14.45" customHeight="1" x14ac:dyDescent="0.2">
      <c r="A8" s="442" t="s">
        <v>316</v>
      </c>
      <c r="B8" s="443" t="s">
        <v>3</v>
      </c>
      <c r="C8" s="444">
        <v>2555.0199999999995</v>
      </c>
      <c r="D8" s="444">
        <v>16</v>
      </c>
      <c r="E8" s="444">
        <v>1838.4999999999998</v>
      </c>
      <c r="F8" s="445">
        <v>0.71956383903061427</v>
      </c>
      <c r="G8" s="444">
        <v>13</v>
      </c>
      <c r="H8" s="445">
        <v>0.8125</v>
      </c>
      <c r="I8" s="444">
        <v>716.52</v>
      </c>
      <c r="J8" s="445">
        <v>0.28043616096938578</v>
      </c>
      <c r="K8" s="444">
        <v>3</v>
      </c>
      <c r="L8" s="445">
        <v>0.1875</v>
      </c>
      <c r="M8" s="444" t="s">
        <v>317</v>
      </c>
      <c r="N8" s="146"/>
    </row>
    <row r="10" spans="1:14" ht="14.45" customHeight="1" x14ac:dyDescent="0.2">
      <c r="A10" s="442">
        <v>43</v>
      </c>
      <c r="B10" s="443" t="s">
        <v>312</v>
      </c>
      <c r="C10" s="444" t="s">
        <v>315</v>
      </c>
      <c r="D10" s="444" t="s">
        <v>315</v>
      </c>
      <c r="E10" s="444" t="s">
        <v>315</v>
      </c>
      <c r="F10" s="445" t="s">
        <v>315</v>
      </c>
      <c r="G10" s="444" t="s">
        <v>315</v>
      </c>
      <c r="H10" s="445" t="s">
        <v>315</v>
      </c>
      <c r="I10" s="444" t="s">
        <v>315</v>
      </c>
      <c r="J10" s="445" t="s">
        <v>315</v>
      </c>
      <c r="K10" s="444" t="s">
        <v>315</v>
      </c>
      <c r="L10" s="445" t="s">
        <v>315</v>
      </c>
      <c r="M10" s="444" t="s">
        <v>65</v>
      </c>
      <c r="N10" s="146"/>
    </row>
    <row r="11" spans="1:14" ht="14.45" customHeight="1" x14ac:dyDescent="0.2">
      <c r="A11" s="442" t="s">
        <v>318</v>
      </c>
      <c r="B11" s="443" t="s">
        <v>313</v>
      </c>
      <c r="C11" s="444">
        <v>2555.0199999999995</v>
      </c>
      <c r="D11" s="444">
        <v>15</v>
      </c>
      <c r="E11" s="444">
        <v>1838.4999999999998</v>
      </c>
      <c r="F11" s="445">
        <v>0.71956383903061427</v>
      </c>
      <c r="G11" s="444">
        <v>12</v>
      </c>
      <c r="H11" s="445">
        <v>0.8</v>
      </c>
      <c r="I11" s="444">
        <v>716.52</v>
      </c>
      <c r="J11" s="445">
        <v>0.28043616096938578</v>
      </c>
      <c r="K11" s="444">
        <v>3</v>
      </c>
      <c r="L11" s="445">
        <v>0.2</v>
      </c>
      <c r="M11" s="444" t="s">
        <v>1</v>
      </c>
      <c r="N11" s="146"/>
    </row>
    <row r="12" spans="1:14" ht="14.45" customHeight="1" x14ac:dyDescent="0.2">
      <c r="A12" s="442" t="s">
        <v>318</v>
      </c>
      <c r="B12" s="443" t="s">
        <v>314</v>
      </c>
      <c r="C12" s="444">
        <v>0</v>
      </c>
      <c r="D12" s="444">
        <v>1</v>
      </c>
      <c r="E12" s="444">
        <v>0</v>
      </c>
      <c r="F12" s="445" t="s">
        <v>315</v>
      </c>
      <c r="G12" s="444">
        <v>1</v>
      </c>
      <c r="H12" s="445">
        <v>1</v>
      </c>
      <c r="I12" s="444" t="s">
        <v>315</v>
      </c>
      <c r="J12" s="445" t="s">
        <v>315</v>
      </c>
      <c r="K12" s="444" t="s">
        <v>315</v>
      </c>
      <c r="L12" s="445">
        <v>0</v>
      </c>
      <c r="M12" s="444" t="s">
        <v>1</v>
      </c>
      <c r="N12" s="146"/>
    </row>
    <row r="13" spans="1:14" ht="14.45" customHeight="1" x14ac:dyDescent="0.2">
      <c r="A13" s="442" t="s">
        <v>318</v>
      </c>
      <c r="B13" s="443" t="s">
        <v>319</v>
      </c>
      <c r="C13" s="444">
        <v>2555.0199999999995</v>
      </c>
      <c r="D13" s="444">
        <v>16</v>
      </c>
      <c r="E13" s="444">
        <v>1838.4999999999998</v>
      </c>
      <c r="F13" s="445">
        <v>0.71956383903061427</v>
      </c>
      <c r="G13" s="444">
        <v>13</v>
      </c>
      <c r="H13" s="445">
        <v>0.8125</v>
      </c>
      <c r="I13" s="444">
        <v>716.52</v>
      </c>
      <c r="J13" s="445">
        <v>0.28043616096938578</v>
      </c>
      <c r="K13" s="444">
        <v>3</v>
      </c>
      <c r="L13" s="445">
        <v>0.1875</v>
      </c>
      <c r="M13" s="444" t="s">
        <v>320</v>
      </c>
      <c r="N13" s="146"/>
    </row>
    <row r="14" spans="1:14" ht="14.45" customHeight="1" x14ac:dyDescent="0.2">
      <c r="A14" s="442" t="s">
        <v>315</v>
      </c>
      <c r="B14" s="443" t="s">
        <v>315</v>
      </c>
      <c r="C14" s="444" t="s">
        <v>315</v>
      </c>
      <c r="D14" s="444" t="s">
        <v>315</v>
      </c>
      <c r="E14" s="444" t="s">
        <v>315</v>
      </c>
      <c r="F14" s="445" t="s">
        <v>315</v>
      </c>
      <c r="G14" s="444" t="s">
        <v>315</v>
      </c>
      <c r="H14" s="445" t="s">
        <v>315</v>
      </c>
      <c r="I14" s="444" t="s">
        <v>315</v>
      </c>
      <c r="J14" s="445" t="s">
        <v>315</v>
      </c>
      <c r="K14" s="444" t="s">
        <v>315</v>
      </c>
      <c r="L14" s="445" t="s">
        <v>315</v>
      </c>
      <c r="M14" s="444" t="s">
        <v>321</v>
      </c>
      <c r="N14" s="146"/>
    </row>
    <row r="15" spans="1:14" ht="14.45" customHeight="1" x14ac:dyDescent="0.2">
      <c r="A15" s="442" t="s">
        <v>316</v>
      </c>
      <c r="B15" s="443" t="s">
        <v>322</v>
      </c>
      <c r="C15" s="444">
        <v>2555.0199999999995</v>
      </c>
      <c r="D15" s="444">
        <v>16</v>
      </c>
      <c r="E15" s="444">
        <v>1838.4999999999998</v>
      </c>
      <c r="F15" s="445">
        <v>0.71956383903061427</v>
      </c>
      <c r="G15" s="444">
        <v>13</v>
      </c>
      <c r="H15" s="445">
        <v>0.8125</v>
      </c>
      <c r="I15" s="444">
        <v>716.52</v>
      </c>
      <c r="J15" s="445">
        <v>0.28043616096938578</v>
      </c>
      <c r="K15" s="444">
        <v>3</v>
      </c>
      <c r="L15" s="445">
        <v>0.1875</v>
      </c>
      <c r="M15" s="444" t="s">
        <v>317</v>
      </c>
      <c r="N15" s="146"/>
    </row>
    <row r="16" spans="1:14" ht="14.45" customHeight="1" x14ac:dyDescent="0.2">
      <c r="A16" s="446" t="s">
        <v>218</v>
      </c>
    </row>
    <row r="17" spans="1:1" ht="14.45" customHeight="1" x14ac:dyDescent="0.2">
      <c r="A17" s="447" t="s">
        <v>323</v>
      </c>
    </row>
    <row r="18" spans="1:1" ht="14.45" customHeight="1" x14ac:dyDescent="0.2">
      <c r="A18" s="446" t="s">
        <v>324</v>
      </c>
    </row>
  </sheetData>
  <autoFilter ref="A4:M4" xr:uid="{00000000-0009-0000-0000-000010000000}"/>
  <mergeCells count="4">
    <mergeCell ref="E3:H3"/>
    <mergeCell ref="C3:D3"/>
    <mergeCell ref="I3:L3"/>
    <mergeCell ref="A1:L1"/>
  </mergeCells>
  <conditionalFormatting sqref="F4 F9 F16:F1048576">
    <cfRule type="cellIs" dxfId="19" priority="15" stopIfTrue="1" operator="lessThan">
      <formula>0.6</formula>
    </cfRule>
  </conditionalFormatting>
  <conditionalFormatting sqref="B5:B8">
    <cfRule type="expression" dxfId="18" priority="10">
      <formula>AND(LEFT(M5,6)&lt;&gt;"mezera",M5&lt;&gt;"")</formula>
    </cfRule>
  </conditionalFormatting>
  <conditionalFormatting sqref="A5:A8">
    <cfRule type="expression" dxfId="17" priority="8">
      <formula>AND(M5&lt;&gt;"",M5&lt;&gt;"mezeraKL")</formula>
    </cfRule>
  </conditionalFormatting>
  <conditionalFormatting sqref="F5:F8">
    <cfRule type="cellIs" dxfId="16" priority="7" operator="lessThan">
      <formula>0.6</formula>
    </cfRule>
  </conditionalFormatting>
  <conditionalFormatting sqref="B5:L8">
    <cfRule type="expression" dxfId="15" priority="9">
      <formula>OR($M5="KL",$M5="SumaKL")</formula>
    </cfRule>
    <cfRule type="expression" dxfId="14" priority="11">
      <formula>$M5="SumaNS"</formula>
    </cfRule>
  </conditionalFormatting>
  <conditionalFormatting sqref="A5:L8">
    <cfRule type="expression" dxfId="13" priority="12">
      <formula>$M5&lt;&gt;""</formula>
    </cfRule>
  </conditionalFormatting>
  <conditionalFormatting sqref="B10:B15">
    <cfRule type="expression" dxfId="12" priority="4">
      <formula>AND(LEFT(M10,6)&lt;&gt;"mezera",M10&lt;&gt;"")</formula>
    </cfRule>
  </conditionalFormatting>
  <conditionalFormatting sqref="A10:A15">
    <cfRule type="expression" dxfId="11" priority="2">
      <formula>AND(M10&lt;&gt;"",M10&lt;&gt;"mezeraKL")</formula>
    </cfRule>
  </conditionalFormatting>
  <conditionalFormatting sqref="F10:F15">
    <cfRule type="cellIs" dxfId="10" priority="1" operator="lessThan">
      <formula>0.6</formula>
    </cfRule>
  </conditionalFormatting>
  <conditionalFormatting sqref="B10:L15">
    <cfRule type="expression" dxfId="9" priority="3">
      <formula>OR($M10="KL",$M10="SumaKL")</formula>
    </cfRule>
    <cfRule type="expression" dxfId="8" priority="5">
      <formula>$M10="SumaNS"</formula>
    </cfRule>
  </conditionalFormatting>
  <conditionalFormatting sqref="A10:L15">
    <cfRule type="expression" dxfId="7" priority="6">
      <formula>$M10&lt;&gt;""</formula>
    </cfRule>
  </conditionalFormatting>
  <hyperlinks>
    <hyperlink ref="A2" location="Obsah!A1" display="Zpět na Obsah  KL 01  1.-4.měsíc" xr:uid="{4DF0E52F-7276-4C74-AACF-7CC6D6AC3224}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List30">
    <tabColor theme="0" tint="-0.249977111117893"/>
    <pageSetUpPr fitToPage="1"/>
  </sheetPr>
  <dimension ref="A1:M6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ColWidth="8.85546875" defaultRowHeight="14.45" customHeight="1" x14ac:dyDescent="0.2"/>
  <cols>
    <col min="1" max="1" width="30.85546875" style="126" customWidth="1"/>
    <col min="2" max="2" width="11.140625" style="203" bestFit="1" customWidth="1"/>
    <col min="3" max="3" width="11.140625" style="126" hidden="1" customWidth="1"/>
    <col min="4" max="4" width="7.28515625" style="203" bestFit="1" customWidth="1"/>
    <col min="5" max="5" width="7.28515625" style="126" hidden="1" customWidth="1"/>
    <col min="6" max="6" width="11.140625" style="203" bestFit="1" customWidth="1"/>
    <col min="7" max="7" width="5.28515625" style="206" customWidth="1"/>
    <col min="8" max="8" width="7.28515625" style="203" bestFit="1" customWidth="1"/>
    <col min="9" max="9" width="5.28515625" style="206" customWidth="1"/>
    <col min="10" max="10" width="11.140625" style="203" customWidth="1"/>
    <col min="11" max="11" width="5.28515625" style="206" customWidth="1"/>
    <col min="12" max="12" width="7.28515625" style="203" customWidth="1"/>
    <col min="13" max="13" width="5.28515625" style="206" customWidth="1"/>
    <col min="14" max="14" width="0" style="126" hidden="1" customWidth="1"/>
    <col min="15" max="16384" width="8.85546875" style="126"/>
  </cols>
  <sheetData>
    <row r="1" spans="1:13" ht="18.600000000000001" customHeight="1" thickBot="1" x14ac:dyDescent="0.35">
      <c r="A1" s="328" t="s">
        <v>135</v>
      </c>
      <c r="B1" s="328"/>
      <c r="C1" s="328"/>
      <c r="D1" s="328"/>
      <c r="E1" s="328"/>
      <c r="F1" s="328"/>
      <c r="G1" s="328"/>
      <c r="H1" s="328"/>
      <c r="I1" s="328"/>
      <c r="J1" s="299"/>
      <c r="K1" s="299"/>
      <c r="L1" s="299"/>
      <c r="M1" s="299"/>
    </row>
    <row r="2" spans="1:13" ht="14.45" customHeight="1" thickBot="1" x14ac:dyDescent="0.25">
      <c r="A2" s="413" t="s">
        <v>241</v>
      </c>
      <c r="B2" s="207"/>
      <c r="C2" s="202"/>
      <c r="D2" s="207"/>
      <c r="E2" s="202"/>
      <c r="F2" s="207"/>
      <c r="G2" s="208"/>
      <c r="H2" s="207"/>
      <c r="I2" s="208"/>
    </row>
    <row r="3" spans="1:13" ht="14.45" customHeight="1" thickBot="1" x14ac:dyDescent="0.25">
      <c r="A3" s="139"/>
      <c r="B3" s="339" t="s">
        <v>12</v>
      </c>
      <c r="C3" s="341"/>
      <c r="D3" s="338"/>
      <c r="E3" s="138"/>
      <c r="F3" s="338" t="s">
        <v>13</v>
      </c>
      <c r="G3" s="338"/>
      <c r="H3" s="338"/>
      <c r="I3" s="338"/>
      <c r="J3" s="338" t="s">
        <v>134</v>
      </c>
      <c r="K3" s="338"/>
      <c r="L3" s="338"/>
      <c r="M3" s="340"/>
    </row>
    <row r="4" spans="1:13" ht="14.45" customHeight="1" thickBot="1" x14ac:dyDescent="0.25">
      <c r="A4" s="448" t="s">
        <v>127</v>
      </c>
      <c r="B4" s="451" t="s">
        <v>16</v>
      </c>
      <c r="C4" s="452"/>
      <c r="D4" s="451" t="s">
        <v>17</v>
      </c>
      <c r="E4" s="452"/>
      <c r="F4" s="451" t="s">
        <v>16</v>
      </c>
      <c r="G4" s="461" t="s">
        <v>2</v>
      </c>
      <c r="H4" s="451" t="s">
        <v>17</v>
      </c>
      <c r="I4" s="461" t="s">
        <v>2</v>
      </c>
      <c r="J4" s="451" t="s">
        <v>16</v>
      </c>
      <c r="K4" s="461" t="s">
        <v>2</v>
      </c>
      <c r="L4" s="451" t="s">
        <v>17</v>
      </c>
      <c r="M4" s="462" t="s">
        <v>2</v>
      </c>
    </row>
    <row r="5" spans="1:13" ht="14.45" customHeight="1" x14ac:dyDescent="0.2">
      <c r="A5" s="449" t="s">
        <v>325</v>
      </c>
      <c r="B5" s="453">
        <v>456.31</v>
      </c>
      <c r="C5" s="454">
        <v>1</v>
      </c>
      <c r="D5" s="459">
        <v>2</v>
      </c>
      <c r="E5" s="467" t="s">
        <v>325</v>
      </c>
      <c r="F5" s="453">
        <v>279.99</v>
      </c>
      <c r="G5" s="463">
        <v>0.61359602024939186</v>
      </c>
      <c r="H5" s="455">
        <v>1</v>
      </c>
      <c r="I5" s="464">
        <v>0.5</v>
      </c>
      <c r="J5" s="469">
        <v>176.32</v>
      </c>
      <c r="K5" s="463">
        <v>0.38640397975060814</v>
      </c>
      <c r="L5" s="455">
        <v>1</v>
      </c>
      <c r="M5" s="464">
        <v>0.5</v>
      </c>
    </row>
    <row r="6" spans="1:13" ht="14.45" customHeight="1" thickBot="1" x14ac:dyDescent="0.25">
      <c r="A6" s="450" t="s">
        <v>326</v>
      </c>
      <c r="B6" s="456">
        <v>2098.71</v>
      </c>
      <c r="C6" s="457">
        <v>1</v>
      </c>
      <c r="D6" s="460">
        <v>14</v>
      </c>
      <c r="E6" s="468" t="s">
        <v>326</v>
      </c>
      <c r="F6" s="456">
        <v>1558.5099999999998</v>
      </c>
      <c r="G6" s="465">
        <v>0.74260378994715792</v>
      </c>
      <c r="H6" s="458">
        <v>12</v>
      </c>
      <c r="I6" s="466">
        <v>0.8571428571428571</v>
      </c>
      <c r="J6" s="470">
        <v>540.20000000000005</v>
      </c>
      <c r="K6" s="465">
        <v>0.25739621005284202</v>
      </c>
      <c r="L6" s="458">
        <v>2</v>
      </c>
      <c r="M6" s="466">
        <v>0.14285714285714285</v>
      </c>
    </row>
  </sheetData>
  <autoFilter ref="A4:N4" xr:uid="{00000000-0009-0000-0000-000011000000}"/>
  <mergeCells count="4">
    <mergeCell ref="A1:M1"/>
    <mergeCell ref="B3:D3"/>
    <mergeCell ref="F3:I3"/>
    <mergeCell ref="J3:M3"/>
  </mergeCells>
  <conditionalFormatting sqref="G4:G1048576">
    <cfRule type="cellIs" dxfId="6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 xr:uid="{6721BE00-D3B7-4A29-8E1B-38C888534682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List12">
    <tabColor theme="0" tint="-0.249977111117893"/>
    <pageSetUpPr fitToPage="1"/>
  </sheetPr>
  <dimension ref="A1:U22"/>
  <sheetViews>
    <sheetView showGridLines="0" showRowColHeaders="0" topLeftCell="C1" workbookViewId="0">
      <pane ySplit="6" topLeftCell="A7" activePane="bottomLeft" state="frozen"/>
      <selection activeCell="N30" sqref="N30"/>
      <selection pane="bottomLeft" sqref="A1:U1"/>
    </sheetView>
  </sheetViews>
  <sheetFormatPr defaultColWidth="8.85546875" defaultRowHeight="14.45" customHeight="1" outlineLevelCol="1" x14ac:dyDescent="0.2"/>
  <cols>
    <col min="1" max="1" width="9.7109375" style="126" hidden="1" customWidth="1" outlineLevel="1"/>
    <col min="2" max="2" width="28.28515625" style="126" hidden="1" customWidth="1" outlineLevel="1"/>
    <col min="3" max="3" width="9" style="126" customWidth="1" collapsed="1"/>
    <col min="4" max="4" width="18.7109375" style="211" customWidth="1"/>
    <col min="5" max="5" width="13.5703125" style="204" customWidth="1"/>
    <col min="6" max="6" width="6" style="126" bestFit="1" customWidth="1"/>
    <col min="7" max="7" width="8.7109375" style="126" customWidth="1"/>
    <col min="8" max="8" width="5" style="126" bestFit="1" customWidth="1"/>
    <col min="9" max="9" width="8.5703125" style="126" hidden="1" customWidth="1" outlineLevel="1"/>
    <col min="10" max="10" width="25.7109375" style="126" customWidth="1" collapsed="1"/>
    <col min="11" max="11" width="8.7109375" style="126" customWidth="1"/>
    <col min="12" max="12" width="7.7109375" style="205" customWidth="1"/>
    <col min="13" max="13" width="11.140625" style="205" customWidth="1"/>
    <col min="14" max="14" width="7.7109375" style="126" customWidth="1"/>
    <col min="15" max="15" width="7.7109375" style="212" customWidth="1"/>
    <col min="16" max="16" width="11.140625" style="205" customWidth="1"/>
    <col min="17" max="17" width="5.42578125" style="206" bestFit="1" customWidth="1"/>
    <col min="18" max="18" width="7.7109375" style="126" customWidth="1"/>
    <col min="19" max="19" width="5.42578125" style="206" bestFit="1" customWidth="1"/>
    <col min="20" max="20" width="7.7109375" style="212" customWidth="1"/>
    <col min="21" max="21" width="5.42578125" style="206" bestFit="1" customWidth="1"/>
    <col min="22" max="16384" width="8.85546875" style="126"/>
  </cols>
  <sheetData>
    <row r="1" spans="1:21" ht="18.600000000000001" customHeight="1" thickBot="1" x14ac:dyDescent="0.35">
      <c r="A1" s="325" t="s">
        <v>390</v>
      </c>
      <c r="B1" s="299"/>
      <c r="C1" s="299"/>
      <c r="D1" s="299"/>
      <c r="E1" s="299"/>
      <c r="F1" s="299"/>
      <c r="G1" s="299"/>
      <c r="H1" s="299"/>
      <c r="I1" s="299"/>
      <c r="J1" s="299"/>
      <c r="K1" s="299"/>
      <c r="L1" s="299"/>
      <c r="M1" s="299"/>
      <c r="N1" s="299"/>
      <c r="O1" s="299"/>
      <c r="P1" s="299"/>
      <c r="Q1" s="299"/>
      <c r="R1" s="299"/>
      <c r="S1" s="299"/>
      <c r="T1" s="299"/>
      <c r="U1" s="299"/>
    </row>
    <row r="2" spans="1:21" ht="14.45" customHeight="1" thickBot="1" x14ac:dyDescent="0.25">
      <c r="A2" s="413" t="s">
        <v>241</v>
      </c>
      <c r="B2" s="209"/>
      <c r="C2" s="202"/>
      <c r="D2" s="202"/>
      <c r="E2" s="210"/>
      <c r="F2" s="202"/>
      <c r="G2" s="202"/>
      <c r="H2" s="202"/>
      <c r="I2" s="202"/>
      <c r="J2" s="202"/>
      <c r="K2" s="202"/>
      <c r="L2" s="202"/>
      <c r="M2" s="202"/>
      <c r="N2" s="202"/>
      <c r="O2" s="202"/>
      <c r="P2" s="202"/>
      <c r="Q2" s="202"/>
      <c r="R2" s="202"/>
      <c r="S2" s="202"/>
      <c r="T2" s="202"/>
      <c r="U2" s="202"/>
    </row>
    <row r="3" spans="1:21" ht="14.45" customHeight="1" thickBot="1" x14ac:dyDescent="0.25">
      <c r="A3" s="345"/>
      <c r="B3" s="346"/>
      <c r="C3" s="346"/>
      <c r="D3" s="346"/>
      <c r="E3" s="346"/>
      <c r="F3" s="346"/>
      <c r="G3" s="346"/>
      <c r="H3" s="346"/>
      <c r="I3" s="346"/>
      <c r="J3" s="346"/>
      <c r="K3" s="347" t="s">
        <v>120</v>
      </c>
      <c r="L3" s="348"/>
      <c r="M3" s="65">
        <f>SUBTOTAL(9,M7:M1048576)</f>
        <v>2555.02</v>
      </c>
      <c r="N3" s="65">
        <f>SUBTOTAL(9,N7:N1048576)</f>
        <v>19</v>
      </c>
      <c r="O3" s="65">
        <f>SUBTOTAL(9,O7:O1048576)</f>
        <v>16</v>
      </c>
      <c r="P3" s="65">
        <f>SUBTOTAL(9,P7:P1048576)</f>
        <v>1838.4999999999998</v>
      </c>
      <c r="Q3" s="66">
        <f>IF(M3=0,0,P3/M3)</f>
        <v>0.71956383903061416</v>
      </c>
      <c r="R3" s="65">
        <f>SUBTOTAL(9,R7:R1048576)</f>
        <v>16</v>
      </c>
      <c r="S3" s="66">
        <f>IF(N3=0,0,R3/N3)</f>
        <v>0.84210526315789469</v>
      </c>
      <c r="T3" s="65">
        <f>SUBTOTAL(9,T7:T1048576)</f>
        <v>13</v>
      </c>
      <c r="U3" s="67">
        <f>IF(O3=0,0,T3/O3)</f>
        <v>0.8125</v>
      </c>
    </row>
    <row r="4" spans="1:21" ht="14.45" customHeight="1" x14ac:dyDescent="0.2">
      <c r="A4" s="68"/>
      <c r="B4" s="69"/>
      <c r="C4" s="69"/>
      <c r="D4" s="70"/>
      <c r="E4" s="139"/>
      <c r="F4" s="69"/>
      <c r="G4" s="69"/>
      <c r="H4" s="69"/>
      <c r="I4" s="69"/>
      <c r="J4" s="69"/>
      <c r="K4" s="69"/>
      <c r="L4" s="69"/>
      <c r="M4" s="349" t="s">
        <v>12</v>
      </c>
      <c r="N4" s="350"/>
      <c r="O4" s="350"/>
      <c r="P4" s="351" t="s">
        <v>18</v>
      </c>
      <c r="Q4" s="350"/>
      <c r="R4" s="350"/>
      <c r="S4" s="350"/>
      <c r="T4" s="350"/>
      <c r="U4" s="352"/>
    </row>
    <row r="5" spans="1:21" ht="14.45" customHeight="1" thickBot="1" x14ac:dyDescent="0.25">
      <c r="A5" s="71"/>
      <c r="B5" s="72"/>
      <c r="C5" s="69"/>
      <c r="D5" s="70"/>
      <c r="E5" s="139"/>
      <c r="F5" s="69"/>
      <c r="G5" s="69"/>
      <c r="H5" s="69"/>
      <c r="I5" s="69"/>
      <c r="J5" s="69"/>
      <c r="K5" s="69"/>
      <c r="L5" s="69"/>
      <c r="M5" s="84" t="s">
        <v>19</v>
      </c>
      <c r="N5" s="85" t="s">
        <v>10</v>
      </c>
      <c r="O5" s="85" t="s">
        <v>17</v>
      </c>
      <c r="P5" s="342" t="s">
        <v>19</v>
      </c>
      <c r="Q5" s="343"/>
      <c r="R5" s="342" t="s">
        <v>10</v>
      </c>
      <c r="S5" s="343"/>
      <c r="T5" s="342" t="s">
        <v>17</v>
      </c>
      <c r="U5" s="344"/>
    </row>
    <row r="6" spans="1:21" s="204" customFormat="1" ht="14.45" customHeight="1" thickBot="1" x14ac:dyDescent="0.25">
      <c r="A6" s="471" t="s">
        <v>20</v>
      </c>
      <c r="B6" s="472" t="s">
        <v>4</v>
      </c>
      <c r="C6" s="471" t="s">
        <v>21</v>
      </c>
      <c r="D6" s="472" t="s">
        <v>5</v>
      </c>
      <c r="E6" s="472" t="s">
        <v>137</v>
      </c>
      <c r="F6" s="472" t="s">
        <v>22</v>
      </c>
      <c r="G6" s="472" t="s">
        <v>23</v>
      </c>
      <c r="H6" s="472" t="s">
        <v>6</v>
      </c>
      <c r="I6" s="472" t="s">
        <v>7</v>
      </c>
      <c r="J6" s="472" t="s">
        <v>8</v>
      </c>
      <c r="K6" s="472" t="s">
        <v>9</v>
      </c>
      <c r="L6" s="472" t="s">
        <v>24</v>
      </c>
      <c r="M6" s="473" t="s">
        <v>11</v>
      </c>
      <c r="N6" s="474" t="s">
        <v>25</v>
      </c>
      <c r="O6" s="474" t="s">
        <v>25</v>
      </c>
      <c r="P6" s="474" t="s">
        <v>11</v>
      </c>
      <c r="Q6" s="474" t="s">
        <v>2</v>
      </c>
      <c r="R6" s="474" t="s">
        <v>25</v>
      </c>
      <c r="S6" s="474" t="s">
        <v>2</v>
      </c>
      <c r="T6" s="474" t="s">
        <v>25</v>
      </c>
      <c r="U6" s="475" t="s">
        <v>2</v>
      </c>
    </row>
    <row r="7" spans="1:21" ht="14.45" customHeight="1" x14ac:dyDescent="0.2">
      <c r="A7" s="476">
        <v>43</v>
      </c>
      <c r="B7" s="477" t="s">
        <v>312</v>
      </c>
      <c r="C7" s="477" t="s">
        <v>318</v>
      </c>
      <c r="D7" s="478" t="s">
        <v>388</v>
      </c>
      <c r="E7" s="479" t="s">
        <v>326</v>
      </c>
      <c r="F7" s="477" t="s">
        <v>313</v>
      </c>
      <c r="G7" s="477" t="s">
        <v>327</v>
      </c>
      <c r="H7" s="477" t="s">
        <v>389</v>
      </c>
      <c r="I7" s="477" t="s">
        <v>328</v>
      </c>
      <c r="J7" s="477" t="s">
        <v>329</v>
      </c>
      <c r="K7" s="477" t="s">
        <v>330</v>
      </c>
      <c r="L7" s="480">
        <v>96.04</v>
      </c>
      <c r="M7" s="480">
        <v>96.04</v>
      </c>
      <c r="N7" s="477">
        <v>1</v>
      </c>
      <c r="O7" s="481">
        <v>1</v>
      </c>
      <c r="P7" s="480">
        <v>96.04</v>
      </c>
      <c r="Q7" s="482">
        <v>1</v>
      </c>
      <c r="R7" s="477">
        <v>1</v>
      </c>
      <c r="S7" s="482">
        <v>1</v>
      </c>
      <c r="T7" s="481">
        <v>1</v>
      </c>
      <c r="U7" s="119">
        <v>1</v>
      </c>
    </row>
    <row r="8" spans="1:21" ht="14.45" customHeight="1" x14ac:dyDescent="0.2">
      <c r="A8" s="491">
        <v>43</v>
      </c>
      <c r="B8" s="492" t="s">
        <v>312</v>
      </c>
      <c r="C8" s="492" t="s">
        <v>318</v>
      </c>
      <c r="D8" s="493" t="s">
        <v>388</v>
      </c>
      <c r="E8" s="494" t="s">
        <v>326</v>
      </c>
      <c r="F8" s="492" t="s">
        <v>313</v>
      </c>
      <c r="G8" s="492" t="s">
        <v>331</v>
      </c>
      <c r="H8" s="492" t="s">
        <v>389</v>
      </c>
      <c r="I8" s="492" t="s">
        <v>332</v>
      </c>
      <c r="J8" s="492" t="s">
        <v>333</v>
      </c>
      <c r="K8" s="492" t="s">
        <v>334</v>
      </c>
      <c r="L8" s="495">
        <v>246.39</v>
      </c>
      <c r="M8" s="495">
        <v>492.78</v>
      </c>
      <c r="N8" s="492">
        <v>2</v>
      </c>
      <c r="O8" s="496">
        <v>2</v>
      </c>
      <c r="P8" s="495">
        <v>492.78</v>
      </c>
      <c r="Q8" s="497">
        <v>1</v>
      </c>
      <c r="R8" s="492">
        <v>2</v>
      </c>
      <c r="S8" s="497">
        <v>1</v>
      </c>
      <c r="T8" s="496">
        <v>2</v>
      </c>
      <c r="U8" s="498">
        <v>1</v>
      </c>
    </row>
    <row r="9" spans="1:21" ht="14.45" customHeight="1" x14ac:dyDescent="0.2">
      <c r="A9" s="491">
        <v>43</v>
      </c>
      <c r="B9" s="492" t="s">
        <v>312</v>
      </c>
      <c r="C9" s="492" t="s">
        <v>318</v>
      </c>
      <c r="D9" s="493" t="s">
        <v>388</v>
      </c>
      <c r="E9" s="494" t="s">
        <v>326</v>
      </c>
      <c r="F9" s="492" t="s">
        <v>313</v>
      </c>
      <c r="G9" s="492" t="s">
        <v>335</v>
      </c>
      <c r="H9" s="492" t="s">
        <v>315</v>
      </c>
      <c r="I9" s="492" t="s">
        <v>336</v>
      </c>
      <c r="J9" s="492" t="s">
        <v>337</v>
      </c>
      <c r="K9" s="492" t="s">
        <v>338</v>
      </c>
      <c r="L9" s="495">
        <v>477.92</v>
      </c>
      <c r="M9" s="495">
        <v>477.92</v>
      </c>
      <c r="N9" s="492">
        <v>1</v>
      </c>
      <c r="O9" s="496">
        <v>1</v>
      </c>
      <c r="P9" s="495"/>
      <c r="Q9" s="497">
        <v>0</v>
      </c>
      <c r="R9" s="492"/>
      <c r="S9" s="497">
        <v>0</v>
      </c>
      <c r="T9" s="496"/>
      <c r="U9" s="498">
        <v>0</v>
      </c>
    </row>
    <row r="10" spans="1:21" ht="14.45" customHeight="1" x14ac:dyDescent="0.2">
      <c r="A10" s="491">
        <v>43</v>
      </c>
      <c r="B10" s="492" t="s">
        <v>312</v>
      </c>
      <c r="C10" s="492" t="s">
        <v>318</v>
      </c>
      <c r="D10" s="493" t="s">
        <v>388</v>
      </c>
      <c r="E10" s="494" t="s">
        <v>326</v>
      </c>
      <c r="F10" s="492" t="s">
        <v>313</v>
      </c>
      <c r="G10" s="492" t="s">
        <v>339</v>
      </c>
      <c r="H10" s="492" t="s">
        <v>315</v>
      </c>
      <c r="I10" s="492" t="s">
        <v>340</v>
      </c>
      <c r="J10" s="492" t="s">
        <v>341</v>
      </c>
      <c r="K10" s="492" t="s">
        <v>342</v>
      </c>
      <c r="L10" s="495">
        <v>176.32</v>
      </c>
      <c r="M10" s="495">
        <v>176.32</v>
      </c>
      <c r="N10" s="492">
        <v>1</v>
      </c>
      <c r="O10" s="496">
        <v>1</v>
      </c>
      <c r="P10" s="495">
        <v>176.32</v>
      </c>
      <c r="Q10" s="497">
        <v>1</v>
      </c>
      <c r="R10" s="492">
        <v>1</v>
      </c>
      <c r="S10" s="497">
        <v>1</v>
      </c>
      <c r="T10" s="496">
        <v>1</v>
      </c>
      <c r="U10" s="498">
        <v>1</v>
      </c>
    </row>
    <row r="11" spans="1:21" ht="14.45" customHeight="1" x14ac:dyDescent="0.2">
      <c r="A11" s="491">
        <v>43</v>
      </c>
      <c r="B11" s="492" t="s">
        <v>312</v>
      </c>
      <c r="C11" s="492" t="s">
        <v>318</v>
      </c>
      <c r="D11" s="493" t="s">
        <v>388</v>
      </c>
      <c r="E11" s="494" t="s">
        <v>326</v>
      </c>
      <c r="F11" s="492" t="s">
        <v>313</v>
      </c>
      <c r="G11" s="492" t="s">
        <v>343</v>
      </c>
      <c r="H11" s="492" t="s">
        <v>315</v>
      </c>
      <c r="I11" s="492" t="s">
        <v>344</v>
      </c>
      <c r="J11" s="492" t="s">
        <v>345</v>
      </c>
      <c r="K11" s="492" t="s">
        <v>346</v>
      </c>
      <c r="L11" s="495">
        <v>38.56</v>
      </c>
      <c r="M11" s="495">
        <v>38.56</v>
      </c>
      <c r="N11" s="492">
        <v>1</v>
      </c>
      <c r="O11" s="496">
        <v>1</v>
      </c>
      <c r="P11" s="495">
        <v>38.56</v>
      </c>
      <c r="Q11" s="497">
        <v>1</v>
      </c>
      <c r="R11" s="492">
        <v>1</v>
      </c>
      <c r="S11" s="497">
        <v>1</v>
      </c>
      <c r="T11" s="496">
        <v>1</v>
      </c>
      <c r="U11" s="498">
        <v>1</v>
      </c>
    </row>
    <row r="12" spans="1:21" ht="14.45" customHeight="1" x14ac:dyDescent="0.2">
      <c r="A12" s="491">
        <v>43</v>
      </c>
      <c r="B12" s="492" t="s">
        <v>312</v>
      </c>
      <c r="C12" s="492" t="s">
        <v>318</v>
      </c>
      <c r="D12" s="493" t="s">
        <v>388</v>
      </c>
      <c r="E12" s="494" t="s">
        <v>326</v>
      </c>
      <c r="F12" s="492" t="s">
        <v>313</v>
      </c>
      <c r="G12" s="492" t="s">
        <v>347</v>
      </c>
      <c r="H12" s="492" t="s">
        <v>315</v>
      </c>
      <c r="I12" s="492" t="s">
        <v>348</v>
      </c>
      <c r="J12" s="492" t="s">
        <v>349</v>
      </c>
      <c r="K12" s="492" t="s">
        <v>350</v>
      </c>
      <c r="L12" s="495">
        <v>69.59</v>
      </c>
      <c r="M12" s="495">
        <v>69.59</v>
      </c>
      <c r="N12" s="492">
        <v>1</v>
      </c>
      <c r="O12" s="496">
        <v>0.5</v>
      </c>
      <c r="P12" s="495">
        <v>69.59</v>
      </c>
      <c r="Q12" s="497">
        <v>1</v>
      </c>
      <c r="R12" s="492">
        <v>1</v>
      </c>
      <c r="S12" s="497">
        <v>1</v>
      </c>
      <c r="T12" s="496">
        <v>0.5</v>
      </c>
      <c r="U12" s="498">
        <v>1</v>
      </c>
    </row>
    <row r="13" spans="1:21" ht="14.45" customHeight="1" x14ac:dyDescent="0.2">
      <c r="A13" s="491">
        <v>43</v>
      </c>
      <c r="B13" s="492" t="s">
        <v>312</v>
      </c>
      <c r="C13" s="492" t="s">
        <v>318</v>
      </c>
      <c r="D13" s="493" t="s">
        <v>388</v>
      </c>
      <c r="E13" s="494" t="s">
        <v>326</v>
      </c>
      <c r="F13" s="492" t="s">
        <v>313</v>
      </c>
      <c r="G13" s="492" t="s">
        <v>351</v>
      </c>
      <c r="H13" s="492" t="s">
        <v>315</v>
      </c>
      <c r="I13" s="492" t="s">
        <v>352</v>
      </c>
      <c r="J13" s="492" t="s">
        <v>353</v>
      </c>
      <c r="K13" s="492" t="s">
        <v>354</v>
      </c>
      <c r="L13" s="495">
        <v>172.91</v>
      </c>
      <c r="M13" s="495">
        <v>172.91</v>
      </c>
      <c r="N13" s="492">
        <v>1</v>
      </c>
      <c r="O13" s="496">
        <v>1</v>
      </c>
      <c r="P13" s="495">
        <v>172.91</v>
      </c>
      <c r="Q13" s="497">
        <v>1</v>
      </c>
      <c r="R13" s="492">
        <v>1</v>
      </c>
      <c r="S13" s="497">
        <v>1</v>
      </c>
      <c r="T13" s="496">
        <v>1</v>
      </c>
      <c r="U13" s="498">
        <v>1</v>
      </c>
    </row>
    <row r="14" spans="1:21" ht="14.45" customHeight="1" x14ac:dyDescent="0.2">
      <c r="A14" s="491">
        <v>43</v>
      </c>
      <c r="B14" s="492" t="s">
        <v>312</v>
      </c>
      <c r="C14" s="492" t="s">
        <v>318</v>
      </c>
      <c r="D14" s="493" t="s">
        <v>388</v>
      </c>
      <c r="E14" s="494" t="s">
        <v>326</v>
      </c>
      <c r="F14" s="492" t="s">
        <v>313</v>
      </c>
      <c r="G14" s="492" t="s">
        <v>355</v>
      </c>
      <c r="H14" s="492" t="s">
        <v>315</v>
      </c>
      <c r="I14" s="492" t="s">
        <v>356</v>
      </c>
      <c r="J14" s="492" t="s">
        <v>357</v>
      </c>
      <c r="K14" s="492" t="s">
        <v>358</v>
      </c>
      <c r="L14" s="495">
        <v>0</v>
      </c>
      <c r="M14" s="495">
        <v>0</v>
      </c>
      <c r="N14" s="492">
        <v>1</v>
      </c>
      <c r="O14" s="496">
        <v>1</v>
      </c>
      <c r="P14" s="495">
        <v>0</v>
      </c>
      <c r="Q14" s="497"/>
      <c r="R14" s="492">
        <v>1</v>
      </c>
      <c r="S14" s="497">
        <v>1</v>
      </c>
      <c r="T14" s="496">
        <v>1</v>
      </c>
      <c r="U14" s="498">
        <v>1</v>
      </c>
    </row>
    <row r="15" spans="1:21" ht="14.45" customHeight="1" x14ac:dyDescent="0.2">
      <c r="A15" s="491">
        <v>43</v>
      </c>
      <c r="B15" s="492" t="s">
        <v>312</v>
      </c>
      <c r="C15" s="492" t="s">
        <v>318</v>
      </c>
      <c r="D15" s="493" t="s">
        <v>388</v>
      </c>
      <c r="E15" s="494" t="s">
        <v>326</v>
      </c>
      <c r="F15" s="492" t="s">
        <v>313</v>
      </c>
      <c r="G15" s="492" t="s">
        <v>359</v>
      </c>
      <c r="H15" s="492" t="s">
        <v>389</v>
      </c>
      <c r="I15" s="492" t="s">
        <v>360</v>
      </c>
      <c r="J15" s="492" t="s">
        <v>361</v>
      </c>
      <c r="K15" s="492" t="s">
        <v>362</v>
      </c>
      <c r="L15" s="495">
        <v>63.75</v>
      </c>
      <c r="M15" s="495">
        <v>63.75</v>
      </c>
      <c r="N15" s="492">
        <v>1</v>
      </c>
      <c r="O15" s="496">
        <v>1</v>
      </c>
      <c r="P15" s="495">
        <v>63.75</v>
      </c>
      <c r="Q15" s="497">
        <v>1</v>
      </c>
      <c r="R15" s="492">
        <v>1</v>
      </c>
      <c r="S15" s="497">
        <v>1</v>
      </c>
      <c r="T15" s="496">
        <v>1</v>
      </c>
      <c r="U15" s="498">
        <v>1</v>
      </c>
    </row>
    <row r="16" spans="1:21" ht="14.45" customHeight="1" x14ac:dyDescent="0.2">
      <c r="A16" s="491">
        <v>43</v>
      </c>
      <c r="B16" s="492" t="s">
        <v>312</v>
      </c>
      <c r="C16" s="492" t="s">
        <v>318</v>
      </c>
      <c r="D16" s="493" t="s">
        <v>388</v>
      </c>
      <c r="E16" s="494" t="s">
        <v>326</v>
      </c>
      <c r="F16" s="492" t="s">
        <v>313</v>
      </c>
      <c r="G16" s="492" t="s">
        <v>363</v>
      </c>
      <c r="H16" s="492" t="s">
        <v>315</v>
      </c>
      <c r="I16" s="492" t="s">
        <v>364</v>
      </c>
      <c r="J16" s="492" t="s">
        <v>365</v>
      </c>
      <c r="K16" s="492" t="s">
        <v>366</v>
      </c>
      <c r="L16" s="495">
        <v>62.28</v>
      </c>
      <c r="M16" s="495">
        <v>62.28</v>
      </c>
      <c r="N16" s="492">
        <v>1</v>
      </c>
      <c r="O16" s="496">
        <v>1</v>
      </c>
      <c r="P16" s="495"/>
      <c r="Q16" s="497">
        <v>0</v>
      </c>
      <c r="R16" s="492"/>
      <c r="S16" s="497">
        <v>0</v>
      </c>
      <c r="T16" s="496"/>
      <c r="U16" s="498">
        <v>0</v>
      </c>
    </row>
    <row r="17" spans="1:21" ht="14.45" customHeight="1" x14ac:dyDescent="0.2">
      <c r="A17" s="491">
        <v>43</v>
      </c>
      <c r="B17" s="492" t="s">
        <v>312</v>
      </c>
      <c r="C17" s="492" t="s">
        <v>318</v>
      </c>
      <c r="D17" s="493" t="s">
        <v>388</v>
      </c>
      <c r="E17" s="494" t="s">
        <v>326</v>
      </c>
      <c r="F17" s="492" t="s">
        <v>313</v>
      </c>
      <c r="G17" s="492" t="s">
        <v>367</v>
      </c>
      <c r="H17" s="492" t="s">
        <v>389</v>
      </c>
      <c r="I17" s="492" t="s">
        <v>368</v>
      </c>
      <c r="J17" s="492" t="s">
        <v>369</v>
      </c>
      <c r="K17" s="492" t="s">
        <v>370</v>
      </c>
      <c r="L17" s="495">
        <v>0</v>
      </c>
      <c r="M17" s="495">
        <v>0</v>
      </c>
      <c r="N17" s="492">
        <v>1</v>
      </c>
      <c r="O17" s="496">
        <v>1</v>
      </c>
      <c r="P17" s="495">
        <v>0</v>
      </c>
      <c r="Q17" s="497"/>
      <c r="R17" s="492">
        <v>1</v>
      </c>
      <c r="S17" s="497">
        <v>1</v>
      </c>
      <c r="T17" s="496">
        <v>1</v>
      </c>
      <c r="U17" s="498">
        <v>1</v>
      </c>
    </row>
    <row r="18" spans="1:21" ht="14.45" customHeight="1" x14ac:dyDescent="0.2">
      <c r="A18" s="491">
        <v>43</v>
      </c>
      <c r="B18" s="492" t="s">
        <v>312</v>
      </c>
      <c r="C18" s="492" t="s">
        <v>318</v>
      </c>
      <c r="D18" s="493" t="s">
        <v>388</v>
      </c>
      <c r="E18" s="494" t="s">
        <v>326</v>
      </c>
      <c r="F18" s="492" t="s">
        <v>313</v>
      </c>
      <c r="G18" s="492" t="s">
        <v>371</v>
      </c>
      <c r="H18" s="492" t="s">
        <v>389</v>
      </c>
      <c r="I18" s="492" t="s">
        <v>372</v>
      </c>
      <c r="J18" s="492" t="s">
        <v>373</v>
      </c>
      <c r="K18" s="492" t="s">
        <v>374</v>
      </c>
      <c r="L18" s="495">
        <v>149.52000000000001</v>
      </c>
      <c r="M18" s="495">
        <v>299.04000000000002</v>
      </c>
      <c r="N18" s="492">
        <v>2</v>
      </c>
      <c r="O18" s="496">
        <v>1</v>
      </c>
      <c r="P18" s="495">
        <v>299.04000000000002</v>
      </c>
      <c r="Q18" s="497">
        <v>1</v>
      </c>
      <c r="R18" s="492">
        <v>2</v>
      </c>
      <c r="S18" s="497">
        <v>1</v>
      </c>
      <c r="T18" s="496">
        <v>1</v>
      </c>
      <c r="U18" s="498">
        <v>1</v>
      </c>
    </row>
    <row r="19" spans="1:21" ht="14.45" customHeight="1" x14ac:dyDescent="0.2">
      <c r="A19" s="491">
        <v>43</v>
      </c>
      <c r="B19" s="492" t="s">
        <v>312</v>
      </c>
      <c r="C19" s="492" t="s">
        <v>318</v>
      </c>
      <c r="D19" s="493" t="s">
        <v>388</v>
      </c>
      <c r="E19" s="494" t="s">
        <v>326</v>
      </c>
      <c r="F19" s="492" t="s">
        <v>313</v>
      </c>
      <c r="G19" s="492" t="s">
        <v>371</v>
      </c>
      <c r="H19" s="492" t="s">
        <v>315</v>
      </c>
      <c r="I19" s="492" t="s">
        <v>375</v>
      </c>
      <c r="J19" s="492" t="s">
        <v>376</v>
      </c>
      <c r="K19" s="492" t="s">
        <v>377</v>
      </c>
      <c r="L19" s="495">
        <v>149.52000000000001</v>
      </c>
      <c r="M19" s="495">
        <v>149.52000000000001</v>
      </c>
      <c r="N19" s="492">
        <v>1</v>
      </c>
      <c r="O19" s="496">
        <v>0.5</v>
      </c>
      <c r="P19" s="495">
        <v>149.52000000000001</v>
      </c>
      <c r="Q19" s="497">
        <v>1</v>
      </c>
      <c r="R19" s="492">
        <v>1</v>
      </c>
      <c r="S19" s="497">
        <v>1</v>
      </c>
      <c r="T19" s="496">
        <v>0.5</v>
      </c>
      <c r="U19" s="498">
        <v>1</v>
      </c>
    </row>
    <row r="20" spans="1:21" ht="14.45" customHeight="1" x14ac:dyDescent="0.2">
      <c r="A20" s="491">
        <v>43</v>
      </c>
      <c r="B20" s="492" t="s">
        <v>312</v>
      </c>
      <c r="C20" s="492" t="s">
        <v>318</v>
      </c>
      <c r="D20" s="493" t="s">
        <v>388</v>
      </c>
      <c r="E20" s="494" t="s">
        <v>326</v>
      </c>
      <c r="F20" s="492" t="s">
        <v>314</v>
      </c>
      <c r="G20" s="492" t="s">
        <v>378</v>
      </c>
      <c r="H20" s="492" t="s">
        <v>315</v>
      </c>
      <c r="I20" s="492" t="s">
        <v>379</v>
      </c>
      <c r="J20" s="492" t="s">
        <v>380</v>
      </c>
      <c r="K20" s="492"/>
      <c r="L20" s="495">
        <v>0</v>
      </c>
      <c r="M20" s="495">
        <v>0</v>
      </c>
      <c r="N20" s="492">
        <v>1</v>
      </c>
      <c r="O20" s="496">
        <v>1</v>
      </c>
      <c r="P20" s="495">
        <v>0</v>
      </c>
      <c r="Q20" s="497"/>
      <c r="R20" s="492">
        <v>1</v>
      </c>
      <c r="S20" s="497">
        <v>1</v>
      </c>
      <c r="T20" s="496">
        <v>1</v>
      </c>
      <c r="U20" s="498">
        <v>1</v>
      </c>
    </row>
    <row r="21" spans="1:21" ht="14.45" customHeight="1" x14ac:dyDescent="0.2">
      <c r="A21" s="491">
        <v>43</v>
      </c>
      <c r="B21" s="492" t="s">
        <v>312</v>
      </c>
      <c r="C21" s="492" t="s">
        <v>318</v>
      </c>
      <c r="D21" s="493" t="s">
        <v>388</v>
      </c>
      <c r="E21" s="494" t="s">
        <v>325</v>
      </c>
      <c r="F21" s="492" t="s">
        <v>313</v>
      </c>
      <c r="G21" s="492" t="s">
        <v>339</v>
      </c>
      <c r="H21" s="492" t="s">
        <v>315</v>
      </c>
      <c r="I21" s="492" t="s">
        <v>381</v>
      </c>
      <c r="J21" s="492" t="s">
        <v>382</v>
      </c>
      <c r="K21" s="492" t="s">
        <v>383</v>
      </c>
      <c r="L21" s="495">
        <v>176.32</v>
      </c>
      <c r="M21" s="495">
        <v>352.64</v>
      </c>
      <c r="N21" s="492">
        <v>2</v>
      </c>
      <c r="O21" s="496">
        <v>2</v>
      </c>
      <c r="P21" s="495">
        <v>176.32</v>
      </c>
      <c r="Q21" s="497">
        <v>0.5</v>
      </c>
      <c r="R21" s="492">
        <v>1</v>
      </c>
      <c r="S21" s="497">
        <v>0.5</v>
      </c>
      <c r="T21" s="496">
        <v>1</v>
      </c>
      <c r="U21" s="498">
        <v>0.5</v>
      </c>
    </row>
    <row r="22" spans="1:21" ht="14.45" customHeight="1" thickBot="1" x14ac:dyDescent="0.25">
      <c r="A22" s="483">
        <v>43</v>
      </c>
      <c r="B22" s="484" t="s">
        <v>312</v>
      </c>
      <c r="C22" s="484" t="s">
        <v>318</v>
      </c>
      <c r="D22" s="485" t="s">
        <v>388</v>
      </c>
      <c r="E22" s="486" t="s">
        <v>325</v>
      </c>
      <c r="F22" s="484" t="s">
        <v>313</v>
      </c>
      <c r="G22" s="484" t="s">
        <v>384</v>
      </c>
      <c r="H22" s="484" t="s">
        <v>315</v>
      </c>
      <c r="I22" s="484" t="s">
        <v>385</v>
      </c>
      <c r="J22" s="484" t="s">
        <v>386</v>
      </c>
      <c r="K22" s="484" t="s">
        <v>387</v>
      </c>
      <c r="L22" s="487">
        <v>103.67</v>
      </c>
      <c r="M22" s="487">
        <v>103.67</v>
      </c>
      <c r="N22" s="484">
        <v>1</v>
      </c>
      <c r="O22" s="488"/>
      <c r="P22" s="487">
        <v>103.67</v>
      </c>
      <c r="Q22" s="489">
        <v>1</v>
      </c>
      <c r="R22" s="484">
        <v>1</v>
      </c>
      <c r="S22" s="489">
        <v>1</v>
      </c>
      <c r="T22" s="488"/>
      <c r="U22" s="490"/>
    </row>
  </sheetData>
  <autoFilter ref="A6:U6" xr:uid="{00000000-0009-0000-0000-000012000000}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 xr:uid="{2C8F7BC7-89E2-483E-9CF6-863E3C90C3AE}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19</vt:i4>
      </vt:variant>
      <vt:variant>
        <vt:lpstr>Pojmenované oblasti</vt:lpstr>
      </vt:variant>
      <vt:variant>
        <vt:i4>3</vt:i4>
      </vt:variant>
    </vt:vector>
  </HeadingPairs>
  <TitlesOfParts>
    <vt:vector size="22" baseType="lpstr">
      <vt:lpstr>Obsah</vt:lpstr>
      <vt:lpstr>Motivace</vt:lpstr>
      <vt:lpstr>HI</vt:lpstr>
      <vt:lpstr>HI Graf</vt:lpstr>
      <vt:lpstr>Man Tab</vt:lpstr>
      <vt:lpstr>HV</vt:lpstr>
      <vt:lpstr>Léky Recepty</vt:lpstr>
      <vt:lpstr>LRp Lékaři</vt:lpstr>
      <vt:lpstr>LRp Detail</vt:lpstr>
      <vt:lpstr>LRp PL</vt:lpstr>
      <vt:lpstr>LRp PL Detail</vt:lpstr>
      <vt:lpstr>Osobní náklady</vt:lpstr>
      <vt:lpstr>ON Data</vt:lpstr>
      <vt:lpstr>ZV Vykáz.-A</vt:lpstr>
      <vt:lpstr>ZV Vykáz.-A Lékaři</vt:lpstr>
      <vt:lpstr>ZV Vykáz.-A Detail</vt:lpstr>
      <vt:lpstr>ZV Vykáz.-A Det.Lék.</vt:lpstr>
      <vt:lpstr>ZV Vykáz.-H</vt:lpstr>
      <vt:lpstr>ZV Vykáz.-H Detail</vt:lpstr>
      <vt:lpstr>doměsíce</vt:lpstr>
      <vt:lpstr>'ON Data'!Obdobi</vt:lpstr>
      <vt:lpstr>'Osobní náklady'!Obdobi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Uživatel systému Windows</cp:lastModifiedBy>
  <cp:lastPrinted>2017-05-31T07:11:02Z</cp:lastPrinted>
  <dcterms:created xsi:type="dcterms:W3CDTF">2013-04-17T20:15:29Z</dcterms:created>
  <dcterms:modified xsi:type="dcterms:W3CDTF">2020-02-03T07:34:07Z</dcterms:modified>
</cp:coreProperties>
</file>