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A5735DB7-D7D8-4F11-A5BF-AA930B183041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E11" i="431"/>
  <c r="M11" i="431"/>
  <c r="E13" i="431"/>
  <c r="O15" i="431"/>
  <c r="F15" i="431"/>
  <c r="N15" i="431"/>
  <c r="C12" i="431"/>
  <c r="H9" i="431"/>
  <c r="K12" i="431"/>
  <c r="C13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D15" i="431"/>
  <c r="F9" i="431"/>
  <c r="G10" i="431"/>
  <c r="H11" i="431"/>
  <c r="I12" i="431"/>
  <c r="J13" i="431"/>
  <c r="K14" i="431"/>
  <c r="L15" i="431"/>
  <c r="N9" i="431"/>
  <c r="O10" i="431"/>
  <c r="P11" i="431"/>
  <c r="P9" i="431"/>
  <c r="Q12" i="431"/>
  <c r="C15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C9" i="431"/>
  <c r="F12" i="431"/>
  <c r="I15" i="431"/>
  <c r="L10" i="431"/>
  <c r="O13" i="431"/>
  <c r="Q15" i="431"/>
  <c r="D11" i="431"/>
  <c r="F13" i="431"/>
  <c r="G14" i="431"/>
  <c r="K10" i="431"/>
  <c r="M12" i="431"/>
  <c r="O14" i="431"/>
  <c r="C11" i="431"/>
  <c r="G15" i="431"/>
  <c r="I9" i="431"/>
  <c r="K11" i="431"/>
  <c r="N14" i="431"/>
  <c r="E14" i="431"/>
  <c r="I10" i="431"/>
  <c r="L13" i="431"/>
  <c r="Q10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D10" i="431"/>
  <c r="G13" i="431"/>
  <c r="H14" i="431"/>
  <c r="K9" i="431"/>
  <c r="N12" i="431"/>
  <c r="P14" i="431"/>
  <c r="C10" i="431"/>
  <c r="E12" i="431"/>
  <c r="H15" i="431"/>
  <c r="J9" i="431"/>
  <c r="L11" i="431"/>
  <c r="N13" i="431"/>
  <c r="P15" i="431"/>
  <c r="D12" i="431"/>
  <c r="F14" i="431"/>
  <c r="J10" i="431"/>
  <c r="L12" i="431"/>
  <c r="M13" i="431"/>
  <c r="Q9" i="431"/>
  <c r="D13" i="431"/>
  <c r="J11" i="431"/>
  <c r="M14" i="431"/>
  <c r="R9" i="431" l="1"/>
  <c r="S9" i="431"/>
  <c r="S14" i="431"/>
  <c r="R14" i="431"/>
  <c r="S10" i="431"/>
  <c r="R10" i="431"/>
  <c r="S15" i="431"/>
  <c r="R15" i="431"/>
  <c r="S13" i="431"/>
  <c r="R13" i="431"/>
  <c r="S12" i="431"/>
  <c r="R12" i="431"/>
  <c r="S11" i="431"/>
  <c r="R11" i="431"/>
  <c r="P8" i="431"/>
  <c r="K8" i="431"/>
  <c r="F8" i="431"/>
  <c r="J8" i="431"/>
  <c r="H8" i="431"/>
  <c r="E8" i="431"/>
  <c r="D8" i="431"/>
  <c r="Q8" i="431"/>
  <c r="M8" i="431"/>
  <c r="C8" i="431"/>
  <c r="N8" i="431"/>
  <c r="L8" i="431"/>
  <c r="O8" i="431"/>
  <c r="G8" i="431"/>
  <c r="I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C13" i="414"/>
  <c r="D16" i="414"/>
  <c r="D4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M3" i="347"/>
  <c r="Q3" i="347" s="1"/>
  <c r="C21" i="414"/>
  <c r="D21" i="414"/>
  <c r="Q3" i="345" l="1"/>
  <c r="S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<sst xmlns="http://schemas.openxmlformats.org/spreadsheetml/2006/main" count="914" uniqueCount="389">
  <si>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</si>
  <si>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</si>
  <si>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</si>
  <si>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</si>
  <si>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</si>
  <si>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</si>
  <si>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</si>
  <si>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</si>
  <si>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</si>
  <si>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</si>
  <si>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</si>
  <si>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</si>
  <si>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</si>
  <si>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</si>
  <si>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</si>
  <si>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</si>
  <si>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</si>
  <si>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</si>
  <si>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</si>
  <si>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</si>
  <si>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</si>
  <si>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</si>
  <si>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</si>
  <si>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</si>
  <si>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</si>
  <si>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</si>
  <si>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</si>
  <si>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</si>
  <si>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</si>
  <si>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</si>
  <si>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</si>
  <si>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</si>
  <si>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</si>
  <si>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</si>
  <si>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</si>
  <si>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</si>
  <si>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</si>
  <si>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</si>
  <si>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</si>
  <si>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</si>
  <si>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</si>
  <si>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</si>
  <si>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</si>
  <si>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</si>
  <si>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</si>
  <si>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</si>
  <si>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</si>
  <si>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</si>
  <si>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</si>
  <si>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</si>
  <si>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</si>
  <si>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</si>
  <si>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</si>
  <si>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</si>
  <si>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</si>
  <si>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</si>
  <si>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</si>
  <si>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</si>
  <si>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</si>
  <si>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</si>
  <si>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</si>
  <si>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</si>
  <si>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</si>
  <si>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</si>
  <si>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</si>
  <si>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</si>
  <si>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</si>
  <si>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</si>
  <si>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</si>
  <si>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</si>
  <si>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</si>
  <si>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</si>
  <si>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</si>
  <si>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</si>
  <si>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</si>
  <si>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</si>
  <si>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</si>
  <si>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</si>
  <si>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</si>
  <si>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</si>
  <si>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</si>
  <si>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</si>
  <si>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</si>
  <si>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</si>
  <si>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</si>
  <si>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</si>
  <si>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</si>
  <si>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</si>
  <si>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</si>
  <si>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</si>
  <si>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</si>
  <si>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</si>
  <si>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</si>
  <si>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</si>
  <si>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</si>
  <si>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</si>
  <si>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</si>
  <si>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</si>
  <si>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</si>
  <si>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</si>
  <si>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</si>
  <si>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</si>
  <si>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</si>
  <si>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</si>
  <si>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</si>
  <si>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</si>
  <si>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</si>
  <si>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</si>
  <si>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</si>
  <si>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</si>
  <si>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</si>
  <si>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</si>
  <si>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</si>
  <si>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</si>
  <si>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</si>
  <si>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</si>
  <si>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</si>
  <si>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</si>
  <si>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</si>
  <si>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</si>
  <si>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</si>
  <si>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</si>
  <si>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</si>
  <si>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</si>
  <si>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</si>
  <si>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</si>
  <si>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</si>
  <si>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</si>
  <si>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</si>
  <si>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</si>
  <si>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</si>
  <si>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</si>
  <si>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</si>
  <si>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</si>
  <si>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</si>
  <si>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</si>
  <si>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</si>
  <si>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</si>
  <si>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</si>
  <si>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</si>
  <si>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</si>
  <si>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</si>
  <si>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</si>
  <si>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</si>
  <si>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</si>
  <si>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</si>
  <si>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</si>
  <si>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</si>
  <si>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</si>
  <si>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</si>
  <si>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</si>
  <si>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</si>
  <si>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</si>
  <si>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</si>
  <si>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</si>
  <si>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</si>
  <si>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</si>
  <si>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</si>
  <si>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</si>
  <si>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</si>
  <si>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</si>
  <si>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</si>
  <si>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</si>
  <si>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</si>
  <si>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</si>
  <si>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</si>
  <si>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</si>
  <si>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</si>
  <si>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</si>
  <si>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</si>
  <si>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</si>
  <si>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</si>
  <si>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</si>
  <si>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</si>
  <si>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</si>
  <si>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</si>
  <si>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</si>
  <si>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</si>
  <si>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</si>
  <si>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</si>
  <si>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</si>
  <si>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</si>
  <si>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</si>
  <si>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</si>
  <si>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</si>
  <si>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</si>
  <si>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</si>
  <si>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</si>
  <si>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</si>
  <si>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</si>
  <si>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</si>
  <si>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</si>
  <si>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</si>
  <si>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</si>
  <si>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</si>
  <si>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</si>
  <si>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</si>
  <si>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</si>
  <si>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</si>
  <si>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</si>
  <si>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</si>
  <si>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</si>
  <si>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</si>
  <si>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</si>
  <si>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</si>
  <si>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</si>
  <si>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</si>
  <si>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</si>
  <si>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</si>
  <si>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</si>
  <si>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</si>
  <si>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</si>
  <si>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</si>
  <si>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</si>
  <si>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</si>
  <si>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</si>
  <si>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</si>
  <si>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</si>
  <si>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</si>
  <si>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</si>
  <si>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</si>
  <si>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</si>
  <si>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</si>
  <si>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</si>
  <si>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</si>
  <si>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</si>
  <si>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</si>
  <si>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</si>
  <si>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</si>
  <si>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</si>
  <si>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</si>
  <si>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</si>
  <si>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</si>
  <si>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</si>
  <si>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</si>
  <si>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</si>
  <si>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</si>
  <si>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</si>
  <si>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</si>
  <si>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</si>
  <si>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</si>
  <si>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</si>
  <si>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</si>
  <si>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</si>
  <si>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</si>
  <si>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</si>
  <si>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</si>
  <si>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</si>
  <si>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</si>
  <si>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</si>
  <si>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</si>
  <si>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</si>
  <si>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</si>
  <si>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</si>
  <si>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</si>
  <si>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</si>
  <si>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</si>
  <si>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</si>
  <si>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</si>
  <si>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</si>
  <si>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</si>
  <si>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</si>
  <si>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</si>
  <si>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</si>
  <si>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</si>
  <si>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</si>
  <si>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</si>
  <si>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</si>
  <si>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</si>
  <si>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</si>
  <si>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</si>
  <si>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</si>
  <si>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</si>
  <si>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</si>
  <si>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</si>
  <si>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</si>
  <si>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</si>
  <si>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</si>
  <si>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</si>
  <si>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</si>
  <si>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</si>
  <si>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</si>
  <si>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</si>
  <si>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</si>
  <si>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</si>
  <si>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</si>
  <si>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</si>
  <si>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</si>
  <si>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</si>
  <si>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</si>
  <si>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</si>
  <si>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</si>
  <si>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</si>
  <si>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</si>
  <si>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</si>
  <si>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</si>
  <si>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</si>
  <si>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</si>
  <si>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</si>
  <si>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LEVOCETIRIZIN</t>
  </si>
  <si>
    <t>124346</t>
  </si>
  <si>
    <t>CEZERA</t>
  </si>
  <si>
    <t>5MG TBL FLM 90 I</t>
  </si>
  <si>
    <t>OMEPRAZOL</t>
  </si>
  <si>
    <t>25366</t>
  </si>
  <si>
    <t>HELICID 20 ZENTIVA</t>
  </si>
  <si>
    <t>20MG CPS ETD 90 I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</si>
  <si>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</si>
  <si>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</si>
  <si>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</si>
  <si>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</si>
  <si>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</si>
  <si>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</si>
  <si>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</si>
  <si>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</si>
  <si>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</si>
  <si>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</si>
  <si>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</si>
  <si>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</si>
  <si>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</si>
  <si>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</si>
  <si>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</si>
  <si>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</si>
  <si>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</si>
  <si>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</si>
  <si>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</si>
  <si>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</si>
  <si>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</si>
  <si>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</si>
  <si>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</si>
  <si>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</si>
  <si>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</si>
  <si>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</si>
  <si>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Strojil Jan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</si>
  <si>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</si>
  <si>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</si>
  <si>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</si>
  <si>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</si>
  <si>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</si>
  <si>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</si>
  <si>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</si>
  <si>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</si>
  <si>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</si>
  <si>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</si>
  <si>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</si>
  <si>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</si>
  <si>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</si>
  <si>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</si>
  <si>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</si>
  <si>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</si>
  <si>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</si>
  <si>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</si>
  <si>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</si>
  <si>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</si>
  <si>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</si>
  <si>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</si>
  <si>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</si>
  <si>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</si>
  <si>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</si>
  <si>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</si>
  <si>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</si>
  <si>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</si>
  <si>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</si>
  <si>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</si>
  <si>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</si>
  <si>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</si>
  <si>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</si>
  <si>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</si>
  <si>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</si>
  <si>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</si>
  <si>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</si>
  <si>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</si>
  <si>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</si>
  <si>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07</t>
  </si>
  <si>
    <t>08</t>
  </si>
  <si>
    <t>10</t>
  </si>
  <si>
    <t>11</t>
  </si>
  <si>
    <t>12</t>
  </si>
  <si>
    <t>14</t>
  </si>
  <si>
    <t>16</t>
  </si>
  <si>
    <t>17</t>
  </si>
  <si>
    <t>20</t>
  </si>
  <si>
    <t>21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</si>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</sst>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3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98" xfId="0" applyNumberFormat="1" applyFont="1" applyBorder="1" applyAlignment="1">
      <alignment horizontal="right" vertical="center"/>
    </xf>
    <xf numFmtId="173" fontId="40" fillId="0" borderId="98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99" xfId="0" applyNumberFormat="1" applyFont="1" applyBorder="1" applyAlignment="1">
      <alignment vertical="center"/>
    </xf>
    <xf numFmtId="173" fontId="40" fillId="0" borderId="98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4" fontId="40" fillId="0" borderId="101" xfId="0" applyNumberFormat="1" applyFont="1" applyBorder="1" applyAlignment="1">
      <alignment vertical="center"/>
    </xf>
    <xf numFmtId="174" fontId="40" fillId="0" borderId="98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4" xfId="0" applyNumberFormat="1" applyFont="1" applyBorder="1" applyAlignment="1">
      <alignment vertical="center"/>
    </xf>
    <xf numFmtId="0" fontId="33" fillId="0" borderId="99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7" xfId="0" applyNumberFormat="1" applyFont="1" applyFill="1" applyBorder="1"/>
    <xf numFmtId="3" fontId="0" fillId="7" borderId="72" xfId="0" applyNumberFormat="1" applyFont="1" applyFill="1" applyBorder="1"/>
    <xf numFmtId="0" fontId="0" fillId="0" borderId="108" xfId="0" applyNumberFormat="1" applyFont="1" applyBorder="1"/>
    <xf numFmtId="3" fontId="0" fillId="0" borderId="109" xfId="0" applyNumberFormat="1" applyFont="1" applyBorder="1"/>
    <xf numFmtId="0" fontId="0" fillId="7" borderId="108" xfId="0" applyNumberFormat="1" applyFont="1" applyFill="1" applyBorder="1"/>
    <xf numFmtId="3" fontId="0" fillId="7" borderId="109" xfId="0" applyNumberFormat="1" applyFont="1" applyFill="1" applyBorder="1"/>
    <xf numFmtId="0" fontId="53" fillId="8" borderId="108" xfId="0" applyNumberFormat="1" applyFont="1" applyFill="1" applyBorder="1"/>
    <xf numFmtId="3" fontId="53" fillId="8" borderId="109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3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2" xfId="0" applyFont="1" applyBorder="1" applyAlignment="1">
      <alignment horizontal="center" vertical="center"/>
    </xf>
    <xf numFmtId="0" fontId="55" fillId="4" borderId="95" xfId="0" applyFont="1" applyFill="1" applyBorder="1" applyAlignment="1">
      <alignment horizontal="center" vertical="center" wrapText="1"/>
    </xf>
    <xf numFmtId="0" fontId="55" fillId="4" borderId="103" xfId="0" applyFont="1" applyFill="1" applyBorder="1" applyAlignment="1">
      <alignment horizontal="center" vertical="center" wrapText="1"/>
    </xf>
    <xf numFmtId="0" fontId="55" fillId="4" borderId="86" xfId="0" applyFont="1" applyFill="1" applyBorder="1" applyAlignment="1">
      <alignment horizontal="center" vertical="center" wrapText="1"/>
    </xf>
    <xf numFmtId="0" fontId="55" fillId="4" borderId="96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5" xfId="0" applyNumberFormat="1" applyFont="1" applyFill="1" applyBorder="1" applyAlignment="1">
      <alignment horizontal="center" vertical="center" wrapText="1"/>
    </xf>
    <xf numFmtId="168" fontId="55" fillId="2" borderId="103" xfId="0" applyNumberFormat="1" applyFont="1" applyFill="1" applyBorder="1" applyAlignment="1">
      <alignment horizontal="center" vertical="center" wrapText="1"/>
    </xf>
    <xf numFmtId="0" fontId="55" fillId="2" borderId="86" xfId="0" applyFont="1" applyFill="1" applyBorder="1" applyAlignment="1">
      <alignment horizontal="center" vertical="center" wrapText="1"/>
    </xf>
    <xf numFmtId="0" fontId="55" fillId="2" borderId="96" xfId="0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6" xfId="0" applyNumberFormat="1" applyFont="1" applyFill="1" applyBorder="1" applyAlignment="1">
      <alignment horizontal="center" vertical="center"/>
    </xf>
    <xf numFmtId="3" fontId="55" fillId="4" borderId="96" xfId="0" applyNumberFormat="1" applyFont="1" applyFill="1" applyBorder="1" applyAlignment="1">
      <alignment horizontal="center" vertical="center"/>
    </xf>
    <xf numFmtId="9" fontId="55" fillId="4" borderId="86" xfId="0" applyNumberFormat="1" applyFont="1" applyFill="1" applyBorder="1" applyAlignment="1">
      <alignment horizontal="center" vertical="center"/>
    </xf>
    <xf numFmtId="9" fontId="55" fillId="4" borderId="96" xfId="0" applyNumberFormat="1" applyFont="1" applyFill="1" applyBorder="1" applyAlignment="1">
      <alignment horizontal="center" vertical="center"/>
    </xf>
    <xf numFmtId="3" fontId="55" fillId="4" borderId="87" xfId="0" applyNumberFormat="1" applyFont="1" applyFill="1" applyBorder="1" applyAlignment="1">
      <alignment horizontal="center" vertical="center" wrapText="1"/>
    </xf>
    <xf numFmtId="3" fontId="55" fillId="4" borderId="97" xfId="0" applyNumberFormat="1" applyFont="1" applyFill="1" applyBorder="1" applyAlignment="1">
      <alignment horizontal="center" vertical="center" wrapText="1"/>
    </xf>
    <xf numFmtId="0" fontId="40" fillId="2" borderId="104" xfId="0" applyFont="1" applyFill="1" applyBorder="1" applyAlignment="1">
      <alignment horizontal="center" vertical="center" wrapText="1"/>
    </xf>
    <xf numFmtId="0" fontId="40" fillId="2" borderId="89" xfId="0" applyFont="1" applyFill="1" applyBorder="1" applyAlignment="1">
      <alignment horizontal="center" vertical="center" wrapText="1"/>
    </xf>
    <xf numFmtId="0" fontId="55" fillId="9" borderId="106" xfId="0" applyFont="1" applyFill="1" applyBorder="1" applyAlignment="1">
      <alignment horizontal="center"/>
    </xf>
    <xf numFmtId="0" fontId="55" fillId="9" borderId="105" xfId="0" applyFont="1" applyFill="1" applyBorder="1" applyAlignment="1">
      <alignment horizontal="center"/>
    </xf>
    <xf numFmtId="0" fontId="55" fillId="9" borderId="85" xfId="0" applyFont="1" applyFill="1" applyBorder="1" applyAlignment="1">
      <alignment horizontal="center"/>
    </xf>
    <xf numFmtId="0" fontId="40" fillId="4" borderId="94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1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0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4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54" fillId="0" borderId="0" xfId="1" applyFont="1"/>
    <xf numFmtId="0" fontId="60" fillId="0" borderId="0" xfId="0" applyFont="1"/>
    <xf numFmtId="3" fontId="34" fillId="10" borderId="111" xfId="83" applyNumberFormat="1" applyFont="1" applyFill="1" applyBorder="1" applyAlignment="1">
      <alignment horizontal="right" vertical="top"/>
    </xf>
    <xf numFmtId="3" fontId="34" fillId="10" borderId="112" xfId="83" applyNumberFormat="1" applyFont="1" applyFill="1" applyBorder="1" applyAlignment="1">
      <alignment horizontal="right" vertical="top"/>
    </xf>
    <xf numFmtId="9" fontId="34" fillId="10" borderId="113" xfId="83" applyFont="1" applyFill="1" applyBorder="1" applyAlignment="1">
      <alignment horizontal="right" vertical="top"/>
    </xf>
    <xf numFmtId="9" fontId="34" fillId="10" borderId="114" xfId="83" applyFont="1" applyFill="1" applyBorder="1" applyAlignment="1">
      <alignment horizontal="right" vertical="top"/>
    </xf>
    <xf numFmtId="3" fontId="34" fillId="11" borderId="110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0" xfId="79" applyFont="1" applyFill="1" applyBorder="1" applyAlignment="1">
      <alignment horizontal="left"/>
    </xf>
    <xf numFmtId="0" fontId="40" fillId="11" borderId="93" xfId="0" applyFont="1" applyFill="1" applyBorder="1"/>
    <xf numFmtId="0" fontId="40" fillId="11" borderId="92" xfId="0" applyFont="1" applyFill="1" applyBorder="1"/>
    <xf numFmtId="3" fontId="3" fillId="2" borderId="86" xfId="80" applyNumberFormat="1" applyFont="1" applyFill="1" applyBorder="1"/>
    <xf numFmtId="0" fontId="3" fillId="2" borderId="86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5" xfId="0" applyNumberFormat="1" applyFont="1" applyFill="1" applyBorder="1"/>
    <xf numFmtId="3" fontId="33" fillId="0" borderId="102" xfId="0" applyNumberFormat="1" applyFont="1" applyFill="1" applyBorder="1"/>
    <xf numFmtId="9" fontId="3" fillId="2" borderId="86" xfId="80" applyNumberFormat="1" applyFont="1" applyFill="1" applyBorder="1"/>
    <xf numFmtId="9" fontId="3" fillId="2" borderId="87" xfId="80" applyNumberFormat="1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3" xfId="0" applyFont="1" applyFill="1" applyBorder="1"/>
    <xf numFmtId="0" fontId="33" fillId="0" borderId="92" xfId="0" applyFont="1" applyFill="1" applyBorder="1"/>
    <xf numFmtId="3" fontId="33" fillId="0" borderId="116" xfId="0" applyNumberFormat="1" applyFont="1" applyFill="1" applyBorder="1"/>
    <xf numFmtId="3" fontId="33" fillId="0" borderId="88" xfId="0" applyNumberFormat="1" applyFont="1" applyFill="1" applyBorder="1"/>
    <xf numFmtId="0" fontId="3" fillId="2" borderId="117" xfId="79" applyFont="1" applyFill="1" applyBorder="1" applyAlignment="1">
      <alignment horizontal="left"/>
    </xf>
    <xf numFmtId="0" fontId="3" fillId="2" borderId="118" xfId="79" applyFont="1" applyFill="1" applyBorder="1" applyAlignment="1">
      <alignment horizontal="left"/>
    </xf>
    <xf numFmtId="0" fontId="3" fillId="2" borderId="119" xfId="80" applyFont="1" applyFill="1" applyBorder="1" applyAlignment="1">
      <alignment horizontal="left"/>
    </xf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/>
    <xf numFmtId="9" fontId="33" fillId="0" borderId="84" xfId="0" applyNumberFormat="1" applyFont="1" applyFill="1" applyBorder="1"/>
    <xf numFmtId="0" fontId="33" fillId="0" borderId="121" xfId="0" applyFont="1" applyFill="1" applyBorder="1"/>
    <xf numFmtId="0" fontId="33" fillId="0" borderId="122" xfId="0" applyFont="1" applyFill="1" applyBorder="1"/>
    <xf numFmtId="0" fontId="33" fillId="0" borderId="122" xfId="0" applyFont="1" applyFill="1" applyBorder="1" applyAlignment="1">
      <alignment horizontal="right"/>
    </xf>
    <xf numFmtId="0" fontId="33" fillId="0" borderId="122" xfId="0" applyFont="1" applyFill="1" applyBorder="1" applyAlignment="1">
      <alignment horizontal="left"/>
    </xf>
    <xf numFmtId="164" fontId="33" fillId="0" borderId="122" xfId="0" applyNumberFormat="1" applyFont="1" applyFill="1" applyBorder="1"/>
    <xf numFmtId="165" fontId="33" fillId="0" borderId="122" xfId="0" applyNumberFormat="1" applyFont="1" applyFill="1" applyBorder="1"/>
    <xf numFmtId="9" fontId="33" fillId="0" borderId="122" xfId="0" applyNumberFormat="1" applyFont="1" applyFill="1" applyBorder="1"/>
    <xf numFmtId="9" fontId="33" fillId="0" borderId="123" xfId="0" applyNumberFormat="1" applyFont="1" applyFill="1" applyBorder="1"/>
    <xf numFmtId="0" fontId="33" fillId="0" borderId="124" xfId="0" applyFont="1" applyFill="1" applyBorder="1"/>
    <xf numFmtId="0" fontId="33" fillId="0" borderId="125" xfId="0" applyFont="1" applyFill="1" applyBorder="1"/>
    <xf numFmtId="0" fontId="33" fillId="0" borderId="125" xfId="0" applyFont="1" applyFill="1" applyBorder="1" applyAlignment="1">
      <alignment horizontal="right"/>
    </xf>
    <xf numFmtId="0" fontId="33" fillId="0" borderId="125" xfId="0" applyFont="1" applyFill="1" applyBorder="1" applyAlignment="1">
      <alignment horizontal="left"/>
    </xf>
    <xf numFmtId="164" fontId="33" fillId="0" borderId="125" xfId="0" applyNumberFormat="1" applyFont="1" applyFill="1" applyBorder="1"/>
    <xf numFmtId="165" fontId="33" fillId="0" borderId="125" xfId="0" applyNumberFormat="1" applyFont="1" applyFill="1" applyBorder="1"/>
    <xf numFmtId="9" fontId="33" fillId="0" borderId="125" xfId="0" applyNumberFormat="1" applyFont="1" applyFill="1" applyBorder="1"/>
    <xf numFmtId="9" fontId="33" fillId="0" borderId="126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122" xfId="0" applyNumberFormat="1" applyBorder="1"/>
    <xf numFmtId="9" fontId="0" fillId="0" borderId="122" xfId="0" applyNumberFormat="1" applyBorder="1"/>
    <xf numFmtId="9" fontId="0" fillId="0" borderId="123" xfId="0" applyNumberFormat="1" applyBorder="1"/>
    <xf numFmtId="0" fontId="59" fillId="0" borderId="121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3" fontId="33" fillId="0" borderId="84" xfId="0" applyNumberFormat="1" applyFont="1" applyFill="1" applyBorder="1"/>
    <xf numFmtId="169" fontId="33" fillId="0" borderId="84" xfId="0" applyNumberFormat="1" applyFont="1" applyFill="1" applyBorder="1"/>
    <xf numFmtId="169" fontId="33" fillId="0" borderId="126" xfId="0" applyNumberFormat="1" applyFont="1" applyFill="1" applyBorder="1"/>
    <xf numFmtId="3" fontId="33" fillId="0" borderId="122" xfId="0" applyNumberFormat="1" applyFont="1" applyFill="1" applyBorder="1"/>
    <xf numFmtId="169" fontId="33" fillId="0" borderId="122" xfId="0" applyNumberFormat="1" applyFont="1" applyFill="1" applyBorder="1"/>
    <xf numFmtId="169" fontId="33" fillId="0" borderId="123" xfId="0" applyNumberFormat="1" applyFont="1" applyFill="1" applyBorder="1"/>
    <xf numFmtId="0" fontId="40" fillId="0" borderId="24" xfId="0" applyFont="1" applyFill="1" applyBorder="1"/>
    <xf numFmtId="0" fontId="40" fillId="0" borderId="124" xfId="0" applyFont="1" applyFill="1" applyBorder="1"/>
    <xf numFmtId="0" fontId="40" fillId="0" borderId="121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126" xfId="0" applyNumberFormat="1" applyFont="1" applyFill="1" applyBorder="1"/>
    <xf numFmtId="3" fontId="33" fillId="0" borderId="123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8" totalsRowShown="0">
  <autoFilter ref="C3:S4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7" t="s">
        <v>104</v>
      </c>
      <c r="B1" s="287"/>
    </row>
    <row r="2" spans="1:3" ht="14.45" customHeight="1" thickBot="1" x14ac:dyDescent="0.25">
      <c r="A2" s="392" t="s">
        <v>232</v>
      </c>
      <c r="B2" s="41"/>
    </row>
    <row r="3" spans="1:3" ht="14.45" customHeight="1" thickBot="1" x14ac:dyDescent="0.25">
      <c r="A3" s="283" t="s">
        <v>124</v>
      </c>
      <c r="B3" s="284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5" t="s">
        <v>105</v>
      </c>
      <c r="B10" s="284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312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6" t="s">
        <v>106</v>
      </c>
      <c r="B16" s="284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328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335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345</v>
      </c>
      <c r="C19" s="42" t="s">
        <v>116</v>
      </c>
    </row>
    <row r="20" spans="1:3" ht="14.45" customHeight="1" x14ac:dyDescent="0.25">
      <c r="A20" s="229" t="str">
        <f>HYPERLINK("#'"&amp;C20&amp;"'!A1",C20)</f>
        <v>ZV Vykáz.-A Det.Lék.</v>
      </c>
      <c r="B20" s="79" t="s">
        <v>346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388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CFB029BE-1EBA-415E-ADC6-09DBE3E4EF1E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4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8" t="s">
        <v>102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5.75" thickBot="1" x14ac:dyDescent="0.3">
      <c r="A2" s="392" t="s">
        <v>232</v>
      </c>
      <c r="B2" s="214"/>
    </row>
    <row r="3" spans="1:19" x14ac:dyDescent="0.25">
      <c r="A3" s="360" t="s">
        <v>165</v>
      </c>
      <c r="B3" s="361"/>
      <c r="C3" s="362" t="s">
        <v>154</v>
      </c>
      <c r="D3" s="363"/>
      <c r="E3" s="363"/>
      <c r="F3" s="364"/>
      <c r="G3" s="365" t="s">
        <v>155</v>
      </c>
      <c r="H3" s="366"/>
      <c r="I3" s="366"/>
      <c r="J3" s="367"/>
      <c r="K3" s="368" t="s">
        <v>164</v>
      </c>
      <c r="L3" s="369"/>
      <c r="M3" s="369"/>
      <c r="N3" s="369"/>
      <c r="O3" s="370"/>
      <c r="P3" s="366" t="s">
        <v>204</v>
      </c>
      <c r="Q3" s="366"/>
      <c r="R3" s="366"/>
      <c r="S3" s="367"/>
    </row>
    <row r="4" spans="1:19" ht="15.75" thickBot="1" x14ac:dyDescent="0.3">
      <c r="A4" s="340">
        <v>2020</v>
      </c>
      <c r="B4" s="341"/>
      <c r="C4" s="342" t="s">
        <v>203</v>
      </c>
      <c r="D4" s="344" t="s">
        <v>103</v>
      </c>
      <c r="E4" s="344" t="s">
        <v>71</v>
      </c>
      <c r="F4" s="346" t="s">
        <v>64</v>
      </c>
      <c r="G4" s="334" t="s">
        <v>156</v>
      </c>
      <c r="H4" s="336" t="s">
        <v>160</v>
      </c>
      <c r="I4" s="336" t="s">
        <v>202</v>
      </c>
      <c r="J4" s="338" t="s">
        <v>157</v>
      </c>
      <c r="K4" s="357" t="s">
        <v>201</v>
      </c>
      <c r="L4" s="358"/>
      <c r="M4" s="358"/>
      <c r="N4" s="359"/>
      <c r="O4" s="346" t="s">
        <v>200</v>
      </c>
      <c r="P4" s="349" t="s">
        <v>199</v>
      </c>
      <c r="Q4" s="349" t="s">
        <v>167</v>
      </c>
      <c r="R4" s="351" t="s">
        <v>71</v>
      </c>
      <c r="S4" s="353" t="s">
        <v>166</v>
      </c>
    </row>
    <row r="5" spans="1:19" s="269" customFormat="1" ht="19.149999999999999" customHeight="1" x14ac:dyDescent="0.25">
      <c r="A5" s="355" t="s">
        <v>198</v>
      </c>
      <c r="B5" s="356"/>
      <c r="C5" s="343"/>
      <c r="D5" s="345"/>
      <c r="E5" s="345"/>
      <c r="F5" s="347"/>
      <c r="G5" s="335"/>
      <c r="H5" s="337"/>
      <c r="I5" s="337"/>
      <c r="J5" s="339"/>
      <c r="K5" s="272" t="s">
        <v>158</v>
      </c>
      <c r="L5" s="271" t="s">
        <v>159</v>
      </c>
      <c r="M5" s="271" t="s">
        <v>197</v>
      </c>
      <c r="N5" s="270" t="s">
        <v>3</v>
      </c>
      <c r="O5" s="347"/>
      <c r="P5" s="350"/>
      <c r="Q5" s="350"/>
      <c r="R5" s="352"/>
      <c r="S5" s="354"/>
    </row>
    <row r="6" spans="1:19" ht="15.75" thickBot="1" x14ac:dyDescent="0.3">
      <c r="A6" s="332" t="s">
        <v>153</v>
      </c>
      <c r="B6" s="333"/>
      <c r="C6" s="268">
        <f ca="1">SUM(Tabulka[01 uv_sk])/2</f>
        <v>3.75</v>
      </c>
      <c r="D6" s="266"/>
      <c r="E6" s="266"/>
      <c r="F6" s="265"/>
      <c r="G6" s="267">
        <f ca="1">SUM(Tabulka[05 h_vram])/2</f>
        <v>3031.6000000000004</v>
      </c>
      <c r="H6" s="266">
        <f ca="1">SUM(Tabulka[06 h_naduv])/2</f>
        <v>0</v>
      </c>
      <c r="I6" s="266">
        <f ca="1">SUM(Tabulka[07 h_nadzk])/2</f>
        <v>0</v>
      </c>
      <c r="J6" s="265">
        <f ca="1">SUM(Tabulka[08 h_oon])/2</f>
        <v>0</v>
      </c>
      <c r="K6" s="267">
        <f ca="1">SUM(Tabulka[09 m_kl])/2</f>
        <v>0</v>
      </c>
      <c r="L6" s="266">
        <f ca="1">SUM(Tabulka[10 m_gr])/2</f>
        <v>0</v>
      </c>
      <c r="M6" s="266">
        <f ca="1">SUM(Tabulka[11 m_jo])/2</f>
        <v>0</v>
      </c>
      <c r="N6" s="266">
        <f ca="1">SUM(Tabulka[12 m_oc])/2</f>
        <v>0</v>
      </c>
      <c r="O6" s="265">
        <f ca="1">SUM(Tabulka[13 m_sk])/2</f>
        <v>776155</v>
      </c>
      <c r="P6" s="264">
        <f ca="1">SUM(Tabulka[14_vzsk])/2</f>
        <v>0</v>
      </c>
      <c r="Q6" s="264">
        <f ca="1">SUM(Tabulka[15_vzpl])/2</f>
        <v>2963.0987292277614</v>
      </c>
      <c r="R6" s="263">
        <f ca="1">IF(Q6=0,0,P6/Q6)</f>
        <v>0</v>
      </c>
      <c r="S6" s="262">
        <f ca="1">Q6-P6</f>
        <v>2963.0987292277614</v>
      </c>
    </row>
    <row r="7" spans="1:19" hidden="1" x14ac:dyDescent="0.25">
      <c r="A7" s="261" t="s">
        <v>196</v>
      </c>
      <c r="B7" s="260" t="s">
        <v>195</v>
      </c>
      <c r="C7" s="259" t="s">
        <v>194</v>
      </c>
      <c r="D7" s="258" t="s">
        <v>193</v>
      </c>
      <c r="E7" s="257" t="s">
        <v>192</v>
      </c>
      <c r="F7" s="256" t="s">
        <v>191</v>
      </c>
      <c r="G7" s="255" t="s">
        <v>190</v>
      </c>
      <c r="H7" s="253" t="s">
        <v>189</v>
      </c>
      <c r="I7" s="253" t="s">
        <v>188</v>
      </c>
      <c r="J7" s="252" t="s">
        <v>187</v>
      </c>
      <c r="K7" s="254" t="s">
        <v>186</v>
      </c>
      <c r="L7" s="253" t="s">
        <v>185</v>
      </c>
      <c r="M7" s="253" t="s">
        <v>184</v>
      </c>
      <c r="N7" s="252" t="s">
        <v>183</v>
      </c>
      <c r="O7" s="251" t="s">
        <v>182</v>
      </c>
      <c r="P7" s="250" t="s">
        <v>181</v>
      </c>
      <c r="Q7" s="249" t="s">
        <v>180</v>
      </c>
      <c r="R7" s="248" t="s">
        <v>179</v>
      </c>
      <c r="S7" s="247" t="s">
        <v>178</v>
      </c>
    </row>
    <row r="8" spans="1:19" x14ac:dyDescent="0.25">
      <c r="A8" s="244" t="s">
        <v>177</v>
      </c>
      <c r="B8" s="243"/>
      <c r="C8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2.7</v>
      </c>
      <c r="D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2249.6</v>
      </c>
      <c r="H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657711</v>
      </c>
      <c r="P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2963.0987292277614</v>
      </c>
      <c r="R8" s="246">
        <f ca="1">IF(Tabulka[[#This Row],[15_vzpl]]=0,"",Tabulka[[#This Row],[14_vzsk]]/Tabulka[[#This Row],[15_vzpl]])</f>
        <v>0</v>
      </c>
      <c r="S8" s="245">
        <f ca="1">IF(Tabulka[[#This Row],[15_vzpl]]-Tabulka[[#This Row],[14_vzsk]]=0,"",Tabulka[[#This Row],[15_vzpl]]-Tabulka[[#This Row],[14_vzsk]])</f>
        <v>2963.0987292277614</v>
      </c>
    </row>
    <row r="9" spans="1:19" x14ac:dyDescent="0.25">
      <c r="A9" s="244">
        <v>99</v>
      </c>
      <c r="B9" s="243" t="s">
        <v>321</v>
      </c>
      <c r="C9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840</v>
      </c>
      <c r="H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177171</v>
      </c>
      <c r="P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2963.0987292277614</v>
      </c>
      <c r="R9" s="246">
        <f ca="1">IF(Tabulka[[#This Row],[15_vzpl]]=0,"",Tabulka[[#This Row],[14_vzsk]]/Tabulka[[#This Row],[15_vzpl]])</f>
        <v>0</v>
      </c>
      <c r="S9" s="245">
        <f ca="1">IF(Tabulka[[#This Row],[15_vzpl]]-Tabulka[[#This Row],[14_vzsk]]=0,"",Tabulka[[#This Row],[15_vzpl]]-Tabulka[[#This Row],[14_vzsk]])</f>
        <v>2963.0987292277614</v>
      </c>
    </row>
    <row r="10" spans="1:19" x14ac:dyDescent="0.25">
      <c r="A10" s="244">
        <v>101</v>
      </c>
      <c r="B10" s="243" t="s">
        <v>322</v>
      </c>
      <c r="C10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</v>
      </c>
      <c r="D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452105</v>
      </c>
      <c r="P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6" t="str">
        <f ca="1">IF(Tabulka[[#This Row],[15_vzpl]]=0,"",Tabulka[[#This Row],[14_vzsk]]/Tabulka[[#This Row],[15_vzpl]])</f>
        <v/>
      </c>
      <c r="S10" s="245" t="str">
        <f ca="1">IF(Tabulka[[#This Row],[15_vzpl]]-Tabulka[[#This Row],[14_vzsk]]=0,"",Tabulka[[#This Row],[15_vzpl]]-Tabulka[[#This Row],[14_vzsk]])</f>
        <v/>
      </c>
    </row>
    <row r="11" spans="1:19" x14ac:dyDescent="0.25">
      <c r="A11" s="244">
        <v>203</v>
      </c>
      <c r="B11" s="243" t="s">
        <v>323</v>
      </c>
      <c r="C11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</v>
      </c>
      <c r="D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161.6</v>
      </c>
      <c r="H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28435</v>
      </c>
      <c r="P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6" t="str">
        <f ca="1">IF(Tabulka[[#This Row],[15_vzpl]]=0,"",Tabulka[[#This Row],[14_vzsk]]/Tabulka[[#This Row],[15_vzpl]])</f>
        <v/>
      </c>
      <c r="S11" s="245" t="str">
        <f ca="1">IF(Tabulka[[#This Row],[15_vzpl]]-Tabulka[[#This Row],[14_vzsk]]=0,"",Tabulka[[#This Row],[15_vzpl]]-Tabulka[[#This Row],[14_vzsk]])</f>
        <v/>
      </c>
    </row>
    <row r="12" spans="1:19" x14ac:dyDescent="0.25">
      <c r="A12" s="244" t="s">
        <v>313</v>
      </c>
      <c r="B12" s="243"/>
      <c r="C12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41.2</v>
      </c>
      <c r="H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14086</v>
      </c>
      <c r="P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6" t="str">
        <f ca="1">IF(Tabulka[[#This Row],[15_vzpl]]=0,"",Tabulka[[#This Row],[14_vzsk]]/Tabulka[[#This Row],[15_vzpl]])</f>
        <v/>
      </c>
      <c r="S12" s="245" t="str">
        <f ca="1">IF(Tabulka[[#This Row],[15_vzpl]]-Tabulka[[#This Row],[14_vzsk]]=0,"",Tabulka[[#This Row],[15_vzpl]]-Tabulka[[#This Row],[14_vzsk]])</f>
        <v/>
      </c>
    </row>
    <row r="13" spans="1:19" x14ac:dyDescent="0.25">
      <c r="A13" s="244">
        <v>526</v>
      </c>
      <c r="B13" s="243" t="s">
        <v>324</v>
      </c>
      <c r="C13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0.05</v>
      </c>
      <c r="D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41.2</v>
      </c>
      <c r="H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14086</v>
      </c>
      <c r="P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6" t="str">
        <f ca="1">IF(Tabulka[[#This Row],[15_vzpl]]=0,"",Tabulka[[#This Row],[14_vzsk]]/Tabulka[[#This Row],[15_vzpl]])</f>
        <v/>
      </c>
      <c r="S13" s="245" t="str">
        <f ca="1">IF(Tabulka[[#This Row],[15_vzpl]]-Tabulka[[#This Row],[14_vzsk]]=0,"",Tabulka[[#This Row],[15_vzpl]]-Tabulka[[#This Row],[14_vzsk]])</f>
        <v/>
      </c>
    </row>
    <row r="14" spans="1:19" x14ac:dyDescent="0.25">
      <c r="A14" s="244" t="s">
        <v>314</v>
      </c>
      <c r="B14" s="243"/>
      <c r="C14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740.8</v>
      </c>
      <c r="H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104358</v>
      </c>
      <c r="P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6" t="str">
        <f ca="1">IF(Tabulka[[#This Row],[15_vzpl]]=0,"",Tabulka[[#This Row],[14_vzsk]]/Tabulka[[#This Row],[15_vzpl]])</f>
        <v/>
      </c>
      <c r="S14" s="245" t="str">
        <f ca="1">IF(Tabulka[[#This Row],[15_vzpl]]-Tabulka[[#This Row],[14_vzsk]]=0,"",Tabulka[[#This Row],[15_vzpl]]-Tabulka[[#This Row],[14_vzsk]])</f>
        <v/>
      </c>
    </row>
    <row r="15" spans="1:19" x14ac:dyDescent="0.25">
      <c r="A15" s="244">
        <v>30</v>
      </c>
      <c r="B15" s="243" t="s">
        <v>325</v>
      </c>
      <c r="C15" s="23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740.8</v>
      </c>
      <c r="H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104358</v>
      </c>
      <c r="P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6" t="str">
        <f ca="1">IF(Tabulka[[#This Row],[15_vzpl]]=0,"",Tabulka[[#This Row],[14_vzsk]]/Tabulka[[#This Row],[15_vzpl]])</f>
        <v/>
      </c>
      <c r="S15" s="245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6" t="s">
        <v>175</v>
      </c>
    </row>
    <row r="20" spans="1:1" x14ac:dyDescent="0.25">
      <c r="A20" s="216" t="s">
        <v>163</v>
      </c>
    </row>
    <row r="21" spans="1:1" x14ac:dyDescent="0.25">
      <c r="A21" s="218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648C6E40-A8C0-4523-983B-3C94E6D09BD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320</v>
      </c>
    </row>
    <row r="2" spans="1:19" x14ac:dyDescent="0.25">
      <c r="A2" s="392" t="s">
        <v>232</v>
      </c>
    </row>
    <row r="3" spans="1:19" x14ac:dyDescent="0.25">
      <c r="A3" s="282" t="s">
        <v>140</v>
      </c>
      <c r="B3" s="281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0" t="s">
        <v>141</v>
      </c>
      <c r="B4" s="279">
        <v>1</v>
      </c>
      <c r="C4" s="274">
        <v>1</v>
      </c>
      <c r="D4" s="274" t="s">
        <v>177</v>
      </c>
      <c r="E4" s="273">
        <v>2.7</v>
      </c>
      <c r="F4" s="273"/>
      <c r="G4" s="273"/>
      <c r="H4" s="273"/>
      <c r="I4" s="273">
        <v>445.6</v>
      </c>
      <c r="J4" s="273"/>
      <c r="K4" s="273"/>
      <c r="L4" s="273"/>
      <c r="M4" s="273"/>
      <c r="N4" s="273"/>
      <c r="O4" s="273"/>
      <c r="P4" s="273"/>
      <c r="Q4" s="273">
        <v>132399</v>
      </c>
      <c r="R4" s="273"/>
      <c r="S4" s="273">
        <v>592.6197458455523</v>
      </c>
    </row>
    <row r="5" spans="1:19" x14ac:dyDescent="0.25">
      <c r="A5" s="278" t="s">
        <v>142</v>
      </c>
      <c r="B5" s="277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0" t="s">
        <v>143</v>
      </c>
      <c r="B6" s="279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8" t="s">
        <v>144</v>
      </c>
      <c r="B7" s="277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0" t="s">
        <v>145</v>
      </c>
      <c r="B8" s="279">
        <v>5</v>
      </c>
      <c r="C8">
        <v>1</v>
      </c>
      <c r="D8" t="s">
        <v>313</v>
      </c>
      <c r="E8">
        <v>0.05</v>
      </c>
      <c r="I8">
        <v>8</v>
      </c>
      <c r="Q8">
        <v>2842</v>
      </c>
    </row>
    <row r="9" spans="1:19" x14ac:dyDescent="0.25">
      <c r="A9" s="278" t="s">
        <v>146</v>
      </c>
      <c r="B9" s="277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0" t="s">
        <v>147</v>
      </c>
      <c r="B10" s="279">
        <v>7</v>
      </c>
      <c r="C10">
        <v>1</v>
      </c>
      <c r="D10" t="s">
        <v>314</v>
      </c>
      <c r="E10">
        <v>0.6</v>
      </c>
      <c r="I10">
        <v>109.6</v>
      </c>
      <c r="Q10">
        <v>12946</v>
      </c>
    </row>
    <row r="11" spans="1:19" x14ac:dyDescent="0.25">
      <c r="A11" s="278" t="s">
        <v>148</v>
      </c>
      <c r="B11" s="277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0" t="s">
        <v>149</v>
      </c>
      <c r="B12" s="279">
        <v>9</v>
      </c>
      <c r="C12" t="s">
        <v>315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8" t="s">
        <v>150</v>
      </c>
      <c r="B13" s="277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0" t="s">
        <v>151</v>
      </c>
      <c r="B14" s="279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8" t="s">
        <v>152</v>
      </c>
      <c r="B15" s="277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6" t="s">
        <v>140</v>
      </c>
      <c r="B16" s="275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313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314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316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313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314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317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313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314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318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313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314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319</v>
      </c>
      <c r="E48">
        <v>4.3499999999999996</v>
      </c>
      <c r="I48">
        <v>642.40000000000009</v>
      </c>
      <c r="Q48">
        <v>167458</v>
      </c>
      <c r="S48">
        <v>592.6197458455523</v>
      </c>
    </row>
  </sheetData>
  <hyperlinks>
    <hyperlink ref="A2" location="Obsah!A1" display="Zpět na Obsah  KL 01  1.-4.měsíc" xr:uid="{91A00E01-E58C-497E-B81A-C8F0B21892A4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1" t="s">
        <v>328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</row>
    <row r="2" spans="1:28" ht="14.45" customHeight="1" thickBot="1" x14ac:dyDescent="0.25">
      <c r="A2" s="392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710</v>
      </c>
      <c r="C3" s="204">
        <f t="shared" ref="C3:Z3" si="0">SUBTOTAL(9,C6:C1048576)</f>
        <v>4</v>
      </c>
      <c r="D3" s="204"/>
      <c r="E3" s="204">
        <f>SUBTOTAL(9,E6:E1048576)/4</f>
        <v>2987</v>
      </c>
      <c r="F3" s="204"/>
      <c r="G3" s="204">
        <f t="shared" si="0"/>
        <v>4</v>
      </c>
      <c r="H3" s="204">
        <f>SUBTOTAL(9,H6:H1048576)/4</f>
        <v>2308</v>
      </c>
      <c r="I3" s="207">
        <f>IF(B3&lt;&gt;0,H3/B3,"")</f>
        <v>3.2507042253521128</v>
      </c>
      <c r="J3" s="205">
        <f>IF(E3&lt;&gt;0,H3/E3,"")</f>
        <v>0.77268162035487109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2" t="s">
        <v>172</v>
      </c>
      <c r="B4" s="373" t="s">
        <v>95</v>
      </c>
      <c r="C4" s="374"/>
      <c r="D4" s="375"/>
      <c r="E4" s="374"/>
      <c r="F4" s="375"/>
      <c r="G4" s="374"/>
      <c r="H4" s="374"/>
      <c r="I4" s="375"/>
      <c r="J4" s="376"/>
      <c r="K4" s="373" t="s">
        <v>96</v>
      </c>
      <c r="L4" s="375"/>
      <c r="M4" s="374"/>
      <c r="N4" s="374"/>
      <c r="O4" s="375"/>
      <c r="P4" s="374"/>
      <c r="Q4" s="374"/>
      <c r="R4" s="375"/>
      <c r="S4" s="376"/>
      <c r="T4" s="373" t="s">
        <v>97</v>
      </c>
      <c r="U4" s="375"/>
      <c r="V4" s="374"/>
      <c r="W4" s="374"/>
      <c r="X4" s="375"/>
      <c r="Y4" s="374"/>
      <c r="Z4" s="374"/>
      <c r="AA4" s="375"/>
      <c r="AB4" s="376"/>
    </row>
    <row r="5" spans="1:28" ht="14.45" customHeight="1" thickBot="1" x14ac:dyDescent="0.25">
      <c r="A5" s="458"/>
      <c r="B5" s="459">
        <v>2018</v>
      </c>
      <c r="C5" s="460"/>
      <c r="D5" s="460"/>
      <c r="E5" s="460">
        <v>2019</v>
      </c>
      <c r="F5" s="460"/>
      <c r="G5" s="460"/>
      <c r="H5" s="460">
        <v>2020</v>
      </c>
      <c r="I5" s="461" t="s">
        <v>231</v>
      </c>
      <c r="J5" s="462" t="s">
        <v>2</v>
      </c>
      <c r="K5" s="459">
        <v>2015</v>
      </c>
      <c r="L5" s="460"/>
      <c r="M5" s="460"/>
      <c r="N5" s="460">
        <v>2019</v>
      </c>
      <c r="O5" s="460"/>
      <c r="P5" s="460"/>
      <c r="Q5" s="460">
        <v>2020</v>
      </c>
      <c r="R5" s="461" t="s">
        <v>231</v>
      </c>
      <c r="S5" s="462" t="s">
        <v>2</v>
      </c>
      <c r="T5" s="459">
        <v>2015</v>
      </c>
      <c r="U5" s="460"/>
      <c r="V5" s="460"/>
      <c r="W5" s="460">
        <v>2019</v>
      </c>
      <c r="X5" s="460"/>
      <c r="Y5" s="460"/>
      <c r="Z5" s="460">
        <v>2020</v>
      </c>
      <c r="AA5" s="461" t="s">
        <v>231</v>
      </c>
      <c r="AB5" s="462" t="s">
        <v>2</v>
      </c>
    </row>
    <row r="6" spans="1:28" ht="14.45" customHeight="1" x14ac:dyDescent="0.25">
      <c r="A6" s="463" t="s">
        <v>326</v>
      </c>
      <c r="B6" s="464">
        <v>710</v>
      </c>
      <c r="C6" s="465">
        <v>1</v>
      </c>
      <c r="D6" s="465">
        <v>0.23769668563776364</v>
      </c>
      <c r="E6" s="464">
        <v>2987</v>
      </c>
      <c r="F6" s="465">
        <v>4.2070422535211272</v>
      </c>
      <c r="G6" s="465">
        <v>1</v>
      </c>
      <c r="H6" s="464">
        <v>2308</v>
      </c>
      <c r="I6" s="465">
        <v>3.2507042253521128</v>
      </c>
      <c r="J6" s="465">
        <v>0.77268162035487109</v>
      </c>
      <c r="K6" s="464"/>
      <c r="L6" s="465"/>
      <c r="M6" s="465"/>
      <c r="N6" s="464"/>
      <c r="O6" s="465"/>
      <c r="P6" s="465"/>
      <c r="Q6" s="464"/>
      <c r="R6" s="465"/>
      <c r="S6" s="465"/>
      <c r="T6" s="464"/>
      <c r="U6" s="465"/>
      <c r="V6" s="465"/>
      <c r="W6" s="464"/>
      <c r="X6" s="465"/>
      <c r="Y6" s="465"/>
      <c r="Z6" s="464"/>
      <c r="AA6" s="465"/>
      <c r="AB6" s="466"/>
    </row>
    <row r="7" spans="1:28" ht="14.45" customHeight="1" thickBot="1" x14ac:dyDescent="0.3">
      <c r="A7" s="470" t="s">
        <v>327</v>
      </c>
      <c r="B7" s="467">
        <v>710</v>
      </c>
      <c r="C7" s="468">
        <v>1</v>
      </c>
      <c r="D7" s="468">
        <v>0.23769668563776364</v>
      </c>
      <c r="E7" s="467">
        <v>2987</v>
      </c>
      <c r="F7" s="468">
        <v>4.2070422535211272</v>
      </c>
      <c r="G7" s="468">
        <v>1</v>
      </c>
      <c r="H7" s="467">
        <v>2308</v>
      </c>
      <c r="I7" s="468">
        <v>3.2507042253521128</v>
      </c>
      <c r="J7" s="468">
        <v>0.77268162035487109</v>
      </c>
      <c r="K7" s="467"/>
      <c r="L7" s="468"/>
      <c r="M7" s="468"/>
      <c r="N7" s="467"/>
      <c r="O7" s="468"/>
      <c r="P7" s="468"/>
      <c r="Q7" s="467"/>
      <c r="R7" s="468"/>
      <c r="S7" s="468"/>
      <c r="T7" s="467"/>
      <c r="U7" s="468"/>
      <c r="V7" s="468"/>
      <c r="W7" s="467"/>
      <c r="X7" s="468"/>
      <c r="Y7" s="468"/>
      <c r="Z7" s="467"/>
      <c r="AA7" s="468"/>
      <c r="AB7" s="469"/>
    </row>
    <row r="8" spans="1:28" ht="14.45" customHeight="1" thickBot="1" x14ac:dyDescent="0.25"/>
    <row r="9" spans="1:28" ht="14.45" customHeight="1" x14ac:dyDescent="0.25">
      <c r="A9" s="463" t="s">
        <v>329</v>
      </c>
      <c r="B9" s="464">
        <v>710</v>
      </c>
      <c r="C9" s="465">
        <v>1</v>
      </c>
      <c r="D9" s="465">
        <v>0.23769668563776364</v>
      </c>
      <c r="E9" s="464">
        <v>2987</v>
      </c>
      <c r="F9" s="465">
        <v>4.2070422535211272</v>
      </c>
      <c r="G9" s="465">
        <v>1</v>
      </c>
      <c r="H9" s="464">
        <v>2308</v>
      </c>
      <c r="I9" s="465">
        <v>3.2507042253521128</v>
      </c>
      <c r="J9" s="466">
        <v>0.77268162035487109</v>
      </c>
    </row>
    <row r="10" spans="1:28" ht="14.45" customHeight="1" thickBot="1" x14ac:dyDescent="0.3">
      <c r="A10" s="470" t="s">
        <v>330</v>
      </c>
      <c r="B10" s="467">
        <v>710</v>
      </c>
      <c r="C10" s="468">
        <v>1</v>
      </c>
      <c r="D10" s="468">
        <v>0.23769668563776364</v>
      </c>
      <c r="E10" s="467">
        <v>2987</v>
      </c>
      <c r="F10" s="468">
        <v>4.2070422535211272</v>
      </c>
      <c r="G10" s="468">
        <v>1</v>
      </c>
      <c r="H10" s="467">
        <v>2308</v>
      </c>
      <c r="I10" s="468">
        <v>3.2507042253521128</v>
      </c>
      <c r="J10" s="469">
        <v>0.77268162035487109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295</v>
      </c>
    </row>
    <row r="13" spans="1:28" ht="14.45" customHeight="1" x14ac:dyDescent="0.2">
      <c r="A13" s="403" t="s">
        <v>331</v>
      </c>
    </row>
    <row r="14" spans="1:28" ht="14.45" customHeight="1" x14ac:dyDescent="0.2">
      <c r="A14" s="403" t="s">
        <v>332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D45B798C-259B-4F57-8FF0-B23A1A4BF2A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1" t="s">
        <v>335</v>
      </c>
      <c r="B1" s="287"/>
      <c r="C1" s="287"/>
      <c r="D1" s="287"/>
      <c r="E1" s="287"/>
      <c r="F1" s="287"/>
      <c r="G1" s="287"/>
    </row>
    <row r="2" spans="1:7" ht="14.45" customHeight="1" thickBot="1" x14ac:dyDescent="0.25">
      <c r="A2" s="392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3" t="s">
        <v>120</v>
      </c>
      <c r="B3" s="221">
        <f t="shared" ref="B3:G3" si="0">SUBTOTAL(9,B6:B1048576)</f>
        <v>2</v>
      </c>
      <c r="C3" s="222">
        <f t="shared" si="0"/>
        <v>9</v>
      </c>
      <c r="D3" s="232">
        <f t="shared" si="0"/>
        <v>7</v>
      </c>
      <c r="E3" s="206">
        <f t="shared" si="0"/>
        <v>710</v>
      </c>
      <c r="F3" s="204">
        <f t="shared" si="0"/>
        <v>2987</v>
      </c>
      <c r="G3" s="223">
        <f t="shared" si="0"/>
        <v>2308</v>
      </c>
    </row>
    <row r="4" spans="1:7" ht="14.45" customHeight="1" x14ac:dyDescent="0.2">
      <c r="A4" s="372" t="s">
        <v>121</v>
      </c>
      <c r="B4" s="377" t="s">
        <v>170</v>
      </c>
      <c r="C4" s="375"/>
      <c r="D4" s="378"/>
      <c r="E4" s="377" t="s">
        <v>95</v>
      </c>
      <c r="F4" s="375"/>
      <c r="G4" s="378"/>
    </row>
    <row r="5" spans="1:7" ht="14.45" customHeight="1" thickBot="1" x14ac:dyDescent="0.25">
      <c r="A5" s="458"/>
      <c r="B5" s="459">
        <v>2018</v>
      </c>
      <c r="C5" s="460">
        <v>2019</v>
      </c>
      <c r="D5" s="471">
        <v>2020</v>
      </c>
      <c r="E5" s="459">
        <v>2018</v>
      </c>
      <c r="F5" s="460">
        <v>2019</v>
      </c>
      <c r="G5" s="471">
        <v>2020</v>
      </c>
    </row>
    <row r="6" spans="1:7" ht="14.45" customHeight="1" x14ac:dyDescent="0.2">
      <c r="A6" s="480" t="s">
        <v>298</v>
      </c>
      <c r="B6" s="102"/>
      <c r="C6" s="102">
        <v>1</v>
      </c>
      <c r="D6" s="102">
        <v>1</v>
      </c>
      <c r="E6" s="472"/>
      <c r="F6" s="472">
        <v>179</v>
      </c>
      <c r="G6" s="473">
        <v>352</v>
      </c>
    </row>
    <row r="7" spans="1:7" ht="14.45" customHeight="1" x14ac:dyDescent="0.2">
      <c r="A7" s="481" t="s">
        <v>333</v>
      </c>
      <c r="B7" s="474">
        <v>2</v>
      </c>
      <c r="C7" s="474">
        <v>4</v>
      </c>
      <c r="D7" s="474">
        <v>2</v>
      </c>
      <c r="E7" s="475">
        <v>710</v>
      </c>
      <c r="F7" s="475">
        <v>1408</v>
      </c>
      <c r="G7" s="476">
        <v>704</v>
      </c>
    </row>
    <row r="8" spans="1:7" ht="14.45" customHeight="1" thickBot="1" x14ac:dyDescent="0.25">
      <c r="A8" s="482" t="s">
        <v>334</v>
      </c>
      <c r="B8" s="477"/>
      <c r="C8" s="477">
        <v>4</v>
      </c>
      <c r="D8" s="477">
        <v>4</v>
      </c>
      <c r="E8" s="478"/>
      <c r="F8" s="478">
        <v>1400</v>
      </c>
      <c r="G8" s="479">
        <v>1252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295</v>
      </c>
    </row>
    <row r="11" spans="1:7" ht="14.45" customHeight="1" x14ac:dyDescent="0.2">
      <c r="A11" s="403" t="s">
        <v>331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9BC6BF68-CF25-44FC-B20E-51F84281D81A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7" t="s">
        <v>345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</row>
    <row r="2" spans="1:18" ht="14.45" customHeight="1" thickBot="1" x14ac:dyDescent="0.25">
      <c r="A2" s="392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2</v>
      </c>
      <c r="H3" s="89">
        <f t="shared" si="0"/>
        <v>710</v>
      </c>
      <c r="I3" s="65"/>
      <c r="J3" s="65"/>
      <c r="K3" s="89">
        <f t="shared" si="0"/>
        <v>9</v>
      </c>
      <c r="L3" s="89">
        <f t="shared" si="0"/>
        <v>2987</v>
      </c>
      <c r="M3" s="65"/>
      <c r="N3" s="65"/>
      <c r="O3" s="89">
        <f t="shared" si="0"/>
        <v>7</v>
      </c>
      <c r="P3" s="89">
        <f t="shared" si="0"/>
        <v>2308</v>
      </c>
      <c r="Q3" s="66">
        <f>IF(L3=0,0,P3/L3)</f>
        <v>0.77268162035487109</v>
      </c>
      <c r="R3" s="90">
        <f>IF(O3=0,0,P3/O3)</f>
        <v>329.71428571428572</v>
      </c>
    </row>
    <row r="4" spans="1:18" ht="14.45" customHeight="1" x14ac:dyDescent="0.2">
      <c r="A4" s="379" t="s">
        <v>173</v>
      </c>
      <c r="B4" s="379" t="s">
        <v>91</v>
      </c>
      <c r="C4" s="387" t="s">
        <v>0</v>
      </c>
      <c r="D4" s="381" t="s">
        <v>92</v>
      </c>
      <c r="E4" s="386" t="s">
        <v>67</v>
      </c>
      <c r="F4" s="382" t="s">
        <v>66</v>
      </c>
      <c r="G4" s="383">
        <v>2018</v>
      </c>
      <c r="H4" s="384"/>
      <c r="I4" s="87"/>
      <c r="J4" s="87"/>
      <c r="K4" s="383">
        <v>2019</v>
      </c>
      <c r="L4" s="384"/>
      <c r="M4" s="87"/>
      <c r="N4" s="87"/>
      <c r="O4" s="383">
        <v>2020</v>
      </c>
      <c r="P4" s="384"/>
      <c r="Q4" s="385" t="s">
        <v>2</v>
      </c>
      <c r="R4" s="380" t="s">
        <v>94</v>
      </c>
    </row>
    <row r="5" spans="1:18" ht="14.45" customHeight="1" thickBot="1" x14ac:dyDescent="0.25">
      <c r="A5" s="483"/>
      <c r="B5" s="483"/>
      <c r="C5" s="484"/>
      <c r="D5" s="485"/>
      <c r="E5" s="486"/>
      <c r="F5" s="487"/>
      <c r="G5" s="488" t="s">
        <v>68</v>
      </c>
      <c r="H5" s="489" t="s">
        <v>11</v>
      </c>
      <c r="I5" s="490"/>
      <c r="J5" s="490"/>
      <c r="K5" s="488" t="s">
        <v>68</v>
      </c>
      <c r="L5" s="489" t="s">
        <v>11</v>
      </c>
      <c r="M5" s="490"/>
      <c r="N5" s="490"/>
      <c r="O5" s="488" t="s">
        <v>68</v>
      </c>
      <c r="P5" s="489" t="s">
        <v>11</v>
      </c>
      <c r="Q5" s="491"/>
      <c r="R5" s="492"/>
    </row>
    <row r="6" spans="1:18" ht="14.45" customHeight="1" x14ac:dyDescent="0.2">
      <c r="A6" s="433" t="s">
        <v>336</v>
      </c>
      <c r="B6" s="434" t="s">
        <v>337</v>
      </c>
      <c r="C6" s="434" t="s">
        <v>329</v>
      </c>
      <c r="D6" s="434" t="s">
        <v>338</v>
      </c>
      <c r="E6" s="434" t="s">
        <v>339</v>
      </c>
      <c r="F6" s="434" t="s">
        <v>340</v>
      </c>
      <c r="G6" s="102">
        <v>2</v>
      </c>
      <c r="H6" s="102">
        <v>710</v>
      </c>
      <c r="I6" s="434">
        <v>1.9832402234636872</v>
      </c>
      <c r="J6" s="434">
        <v>355</v>
      </c>
      <c r="K6" s="102">
        <v>1</v>
      </c>
      <c r="L6" s="102">
        <v>358</v>
      </c>
      <c r="M6" s="434">
        <v>1</v>
      </c>
      <c r="N6" s="434">
        <v>358</v>
      </c>
      <c r="O6" s="102">
        <v>2</v>
      </c>
      <c r="P6" s="102">
        <v>720</v>
      </c>
      <c r="Q6" s="439">
        <v>2.011173184357542</v>
      </c>
      <c r="R6" s="493">
        <v>360</v>
      </c>
    </row>
    <row r="7" spans="1:18" ht="14.45" customHeight="1" x14ac:dyDescent="0.2">
      <c r="A7" s="450" t="s">
        <v>336</v>
      </c>
      <c r="B7" s="440" t="s">
        <v>337</v>
      </c>
      <c r="C7" s="440" t="s">
        <v>329</v>
      </c>
      <c r="D7" s="440" t="s">
        <v>338</v>
      </c>
      <c r="E7" s="440" t="s">
        <v>341</v>
      </c>
      <c r="F7" s="440" t="s">
        <v>342</v>
      </c>
      <c r="G7" s="474"/>
      <c r="H7" s="474"/>
      <c r="I7" s="440"/>
      <c r="J7" s="440"/>
      <c r="K7" s="474">
        <v>1</v>
      </c>
      <c r="L7" s="474">
        <v>179</v>
      </c>
      <c r="M7" s="440">
        <v>1</v>
      </c>
      <c r="N7" s="440">
        <v>179</v>
      </c>
      <c r="O7" s="474">
        <v>1</v>
      </c>
      <c r="P7" s="474">
        <v>180</v>
      </c>
      <c r="Q7" s="441">
        <v>1.005586592178771</v>
      </c>
      <c r="R7" s="494">
        <v>180</v>
      </c>
    </row>
    <row r="8" spans="1:18" ht="14.45" customHeight="1" thickBot="1" x14ac:dyDescent="0.25">
      <c r="A8" s="442" t="s">
        <v>336</v>
      </c>
      <c r="B8" s="443" t="s">
        <v>337</v>
      </c>
      <c r="C8" s="443" t="s">
        <v>329</v>
      </c>
      <c r="D8" s="443" t="s">
        <v>338</v>
      </c>
      <c r="E8" s="443" t="s">
        <v>343</v>
      </c>
      <c r="F8" s="443" t="s">
        <v>344</v>
      </c>
      <c r="G8" s="477"/>
      <c r="H8" s="477"/>
      <c r="I8" s="443"/>
      <c r="J8" s="443"/>
      <c r="K8" s="477">
        <v>7</v>
      </c>
      <c r="L8" s="477">
        <v>2450</v>
      </c>
      <c r="M8" s="443">
        <v>1</v>
      </c>
      <c r="N8" s="443">
        <v>350</v>
      </c>
      <c r="O8" s="477">
        <v>4</v>
      </c>
      <c r="P8" s="477">
        <v>1408</v>
      </c>
      <c r="Q8" s="448">
        <v>0.57469387755102042</v>
      </c>
      <c r="R8" s="495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27D5B416-D50A-4312-A451-C803F303CBA9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7" t="s">
        <v>346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</row>
    <row r="2" spans="1:19" ht="14.45" customHeight="1" thickBot="1" x14ac:dyDescent="0.25">
      <c r="A2" s="392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2</v>
      </c>
      <c r="I3" s="89">
        <f t="shared" si="0"/>
        <v>710</v>
      </c>
      <c r="J3" s="65"/>
      <c r="K3" s="65"/>
      <c r="L3" s="89">
        <f t="shared" si="0"/>
        <v>9</v>
      </c>
      <c r="M3" s="89">
        <f t="shared" si="0"/>
        <v>2987</v>
      </c>
      <c r="N3" s="65"/>
      <c r="O3" s="65"/>
      <c r="P3" s="89">
        <f t="shared" si="0"/>
        <v>7</v>
      </c>
      <c r="Q3" s="89">
        <f t="shared" si="0"/>
        <v>2308</v>
      </c>
      <c r="R3" s="66">
        <f>IF(M3=0,0,Q3/M3)</f>
        <v>0.77268162035487109</v>
      </c>
      <c r="S3" s="90">
        <f>IF(P3=0,0,Q3/P3)</f>
        <v>329.71428571428572</v>
      </c>
    </row>
    <row r="4" spans="1:19" ht="14.45" customHeight="1" x14ac:dyDescent="0.2">
      <c r="A4" s="379" t="s">
        <v>173</v>
      </c>
      <c r="B4" s="379" t="s">
        <v>91</v>
      </c>
      <c r="C4" s="387" t="s">
        <v>0</v>
      </c>
      <c r="D4" s="228" t="s">
        <v>121</v>
      </c>
      <c r="E4" s="381" t="s">
        <v>92</v>
      </c>
      <c r="F4" s="386" t="s">
        <v>67</v>
      </c>
      <c r="G4" s="382" t="s">
        <v>66</v>
      </c>
      <c r="H4" s="383">
        <v>2018</v>
      </c>
      <c r="I4" s="384"/>
      <c r="J4" s="87"/>
      <c r="K4" s="87"/>
      <c r="L4" s="383">
        <v>2019</v>
      </c>
      <c r="M4" s="384"/>
      <c r="N4" s="87"/>
      <c r="O4" s="87"/>
      <c r="P4" s="383">
        <v>2020</v>
      </c>
      <c r="Q4" s="384"/>
      <c r="R4" s="385" t="s">
        <v>2</v>
      </c>
      <c r="S4" s="380" t="s">
        <v>94</v>
      </c>
    </row>
    <row r="5" spans="1:19" ht="14.45" customHeight="1" thickBot="1" x14ac:dyDescent="0.25">
      <c r="A5" s="483"/>
      <c r="B5" s="483"/>
      <c r="C5" s="484"/>
      <c r="D5" s="496"/>
      <c r="E5" s="485"/>
      <c r="F5" s="486"/>
      <c r="G5" s="487"/>
      <c r="H5" s="488" t="s">
        <v>68</v>
      </c>
      <c r="I5" s="489" t="s">
        <v>11</v>
      </c>
      <c r="J5" s="490"/>
      <c r="K5" s="490"/>
      <c r="L5" s="488" t="s">
        <v>68</v>
      </c>
      <c r="M5" s="489" t="s">
        <v>11</v>
      </c>
      <c r="N5" s="490"/>
      <c r="O5" s="490"/>
      <c r="P5" s="488" t="s">
        <v>68</v>
      </c>
      <c r="Q5" s="489" t="s">
        <v>11</v>
      </c>
      <c r="R5" s="491"/>
      <c r="S5" s="492"/>
    </row>
    <row r="6" spans="1:19" ht="14.45" customHeight="1" x14ac:dyDescent="0.2">
      <c r="A6" s="433" t="s">
        <v>336</v>
      </c>
      <c r="B6" s="434" t="s">
        <v>337</v>
      </c>
      <c r="C6" s="434" t="s">
        <v>329</v>
      </c>
      <c r="D6" s="434" t="s">
        <v>298</v>
      </c>
      <c r="E6" s="434" t="s">
        <v>338</v>
      </c>
      <c r="F6" s="434" t="s">
        <v>341</v>
      </c>
      <c r="G6" s="434" t="s">
        <v>342</v>
      </c>
      <c r="H6" s="102"/>
      <c r="I6" s="102"/>
      <c r="J6" s="434"/>
      <c r="K6" s="434"/>
      <c r="L6" s="102">
        <v>1</v>
      </c>
      <c r="M6" s="102">
        <v>179</v>
      </c>
      <c r="N6" s="434">
        <v>1</v>
      </c>
      <c r="O6" s="434">
        <v>179</v>
      </c>
      <c r="P6" s="102"/>
      <c r="Q6" s="102"/>
      <c r="R6" s="439"/>
      <c r="S6" s="493"/>
    </row>
    <row r="7" spans="1:19" ht="14.45" customHeight="1" x14ac:dyDescent="0.2">
      <c r="A7" s="450" t="s">
        <v>336</v>
      </c>
      <c r="B7" s="440" t="s">
        <v>337</v>
      </c>
      <c r="C7" s="440" t="s">
        <v>329</v>
      </c>
      <c r="D7" s="440" t="s">
        <v>298</v>
      </c>
      <c r="E7" s="440" t="s">
        <v>338</v>
      </c>
      <c r="F7" s="440" t="s">
        <v>343</v>
      </c>
      <c r="G7" s="440" t="s">
        <v>344</v>
      </c>
      <c r="H7" s="474"/>
      <c r="I7" s="474"/>
      <c r="J7" s="440"/>
      <c r="K7" s="440"/>
      <c r="L7" s="474"/>
      <c r="M7" s="474"/>
      <c r="N7" s="440"/>
      <c r="O7" s="440"/>
      <c r="P7" s="474">
        <v>1</v>
      </c>
      <c r="Q7" s="474">
        <v>352</v>
      </c>
      <c r="R7" s="441"/>
      <c r="S7" s="494">
        <v>352</v>
      </c>
    </row>
    <row r="8" spans="1:19" ht="14.45" customHeight="1" x14ac:dyDescent="0.2">
      <c r="A8" s="450" t="s">
        <v>336</v>
      </c>
      <c r="B8" s="440" t="s">
        <v>337</v>
      </c>
      <c r="C8" s="440" t="s">
        <v>329</v>
      </c>
      <c r="D8" s="440" t="s">
        <v>333</v>
      </c>
      <c r="E8" s="440" t="s">
        <v>338</v>
      </c>
      <c r="F8" s="440" t="s">
        <v>339</v>
      </c>
      <c r="G8" s="440" t="s">
        <v>340</v>
      </c>
      <c r="H8" s="474">
        <v>2</v>
      </c>
      <c r="I8" s="474">
        <v>710</v>
      </c>
      <c r="J8" s="440">
        <v>1.9832402234636872</v>
      </c>
      <c r="K8" s="440">
        <v>355</v>
      </c>
      <c r="L8" s="474">
        <v>1</v>
      </c>
      <c r="M8" s="474">
        <v>358</v>
      </c>
      <c r="N8" s="440">
        <v>1</v>
      </c>
      <c r="O8" s="440">
        <v>358</v>
      </c>
      <c r="P8" s="474"/>
      <c r="Q8" s="474"/>
      <c r="R8" s="441"/>
      <c r="S8" s="494"/>
    </row>
    <row r="9" spans="1:19" ht="14.45" customHeight="1" x14ac:dyDescent="0.2">
      <c r="A9" s="450" t="s">
        <v>336</v>
      </c>
      <c r="B9" s="440" t="s">
        <v>337</v>
      </c>
      <c r="C9" s="440" t="s">
        <v>329</v>
      </c>
      <c r="D9" s="440" t="s">
        <v>333</v>
      </c>
      <c r="E9" s="440" t="s">
        <v>338</v>
      </c>
      <c r="F9" s="440" t="s">
        <v>343</v>
      </c>
      <c r="G9" s="440" t="s">
        <v>344</v>
      </c>
      <c r="H9" s="474"/>
      <c r="I9" s="474"/>
      <c r="J9" s="440"/>
      <c r="K9" s="440"/>
      <c r="L9" s="474">
        <v>3</v>
      </c>
      <c r="M9" s="474">
        <v>1050</v>
      </c>
      <c r="N9" s="440">
        <v>1</v>
      </c>
      <c r="O9" s="440">
        <v>350</v>
      </c>
      <c r="P9" s="474">
        <v>2</v>
      </c>
      <c r="Q9" s="474">
        <v>704</v>
      </c>
      <c r="R9" s="441">
        <v>0.67047619047619045</v>
      </c>
      <c r="S9" s="494">
        <v>352</v>
      </c>
    </row>
    <row r="10" spans="1:19" ht="14.45" customHeight="1" x14ac:dyDescent="0.2">
      <c r="A10" s="450" t="s">
        <v>336</v>
      </c>
      <c r="B10" s="440" t="s">
        <v>337</v>
      </c>
      <c r="C10" s="440" t="s">
        <v>329</v>
      </c>
      <c r="D10" s="440" t="s">
        <v>334</v>
      </c>
      <c r="E10" s="440" t="s">
        <v>338</v>
      </c>
      <c r="F10" s="440" t="s">
        <v>339</v>
      </c>
      <c r="G10" s="440" t="s">
        <v>340</v>
      </c>
      <c r="H10" s="474"/>
      <c r="I10" s="474"/>
      <c r="J10" s="440"/>
      <c r="K10" s="440"/>
      <c r="L10" s="474"/>
      <c r="M10" s="474"/>
      <c r="N10" s="440"/>
      <c r="O10" s="440"/>
      <c r="P10" s="474">
        <v>2</v>
      </c>
      <c r="Q10" s="474">
        <v>720</v>
      </c>
      <c r="R10" s="441"/>
      <c r="S10" s="494">
        <v>360</v>
      </c>
    </row>
    <row r="11" spans="1:19" ht="14.45" customHeight="1" x14ac:dyDescent="0.2">
      <c r="A11" s="450" t="s">
        <v>336</v>
      </c>
      <c r="B11" s="440" t="s">
        <v>337</v>
      </c>
      <c r="C11" s="440" t="s">
        <v>329</v>
      </c>
      <c r="D11" s="440" t="s">
        <v>334</v>
      </c>
      <c r="E11" s="440" t="s">
        <v>338</v>
      </c>
      <c r="F11" s="440" t="s">
        <v>341</v>
      </c>
      <c r="G11" s="440" t="s">
        <v>342</v>
      </c>
      <c r="H11" s="474"/>
      <c r="I11" s="474"/>
      <c r="J11" s="440"/>
      <c r="K11" s="440"/>
      <c r="L11" s="474"/>
      <c r="M11" s="474"/>
      <c r="N11" s="440"/>
      <c r="O11" s="440"/>
      <c r="P11" s="474">
        <v>1</v>
      </c>
      <c r="Q11" s="474">
        <v>180</v>
      </c>
      <c r="R11" s="441"/>
      <c r="S11" s="494">
        <v>180</v>
      </c>
    </row>
    <row r="12" spans="1:19" ht="14.45" customHeight="1" thickBot="1" x14ac:dyDescent="0.25">
      <c r="A12" s="442" t="s">
        <v>336</v>
      </c>
      <c r="B12" s="443" t="s">
        <v>337</v>
      </c>
      <c r="C12" s="443" t="s">
        <v>329</v>
      </c>
      <c r="D12" s="443" t="s">
        <v>334</v>
      </c>
      <c r="E12" s="443" t="s">
        <v>338</v>
      </c>
      <c r="F12" s="443" t="s">
        <v>343</v>
      </c>
      <c r="G12" s="443" t="s">
        <v>344</v>
      </c>
      <c r="H12" s="477"/>
      <c r="I12" s="477"/>
      <c r="J12" s="443"/>
      <c r="K12" s="443"/>
      <c r="L12" s="477">
        <v>4</v>
      </c>
      <c r="M12" s="477">
        <v>1400</v>
      </c>
      <c r="N12" s="443">
        <v>1</v>
      </c>
      <c r="O12" s="443">
        <v>350</v>
      </c>
      <c r="P12" s="477">
        <v>1</v>
      </c>
      <c r="Q12" s="477">
        <v>352</v>
      </c>
      <c r="R12" s="448">
        <v>0.25142857142857145</v>
      </c>
      <c r="S12" s="495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0605FEC-7F2C-45DD-AB85-972E33515483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6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299" t="s">
        <v>119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4.45" customHeight="1" thickBot="1" x14ac:dyDescent="0.25">
      <c r="A2" s="392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34811</v>
      </c>
      <c r="C3" s="204">
        <f t="shared" ref="C3:R3" si="0">SUBTOTAL(9,C6:C1048576)</f>
        <v>18.10420325118314</v>
      </c>
      <c r="D3" s="204">
        <f t="shared" si="0"/>
        <v>31862</v>
      </c>
      <c r="E3" s="204">
        <f t="shared" si="0"/>
        <v>14</v>
      </c>
      <c r="F3" s="204">
        <f t="shared" si="0"/>
        <v>37688</v>
      </c>
      <c r="G3" s="207">
        <f>IF(D3&lt;&gt;0,F3/D3,"")</f>
        <v>1.1828510451321324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2" t="s">
        <v>101</v>
      </c>
      <c r="B4" s="373" t="s">
        <v>95</v>
      </c>
      <c r="C4" s="374"/>
      <c r="D4" s="374"/>
      <c r="E4" s="374"/>
      <c r="F4" s="374"/>
      <c r="G4" s="376"/>
      <c r="H4" s="373" t="s">
        <v>96</v>
      </c>
      <c r="I4" s="374"/>
      <c r="J4" s="374"/>
      <c r="K4" s="374"/>
      <c r="L4" s="374"/>
      <c r="M4" s="376"/>
      <c r="N4" s="373" t="s">
        <v>97</v>
      </c>
      <c r="O4" s="374"/>
      <c r="P4" s="374"/>
      <c r="Q4" s="374"/>
      <c r="R4" s="374"/>
      <c r="S4" s="376"/>
    </row>
    <row r="5" spans="1:19" ht="14.45" customHeight="1" thickBot="1" x14ac:dyDescent="0.25">
      <c r="A5" s="458"/>
      <c r="B5" s="459">
        <v>2018</v>
      </c>
      <c r="C5" s="460"/>
      <c r="D5" s="460">
        <v>2019</v>
      </c>
      <c r="E5" s="460"/>
      <c r="F5" s="460">
        <v>2020</v>
      </c>
      <c r="G5" s="497" t="s">
        <v>2</v>
      </c>
      <c r="H5" s="459">
        <v>2018</v>
      </c>
      <c r="I5" s="460"/>
      <c r="J5" s="460">
        <v>2019</v>
      </c>
      <c r="K5" s="460"/>
      <c r="L5" s="460">
        <v>2020</v>
      </c>
      <c r="M5" s="497" t="s">
        <v>2</v>
      </c>
      <c r="N5" s="459">
        <v>2018</v>
      </c>
      <c r="O5" s="460"/>
      <c r="P5" s="460">
        <v>2019</v>
      </c>
      <c r="Q5" s="460"/>
      <c r="R5" s="460">
        <v>2020</v>
      </c>
      <c r="S5" s="497" t="s">
        <v>2</v>
      </c>
    </row>
    <row r="6" spans="1:19" ht="14.45" customHeight="1" x14ac:dyDescent="0.2">
      <c r="A6" s="480" t="s">
        <v>347</v>
      </c>
      <c r="B6" s="472">
        <v>1953</v>
      </c>
      <c r="C6" s="434">
        <v>1.0910614525139666</v>
      </c>
      <c r="D6" s="472">
        <v>1790</v>
      </c>
      <c r="E6" s="434">
        <v>1</v>
      </c>
      <c r="F6" s="472">
        <v>1440</v>
      </c>
      <c r="G6" s="439">
        <v>0.8044692737430168</v>
      </c>
      <c r="H6" s="472"/>
      <c r="I6" s="434"/>
      <c r="J6" s="472"/>
      <c r="K6" s="434"/>
      <c r="L6" s="472"/>
      <c r="M6" s="439"/>
      <c r="N6" s="472"/>
      <c r="O6" s="434"/>
      <c r="P6" s="472"/>
      <c r="Q6" s="434"/>
      <c r="R6" s="472"/>
      <c r="S6" s="108"/>
    </row>
    <row r="7" spans="1:19" ht="14.45" customHeight="1" x14ac:dyDescent="0.2">
      <c r="A7" s="481" t="s">
        <v>348</v>
      </c>
      <c r="B7" s="475">
        <v>6571</v>
      </c>
      <c r="C7" s="440">
        <v>9.177374301675977</v>
      </c>
      <c r="D7" s="475">
        <v>716</v>
      </c>
      <c r="E7" s="440">
        <v>1</v>
      </c>
      <c r="F7" s="475">
        <v>1964</v>
      </c>
      <c r="G7" s="441">
        <v>2.7430167597765363</v>
      </c>
      <c r="H7" s="475"/>
      <c r="I7" s="440"/>
      <c r="J7" s="475"/>
      <c r="K7" s="440"/>
      <c r="L7" s="475"/>
      <c r="M7" s="441"/>
      <c r="N7" s="475"/>
      <c r="O7" s="440"/>
      <c r="P7" s="475"/>
      <c r="Q7" s="440"/>
      <c r="R7" s="475"/>
      <c r="S7" s="457"/>
    </row>
    <row r="8" spans="1:19" ht="14.45" customHeight="1" x14ac:dyDescent="0.2">
      <c r="A8" s="481" t="s">
        <v>349</v>
      </c>
      <c r="B8" s="475">
        <v>4796</v>
      </c>
      <c r="C8" s="440">
        <v>1.1649259169298032</v>
      </c>
      <c r="D8" s="475">
        <v>4117</v>
      </c>
      <c r="E8" s="440">
        <v>1</v>
      </c>
      <c r="F8" s="475">
        <v>4140</v>
      </c>
      <c r="G8" s="441">
        <v>1.005586592178771</v>
      </c>
      <c r="H8" s="475"/>
      <c r="I8" s="440"/>
      <c r="J8" s="475"/>
      <c r="K8" s="440"/>
      <c r="L8" s="475"/>
      <c r="M8" s="441"/>
      <c r="N8" s="475"/>
      <c r="O8" s="440"/>
      <c r="P8" s="475"/>
      <c r="Q8" s="440"/>
      <c r="R8" s="475"/>
      <c r="S8" s="457"/>
    </row>
    <row r="9" spans="1:19" ht="14.45" customHeight="1" x14ac:dyDescent="0.2">
      <c r="A9" s="481" t="s">
        <v>350</v>
      </c>
      <c r="B9" s="475"/>
      <c r="C9" s="440"/>
      <c r="D9" s="475">
        <v>537</v>
      </c>
      <c r="E9" s="440">
        <v>1</v>
      </c>
      <c r="F9" s="475">
        <v>1252</v>
      </c>
      <c r="G9" s="441">
        <v>2.3314711359404097</v>
      </c>
      <c r="H9" s="475"/>
      <c r="I9" s="440"/>
      <c r="J9" s="475"/>
      <c r="K9" s="440"/>
      <c r="L9" s="475"/>
      <c r="M9" s="441"/>
      <c r="N9" s="475"/>
      <c r="O9" s="440"/>
      <c r="P9" s="475"/>
      <c r="Q9" s="440"/>
      <c r="R9" s="475"/>
      <c r="S9" s="457"/>
    </row>
    <row r="10" spans="1:19" ht="14.45" customHeight="1" x14ac:dyDescent="0.2">
      <c r="A10" s="481" t="s">
        <v>351</v>
      </c>
      <c r="B10" s="475">
        <v>355</v>
      </c>
      <c r="C10" s="440"/>
      <c r="D10" s="475"/>
      <c r="E10" s="440"/>
      <c r="F10" s="475"/>
      <c r="G10" s="441"/>
      <c r="H10" s="475"/>
      <c r="I10" s="440"/>
      <c r="J10" s="475"/>
      <c r="K10" s="440"/>
      <c r="L10" s="475"/>
      <c r="M10" s="441"/>
      <c r="N10" s="475"/>
      <c r="O10" s="440"/>
      <c r="P10" s="475"/>
      <c r="Q10" s="440"/>
      <c r="R10" s="475"/>
      <c r="S10" s="457"/>
    </row>
    <row r="11" spans="1:19" ht="14.45" customHeight="1" x14ac:dyDescent="0.2">
      <c r="A11" s="481" t="s">
        <v>352</v>
      </c>
      <c r="B11" s="475"/>
      <c r="C11" s="440"/>
      <c r="D11" s="475"/>
      <c r="E11" s="440"/>
      <c r="F11" s="475">
        <v>352</v>
      </c>
      <c r="G11" s="441"/>
      <c r="H11" s="475"/>
      <c r="I11" s="440"/>
      <c r="J11" s="475"/>
      <c r="K11" s="440"/>
      <c r="L11" s="475"/>
      <c r="M11" s="441"/>
      <c r="N11" s="475"/>
      <c r="O11" s="440"/>
      <c r="P11" s="475"/>
      <c r="Q11" s="440"/>
      <c r="R11" s="475"/>
      <c r="S11" s="457"/>
    </row>
    <row r="12" spans="1:19" ht="14.45" customHeight="1" x14ac:dyDescent="0.2">
      <c r="A12" s="481" t="s">
        <v>353</v>
      </c>
      <c r="B12" s="475">
        <v>11722</v>
      </c>
      <c r="C12" s="440">
        <v>0.92233850027539543</v>
      </c>
      <c r="D12" s="475">
        <v>12709</v>
      </c>
      <c r="E12" s="440">
        <v>1</v>
      </c>
      <c r="F12" s="475">
        <v>10040</v>
      </c>
      <c r="G12" s="441">
        <v>0.7899913447163428</v>
      </c>
      <c r="H12" s="475"/>
      <c r="I12" s="440"/>
      <c r="J12" s="475"/>
      <c r="K12" s="440"/>
      <c r="L12" s="475"/>
      <c r="M12" s="441"/>
      <c r="N12" s="475"/>
      <c r="O12" s="440"/>
      <c r="P12" s="475"/>
      <c r="Q12" s="440"/>
      <c r="R12" s="475"/>
      <c r="S12" s="457"/>
    </row>
    <row r="13" spans="1:19" ht="14.45" customHeight="1" x14ac:dyDescent="0.2">
      <c r="A13" s="481" t="s">
        <v>354</v>
      </c>
      <c r="B13" s="475"/>
      <c r="C13" s="440"/>
      <c r="D13" s="475">
        <v>358</v>
      </c>
      <c r="E13" s="440">
        <v>1</v>
      </c>
      <c r="F13" s="475">
        <v>900</v>
      </c>
      <c r="G13" s="441">
        <v>2.5139664804469275</v>
      </c>
      <c r="H13" s="475"/>
      <c r="I13" s="440"/>
      <c r="J13" s="475"/>
      <c r="K13" s="440"/>
      <c r="L13" s="475"/>
      <c r="M13" s="441"/>
      <c r="N13" s="475"/>
      <c r="O13" s="440"/>
      <c r="P13" s="475"/>
      <c r="Q13" s="440"/>
      <c r="R13" s="475"/>
      <c r="S13" s="457"/>
    </row>
    <row r="14" spans="1:19" ht="14.45" customHeight="1" x14ac:dyDescent="0.2">
      <c r="A14" s="481" t="s">
        <v>355</v>
      </c>
      <c r="B14" s="475">
        <v>1776</v>
      </c>
      <c r="C14" s="440">
        <v>0.76321443919209286</v>
      </c>
      <c r="D14" s="475">
        <v>2327</v>
      </c>
      <c r="E14" s="440">
        <v>1</v>
      </c>
      <c r="F14" s="475">
        <v>1620</v>
      </c>
      <c r="G14" s="441">
        <v>0.69617533304684143</v>
      </c>
      <c r="H14" s="475"/>
      <c r="I14" s="440"/>
      <c r="J14" s="475"/>
      <c r="K14" s="440"/>
      <c r="L14" s="475"/>
      <c r="M14" s="441"/>
      <c r="N14" s="475"/>
      <c r="O14" s="440"/>
      <c r="P14" s="475"/>
      <c r="Q14" s="440"/>
      <c r="R14" s="475"/>
      <c r="S14" s="457"/>
    </row>
    <row r="15" spans="1:19" ht="14.45" customHeight="1" x14ac:dyDescent="0.2">
      <c r="A15" s="481" t="s">
        <v>356</v>
      </c>
      <c r="B15" s="475"/>
      <c r="C15" s="440"/>
      <c r="D15" s="475"/>
      <c r="E15" s="440"/>
      <c r="F15" s="475">
        <v>360</v>
      </c>
      <c r="G15" s="441"/>
      <c r="H15" s="475"/>
      <c r="I15" s="440"/>
      <c r="J15" s="475"/>
      <c r="K15" s="440"/>
      <c r="L15" s="475"/>
      <c r="M15" s="441"/>
      <c r="N15" s="475"/>
      <c r="O15" s="440"/>
      <c r="P15" s="475"/>
      <c r="Q15" s="440"/>
      <c r="R15" s="475"/>
      <c r="S15" s="457"/>
    </row>
    <row r="16" spans="1:19" ht="14.45" customHeight="1" x14ac:dyDescent="0.2">
      <c r="A16" s="481" t="s">
        <v>357</v>
      </c>
      <c r="B16" s="475"/>
      <c r="C16" s="440"/>
      <c r="D16" s="475"/>
      <c r="E16" s="440"/>
      <c r="F16" s="475">
        <v>1980</v>
      </c>
      <c r="G16" s="441"/>
      <c r="H16" s="475"/>
      <c r="I16" s="440"/>
      <c r="J16" s="475"/>
      <c r="K16" s="440"/>
      <c r="L16" s="475"/>
      <c r="M16" s="441"/>
      <c r="N16" s="475"/>
      <c r="O16" s="440"/>
      <c r="P16" s="475"/>
      <c r="Q16" s="440"/>
      <c r="R16" s="475"/>
      <c r="S16" s="457"/>
    </row>
    <row r="17" spans="1:19" ht="14.45" customHeight="1" x14ac:dyDescent="0.2">
      <c r="A17" s="481" t="s">
        <v>358</v>
      </c>
      <c r="B17" s="475">
        <v>710</v>
      </c>
      <c r="C17" s="440"/>
      <c r="D17" s="475">
        <v>0</v>
      </c>
      <c r="E17" s="440"/>
      <c r="F17" s="475">
        <v>360</v>
      </c>
      <c r="G17" s="441"/>
      <c r="H17" s="475"/>
      <c r="I17" s="440"/>
      <c r="J17" s="475"/>
      <c r="K17" s="440"/>
      <c r="L17" s="475"/>
      <c r="M17" s="441"/>
      <c r="N17" s="475"/>
      <c r="O17" s="440"/>
      <c r="P17" s="475"/>
      <c r="Q17" s="440"/>
      <c r="R17" s="475"/>
      <c r="S17" s="457"/>
    </row>
    <row r="18" spans="1:19" ht="14.45" customHeight="1" x14ac:dyDescent="0.2">
      <c r="A18" s="481" t="s">
        <v>359</v>
      </c>
      <c r="B18" s="475">
        <v>888</v>
      </c>
      <c r="C18" s="440">
        <v>1.6536312849162011</v>
      </c>
      <c r="D18" s="475">
        <v>537</v>
      </c>
      <c r="E18" s="440">
        <v>1</v>
      </c>
      <c r="F18" s="475"/>
      <c r="G18" s="441"/>
      <c r="H18" s="475"/>
      <c r="I18" s="440"/>
      <c r="J18" s="475"/>
      <c r="K18" s="440"/>
      <c r="L18" s="475"/>
      <c r="M18" s="441"/>
      <c r="N18" s="475"/>
      <c r="O18" s="440"/>
      <c r="P18" s="475"/>
      <c r="Q18" s="440"/>
      <c r="R18" s="475"/>
      <c r="S18" s="457"/>
    </row>
    <row r="19" spans="1:19" ht="14.45" customHeight="1" x14ac:dyDescent="0.2">
      <c r="A19" s="481" t="s">
        <v>360</v>
      </c>
      <c r="B19" s="475">
        <v>711</v>
      </c>
      <c r="C19" s="440">
        <v>0.79441340782122905</v>
      </c>
      <c r="D19" s="475">
        <v>895</v>
      </c>
      <c r="E19" s="440">
        <v>1</v>
      </c>
      <c r="F19" s="475">
        <v>720</v>
      </c>
      <c r="G19" s="441">
        <v>0.8044692737430168</v>
      </c>
      <c r="H19" s="475"/>
      <c r="I19" s="440"/>
      <c r="J19" s="475"/>
      <c r="K19" s="440"/>
      <c r="L19" s="475"/>
      <c r="M19" s="441"/>
      <c r="N19" s="475"/>
      <c r="O19" s="440"/>
      <c r="P19" s="475"/>
      <c r="Q19" s="440"/>
      <c r="R19" s="475"/>
      <c r="S19" s="457"/>
    </row>
    <row r="20" spans="1:19" ht="14.45" customHeight="1" x14ac:dyDescent="0.2">
      <c r="A20" s="481" t="s">
        <v>361</v>
      </c>
      <c r="B20" s="475">
        <v>533</v>
      </c>
      <c r="C20" s="440">
        <v>0.4962756052141527</v>
      </c>
      <c r="D20" s="475">
        <v>1074</v>
      </c>
      <c r="E20" s="440">
        <v>1</v>
      </c>
      <c r="F20" s="475">
        <v>360</v>
      </c>
      <c r="G20" s="441">
        <v>0.33519553072625696</v>
      </c>
      <c r="H20" s="475"/>
      <c r="I20" s="440"/>
      <c r="J20" s="475"/>
      <c r="K20" s="440"/>
      <c r="L20" s="475"/>
      <c r="M20" s="441"/>
      <c r="N20" s="475"/>
      <c r="O20" s="440"/>
      <c r="P20" s="475"/>
      <c r="Q20" s="440"/>
      <c r="R20" s="475"/>
      <c r="S20" s="457"/>
    </row>
    <row r="21" spans="1:19" ht="14.45" customHeight="1" x14ac:dyDescent="0.2">
      <c r="A21" s="481" t="s">
        <v>362</v>
      </c>
      <c r="B21" s="475">
        <v>1776</v>
      </c>
      <c r="C21" s="440"/>
      <c r="D21" s="475"/>
      <c r="E21" s="440"/>
      <c r="F21" s="475">
        <v>4132</v>
      </c>
      <c r="G21" s="441"/>
      <c r="H21" s="475"/>
      <c r="I21" s="440"/>
      <c r="J21" s="475"/>
      <c r="K21" s="440"/>
      <c r="L21" s="475"/>
      <c r="M21" s="441"/>
      <c r="N21" s="475"/>
      <c r="O21" s="440"/>
      <c r="P21" s="475"/>
      <c r="Q21" s="440"/>
      <c r="R21" s="475"/>
      <c r="S21" s="457"/>
    </row>
    <row r="22" spans="1:19" ht="14.45" customHeight="1" x14ac:dyDescent="0.2">
      <c r="A22" s="481" t="s">
        <v>363</v>
      </c>
      <c r="B22" s="475">
        <v>2487</v>
      </c>
      <c r="C22" s="440">
        <v>1.5437616387337059</v>
      </c>
      <c r="D22" s="475">
        <v>1611</v>
      </c>
      <c r="E22" s="440">
        <v>1</v>
      </c>
      <c r="F22" s="475">
        <v>5032</v>
      </c>
      <c r="G22" s="441">
        <v>3.1235257603972686</v>
      </c>
      <c r="H22" s="475"/>
      <c r="I22" s="440"/>
      <c r="J22" s="475"/>
      <c r="K22" s="440"/>
      <c r="L22" s="475"/>
      <c r="M22" s="441"/>
      <c r="N22" s="475"/>
      <c r="O22" s="440"/>
      <c r="P22" s="475"/>
      <c r="Q22" s="440"/>
      <c r="R22" s="475"/>
      <c r="S22" s="457"/>
    </row>
    <row r="23" spans="1:19" ht="14.45" customHeight="1" x14ac:dyDescent="0.2">
      <c r="A23" s="481" t="s">
        <v>364</v>
      </c>
      <c r="B23" s="475">
        <v>355</v>
      </c>
      <c r="C23" s="440"/>
      <c r="D23" s="475"/>
      <c r="E23" s="440"/>
      <c r="F23" s="475">
        <v>180</v>
      </c>
      <c r="G23" s="441"/>
      <c r="H23" s="475"/>
      <c r="I23" s="440"/>
      <c r="J23" s="475"/>
      <c r="K23" s="440"/>
      <c r="L23" s="475"/>
      <c r="M23" s="441"/>
      <c r="N23" s="475"/>
      <c r="O23" s="440"/>
      <c r="P23" s="475"/>
      <c r="Q23" s="440"/>
      <c r="R23" s="475"/>
      <c r="S23" s="457"/>
    </row>
    <row r="24" spans="1:19" ht="14.45" customHeight="1" x14ac:dyDescent="0.2">
      <c r="A24" s="481" t="s">
        <v>365</v>
      </c>
      <c r="B24" s="475"/>
      <c r="C24" s="440"/>
      <c r="D24" s="475">
        <v>1432</v>
      </c>
      <c r="E24" s="440">
        <v>1</v>
      </c>
      <c r="F24" s="475">
        <v>712</v>
      </c>
      <c r="G24" s="441">
        <v>0.4972067039106145</v>
      </c>
      <c r="H24" s="475"/>
      <c r="I24" s="440"/>
      <c r="J24" s="475"/>
      <c r="K24" s="440"/>
      <c r="L24" s="475"/>
      <c r="M24" s="441"/>
      <c r="N24" s="475"/>
      <c r="O24" s="440"/>
      <c r="P24" s="475"/>
      <c r="Q24" s="440"/>
      <c r="R24" s="475"/>
      <c r="S24" s="457"/>
    </row>
    <row r="25" spans="1:19" ht="14.45" customHeight="1" x14ac:dyDescent="0.2">
      <c r="A25" s="481" t="s">
        <v>366</v>
      </c>
      <c r="B25" s="475"/>
      <c r="C25" s="440"/>
      <c r="D25" s="475">
        <v>3401</v>
      </c>
      <c r="E25" s="440">
        <v>1</v>
      </c>
      <c r="F25" s="475">
        <v>1072</v>
      </c>
      <c r="G25" s="441">
        <v>0.31520141134960306</v>
      </c>
      <c r="H25" s="475"/>
      <c r="I25" s="440"/>
      <c r="J25" s="475"/>
      <c r="K25" s="440"/>
      <c r="L25" s="475"/>
      <c r="M25" s="441"/>
      <c r="N25" s="475"/>
      <c r="O25" s="440"/>
      <c r="P25" s="475"/>
      <c r="Q25" s="440"/>
      <c r="R25" s="475"/>
      <c r="S25" s="457"/>
    </row>
    <row r="26" spans="1:19" ht="14.45" customHeight="1" thickBot="1" x14ac:dyDescent="0.25">
      <c r="A26" s="482" t="s">
        <v>367</v>
      </c>
      <c r="B26" s="478">
        <v>178</v>
      </c>
      <c r="C26" s="443">
        <v>0.4972067039106145</v>
      </c>
      <c r="D26" s="478">
        <v>358</v>
      </c>
      <c r="E26" s="443">
        <v>1</v>
      </c>
      <c r="F26" s="478">
        <v>1072</v>
      </c>
      <c r="G26" s="448">
        <v>2.994413407821229</v>
      </c>
      <c r="H26" s="478"/>
      <c r="I26" s="443"/>
      <c r="J26" s="478"/>
      <c r="K26" s="443"/>
      <c r="L26" s="478"/>
      <c r="M26" s="448"/>
      <c r="N26" s="478"/>
      <c r="O26" s="443"/>
      <c r="P26" s="478"/>
      <c r="Q26" s="443"/>
      <c r="R26" s="478"/>
      <c r="S26" s="449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F0F03E44-BE19-40F2-AB3C-F72F78FAFB1B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5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7" t="s">
        <v>388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17" ht="14.45" customHeight="1" thickBot="1" x14ac:dyDescent="0.25">
      <c r="A2" s="392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119</v>
      </c>
      <c r="G3" s="89">
        <f t="shared" si="0"/>
        <v>34811</v>
      </c>
      <c r="H3" s="89"/>
      <c r="I3" s="89"/>
      <c r="J3" s="89">
        <f t="shared" si="0"/>
        <v>119</v>
      </c>
      <c r="K3" s="89">
        <f t="shared" si="0"/>
        <v>31862</v>
      </c>
      <c r="L3" s="89"/>
      <c r="M3" s="89"/>
      <c r="N3" s="89">
        <f t="shared" si="0"/>
        <v>129</v>
      </c>
      <c r="O3" s="89">
        <f t="shared" si="0"/>
        <v>37688</v>
      </c>
      <c r="P3" s="66">
        <f>IF(K3=0,0,O3/K3)</f>
        <v>1.1828510451321324</v>
      </c>
      <c r="Q3" s="90">
        <f>IF(N3=0,0,O3/N3)</f>
        <v>292.15503875968994</v>
      </c>
    </row>
    <row r="4" spans="1:17" ht="14.45" customHeight="1" x14ac:dyDescent="0.2">
      <c r="A4" s="381" t="s">
        <v>65</v>
      </c>
      <c r="B4" s="379" t="s">
        <v>91</v>
      </c>
      <c r="C4" s="381" t="s">
        <v>92</v>
      </c>
      <c r="D4" s="390" t="s">
        <v>93</v>
      </c>
      <c r="E4" s="382" t="s">
        <v>66</v>
      </c>
      <c r="F4" s="388">
        <v>2018</v>
      </c>
      <c r="G4" s="389"/>
      <c r="H4" s="91"/>
      <c r="I4" s="91"/>
      <c r="J4" s="388">
        <v>2019</v>
      </c>
      <c r="K4" s="389"/>
      <c r="L4" s="91"/>
      <c r="M4" s="91"/>
      <c r="N4" s="388">
        <v>2020</v>
      </c>
      <c r="O4" s="389"/>
      <c r="P4" s="391" t="s">
        <v>2</v>
      </c>
      <c r="Q4" s="380" t="s">
        <v>94</v>
      </c>
    </row>
    <row r="5" spans="1:17" ht="14.45" customHeight="1" thickBot="1" x14ac:dyDescent="0.25">
      <c r="A5" s="485"/>
      <c r="B5" s="483"/>
      <c r="C5" s="485"/>
      <c r="D5" s="498"/>
      <c r="E5" s="487"/>
      <c r="F5" s="499" t="s">
        <v>68</v>
      </c>
      <c r="G5" s="500" t="s">
        <v>11</v>
      </c>
      <c r="H5" s="501"/>
      <c r="I5" s="501"/>
      <c r="J5" s="499" t="s">
        <v>68</v>
      </c>
      <c r="K5" s="500" t="s">
        <v>11</v>
      </c>
      <c r="L5" s="501"/>
      <c r="M5" s="501"/>
      <c r="N5" s="499" t="s">
        <v>68</v>
      </c>
      <c r="O5" s="500" t="s">
        <v>11</v>
      </c>
      <c r="P5" s="502"/>
      <c r="Q5" s="492"/>
    </row>
    <row r="6" spans="1:17" ht="14.45" customHeight="1" x14ac:dyDescent="0.2">
      <c r="A6" s="433" t="s">
        <v>368</v>
      </c>
      <c r="B6" s="434" t="s">
        <v>337</v>
      </c>
      <c r="C6" s="434" t="s">
        <v>338</v>
      </c>
      <c r="D6" s="434" t="s">
        <v>339</v>
      </c>
      <c r="E6" s="434" t="s">
        <v>340</v>
      </c>
      <c r="F6" s="102">
        <v>5</v>
      </c>
      <c r="G6" s="102">
        <v>1775</v>
      </c>
      <c r="H6" s="102">
        <v>1.2395251396648044</v>
      </c>
      <c r="I6" s="102">
        <v>355</v>
      </c>
      <c r="J6" s="102">
        <v>4</v>
      </c>
      <c r="K6" s="102">
        <v>1432</v>
      </c>
      <c r="L6" s="102">
        <v>1</v>
      </c>
      <c r="M6" s="102">
        <v>358</v>
      </c>
      <c r="N6" s="102">
        <v>2</v>
      </c>
      <c r="O6" s="102">
        <v>720</v>
      </c>
      <c r="P6" s="439">
        <v>0.5027932960893855</v>
      </c>
      <c r="Q6" s="493">
        <v>360</v>
      </c>
    </row>
    <row r="7" spans="1:17" ht="14.45" customHeight="1" x14ac:dyDescent="0.2">
      <c r="A7" s="450" t="s">
        <v>368</v>
      </c>
      <c r="B7" s="440" t="s">
        <v>337</v>
      </c>
      <c r="C7" s="440" t="s">
        <v>338</v>
      </c>
      <c r="D7" s="440" t="s">
        <v>341</v>
      </c>
      <c r="E7" s="440" t="s">
        <v>342</v>
      </c>
      <c r="F7" s="474">
        <v>1</v>
      </c>
      <c r="G7" s="474">
        <v>178</v>
      </c>
      <c r="H7" s="474">
        <v>0.4972067039106145</v>
      </c>
      <c r="I7" s="474">
        <v>178</v>
      </c>
      <c r="J7" s="474">
        <v>2</v>
      </c>
      <c r="K7" s="474">
        <v>358</v>
      </c>
      <c r="L7" s="474">
        <v>1</v>
      </c>
      <c r="M7" s="474">
        <v>179</v>
      </c>
      <c r="N7" s="474">
        <v>4</v>
      </c>
      <c r="O7" s="474">
        <v>720</v>
      </c>
      <c r="P7" s="441">
        <v>2.011173184357542</v>
      </c>
      <c r="Q7" s="494">
        <v>180</v>
      </c>
    </row>
    <row r="8" spans="1:17" ht="14.45" customHeight="1" x14ac:dyDescent="0.2">
      <c r="A8" s="450" t="s">
        <v>369</v>
      </c>
      <c r="B8" s="440" t="s">
        <v>337</v>
      </c>
      <c r="C8" s="440" t="s">
        <v>338</v>
      </c>
      <c r="D8" s="440" t="s">
        <v>339</v>
      </c>
      <c r="E8" s="440" t="s">
        <v>340</v>
      </c>
      <c r="F8" s="474">
        <v>15</v>
      </c>
      <c r="G8" s="474">
        <v>5325</v>
      </c>
      <c r="H8" s="474">
        <v>7.4371508379888267</v>
      </c>
      <c r="I8" s="474">
        <v>355</v>
      </c>
      <c r="J8" s="474">
        <v>2</v>
      </c>
      <c r="K8" s="474">
        <v>716</v>
      </c>
      <c r="L8" s="474">
        <v>1</v>
      </c>
      <c r="M8" s="474">
        <v>358</v>
      </c>
      <c r="N8" s="474">
        <v>3</v>
      </c>
      <c r="O8" s="474">
        <v>1080</v>
      </c>
      <c r="P8" s="441">
        <v>1.5083798882681565</v>
      </c>
      <c r="Q8" s="494">
        <v>360</v>
      </c>
    </row>
    <row r="9" spans="1:17" ht="14.45" customHeight="1" x14ac:dyDescent="0.2">
      <c r="A9" s="450" t="s">
        <v>369</v>
      </c>
      <c r="B9" s="440" t="s">
        <v>337</v>
      </c>
      <c r="C9" s="440" t="s">
        <v>338</v>
      </c>
      <c r="D9" s="440" t="s">
        <v>341</v>
      </c>
      <c r="E9" s="440" t="s">
        <v>342</v>
      </c>
      <c r="F9" s="474">
        <v>7</v>
      </c>
      <c r="G9" s="474">
        <v>1246</v>
      </c>
      <c r="H9" s="474"/>
      <c r="I9" s="474">
        <v>178</v>
      </c>
      <c r="J9" s="474"/>
      <c r="K9" s="474"/>
      <c r="L9" s="474"/>
      <c r="M9" s="474"/>
      <c r="N9" s="474">
        <v>1</v>
      </c>
      <c r="O9" s="474">
        <v>180</v>
      </c>
      <c r="P9" s="441"/>
      <c r="Q9" s="494">
        <v>180</v>
      </c>
    </row>
    <row r="10" spans="1:17" ht="14.45" customHeight="1" x14ac:dyDescent="0.2">
      <c r="A10" s="450" t="s">
        <v>369</v>
      </c>
      <c r="B10" s="440" t="s">
        <v>337</v>
      </c>
      <c r="C10" s="440" t="s">
        <v>338</v>
      </c>
      <c r="D10" s="440" t="s">
        <v>343</v>
      </c>
      <c r="E10" s="440" t="s">
        <v>344</v>
      </c>
      <c r="F10" s="474"/>
      <c r="G10" s="474"/>
      <c r="H10" s="474"/>
      <c r="I10" s="474"/>
      <c r="J10" s="474"/>
      <c r="K10" s="474"/>
      <c r="L10" s="474"/>
      <c r="M10" s="474"/>
      <c r="N10" s="474">
        <v>2</v>
      </c>
      <c r="O10" s="474">
        <v>704</v>
      </c>
      <c r="P10" s="441"/>
      <c r="Q10" s="494">
        <v>352</v>
      </c>
    </row>
    <row r="11" spans="1:17" ht="14.45" customHeight="1" x14ac:dyDescent="0.2">
      <c r="A11" s="450" t="s">
        <v>370</v>
      </c>
      <c r="B11" s="440" t="s">
        <v>337</v>
      </c>
      <c r="C11" s="440" t="s">
        <v>338</v>
      </c>
      <c r="D11" s="440" t="s">
        <v>339</v>
      </c>
      <c r="E11" s="440" t="s">
        <v>340</v>
      </c>
      <c r="F11" s="474">
        <v>10</v>
      </c>
      <c r="G11" s="474">
        <v>3550</v>
      </c>
      <c r="H11" s="474">
        <v>1.2395251396648044</v>
      </c>
      <c r="I11" s="474">
        <v>355</v>
      </c>
      <c r="J11" s="474">
        <v>8</v>
      </c>
      <c r="K11" s="474">
        <v>2864</v>
      </c>
      <c r="L11" s="474">
        <v>1</v>
      </c>
      <c r="M11" s="474">
        <v>358</v>
      </c>
      <c r="N11" s="474">
        <v>10</v>
      </c>
      <c r="O11" s="474">
        <v>3600</v>
      </c>
      <c r="P11" s="441">
        <v>1.2569832402234637</v>
      </c>
      <c r="Q11" s="494">
        <v>360</v>
      </c>
    </row>
    <row r="12" spans="1:17" ht="14.45" customHeight="1" x14ac:dyDescent="0.2">
      <c r="A12" s="450" t="s">
        <v>370</v>
      </c>
      <c r="B12" s="440" t="s">
        <v>337</v>
      </c>
      <c r="C12" s="440" t="s">
        <v>338</v>
      </c>
      <c r="D12" s="440" t="s">
        <v>341</v>
      </c>
      <c r="E12" s="440" t="s">
        <v>342</v>
      </c>
      <c r="F12" s="474">
        <v>7</v>
      </c>
      <c r="G12" s="474">
        <v>1246</v>
      </c>
      <c r="H12" s="474">
        <v>0.994413407821229</v>
      </c>
      <c r="I12" s="474">
        <v>178</v>
      </c>
      <c r="J12" s="474">
        <v>7</v>
      </c>
      <c r="K12" s="474">
        <v>1253</v>
      </c>
      <c r="L12" s="474">
        <v>1</v>
      </c>
      <c r="M12" s="474">
        <v>179</v>
      </c>
      <c r="N12" s="474">
        <v>3</v>
      </c>
      <c r="O12" s="474">
        <v>540</v>
      </c>
      <c r="P12" s="441">
        <v>0.4309656823623304</v>
      </c>
      <c r="Q12" s="494">
        <v>180</v>
      </c>
    </row>
    <row r="13" spans="1:17" ht="14.45" customHeight="1" x14ac:dyDescent="0.2">
      <c r="A13" s="450" t="s">
        <v>371</v>
      </c>
      <c r="B13" s="440" t="s">
        <v>337</v>
      </c>
      <c r="C13" s="440" t="s">
        <v>338</v>
      </c>
      <c r="D13" s="440" t="s">
        <v>339</v>
      </c>
      <c r="E13" s="440" t="s">
        <v>340</v>
      </c>
      <c r="F13" s="474"/>
      <c r="G13" s="474"/>
      <c r="H13" s="474"/>
      <c r="I13" s="474"/>
      <c r="J13" s="474">
        <v>1</v>
      </c>
      <c r="K13" s="474">
        <v>358</v>
      </c>
      <c r="L13" s="474">
        <v>1</v>
      </c>
      <c r="M13" s="474">
        <v>358</v>
      </c>
      <c r="N13" s="474">
        <v>2</v>
      </c>
      <c r="O13" s="474">
        <v>720</v>
      </c>
      <c r="P13" s="441">
        <v>2.011173184357542</v>
      </c>
      <c r="Q13" s="494">
        <v>360</v>
      </c>
    </row>
    <row r="14" spans="1:17" ht="14.45" customHeight="1" x14ac:dyDescent="0.2">
      <c r="A14" s="450" t="s">
        <v>371</v>
      </c>
      <c r="B14" s="440" t="s">
        <v>337</v>
      </c>
      <c r="C14" s="440" t="s">
        <v>338</v>
      </c>
      <c r="D14" s="440" t="s">
        <v>341</v>
      </c>
      <c r="E14" s="440" t="s">
        <v>342</v>
      </c>
      <c r="F14" s="474"/>
      <c r="G14" s="474"/>
      <c r="H14" s="474"/>
      <c r="I14" s="474"/>
      <c r="J14" s="474">
        <v>1</v>
      </c>
      <c r="K14" s="474">
        <v>179</v>
      </c>
      <c r="L14" s="474">
        <v>1</v>
      </c>
      <c r="M14" s="474">
        <v>179</v>
      </c>
      <c r="N14" s="474">
        <v>1</v>
      </c>
      <c r="O14" s="474">
        <v>180</v>
      </c>
      <c r="P14" s="441">
        <v>1.005586592178771</v>
      </c>
      <c r="Q14" s="494">
        <v>180</v>
      </c>
    </row>
    <row r="15" spans="1:17" ht="14.45" customHeight="1" x14ac:dyDescent="0.2">
      <c r="A15" s="450" t="s">
        <v>371</v>
      </c>
      <c r="B15" s="440" t="s">
        <v>337</v>
      </c>
      <c r="C15" s="440" t="s">
        <v>338</v>
      </c>
      <c r="D15" s="440" t="s">
        <v>343</v>
      </c>
      <c r="E15" s="440" t="s">
        <v>344</v>
      </c>
      <c r="F15" s="474"/>
      <c r="G15" s="474"/>
      <c r="H15" s="474"/>
      <c r="I15" s="474"/>
      <c r="J15" s="474"/>
      <c r="K15" s="474"/>
      <c r="L15" s="474"/>
      <c r="M15" s="474"/>
      <c r="N15" s="474">
        <v>1</v>
      </c>
      <c r="O15" s="474">
        <v>352</v>
      </c>
      <c r="P15" s="441"/>
      <c r="Q15" s="494">
        <v>352</v>
      </c>
    </row>
    <row r="16" spans="1:17" ht="14.45" customHeight="1" x14ac:dyDescent="0.2">
      <c r="A16" s="450" t="s">
        <v>372</v>
      </c>
      <c r="B16" s="440" t="s">
        <v>337</v>
      </c>
      <c r="C16" s="440" t="s">
        <v>338</v>
      </c>
      <c r="D16" s="440" t="s">
        <v>339</v>
      </c>
      <c r="E16" s="440" t="s">
        <v>340</v>
      </c>
      <c r="F16" s="474">
        <v>1</v>
      </c>
      <c r="G16" s="474">
        <v>355</v>
      </c>
      <c r="H16" s="474"/>
      <c r="I16" s="474">
        <v>355</v>
      </c>
      <c r="J16" s="474"/>
      <c r="K16" s="474"/>
      <c r="L16" s="474"/>
      <c r="M16" s="474"/>
      <c r="N16" s="474"/>
      <c r="O16" s="474"/>
      <c r="P16" s="441"/>
      <c r="Q16" s="494"/>
    </row>
    <row r="17" spans="1:17" ht="14.45" customHeight="1" x14ac:dyDescent="0.2">
      <c r="A17" s="450" t="s">
        <v>336</v>
      </c>
      <c r="B17" s="440" t="s">
        <v>337</v>
      </c>
      <c r="C17" s="440" t="s">
        <v>338</v>
      </c>
      <c r="D17" s="440" t="s">
        <v>343</v>
      </c>
      <c r="E17" s="440" t="s">
        <v>344</v>
      </c>
      <c r="F17" s="474"/>
      <c r="G17" s="474"/>
      <c r="H17" s="474"/>
      <c r="I17" s="474"/>
      <c r="J17" s="474"/>
      <c r="K17" s="474"/>
      <c r="L17" s="474"/>
      <c r="M17" s="474"/>
      <c r="N17" s="474">
        <v>1</v>
      </c>
      <c r="O17" s="474">
        <v>352</v>
      </c>
      <c r="P17" s="441"/>
      <c r="Q17" s="494">
        <v>352</v>
      </c>
    </row>
    <row r="18" spans="1:17" ht="14.45" customHeight="1" x14ac:dyDescent="0.2">
      <c r="A18" s="450" t="s">
        <v>373</v>
      </c>
      <c r="B18" s="440" t="s">
        <v>337</v>
      </c>
      <c r="C18" s="440" t="s">
        <v>338</v>
      </c>
      <c r="D18" s="440" t="s">
        <v>339</v>
      </c>
      <c r="E18" s="440" t="s">
        <v>340</v>
      </c>
      <c r="F18" s="474">
        <v>26</v>
      </c>
      <c r="G18" s="474">
        <v>9230</v>
      </c>
      <c r="H18" s="474">
        <v>0.99162011173184361</v>
      </c>
      <c r="I18" s="474">
        <v>355</v>
      </c>
      <c r="J18" s="474">
        <v>26</v>
      </c>
      <c r="K18" s="474">
        <v>9308</v>
      </c>
      <c r="L18" s="474">
        <v>1</v>
      </c>
      <c r="M18" s="474">
        <v>358</v>
      </c>
      <c r="N18" s="474">
        <v>14</v>
      </c>
      <c r="O18" s="474">
        <v>5040</v>
      </c>
      <c r="P18" s="441">
        <v>0.54146970348087664</v>
      </c>
      <c r="Q18" s="494">
        <v>360</v>
      </c>
    </row>
    <row r="19" spans="1:17" ht="14.45" customHeight="1" x14ac:dyDescent="0.2">
      <c r="A19" s="450" t="s">
        <v>373</v>
      </c>
      <c r="B19" s="440" t="s">
        <v>337</v>
      </c>
      <c r="C19" s="440" t="s">
        <v>338</v>
      </c>
      <c r="D19" s="440" t="s">
        <v>341</v>
      </c>
      <c r="E19" s="440" t="s">
        <v>342</v>
      </c>
      <c r="F19" s="474">
        <v>14</v>
      </c>
      <c r="G19" s="474">
        <v>2492</v>
      </c>
      <c r="H19" s="474">
        <v>0.73272566892090563</v>
      </c>
      <c r="I19" s="474">
        <v>178</v>
      </c>
      <c r="J19" s="474">
        <v>19</v>
      </c>
      <c r="K19" s="474">
        <v>3401</v>
      </c>
      <c r="L19" s="474">
        <v>1</v>
      </c>
      <c r="M19" s="474">
        <v>179</v>
      </c>
      <c r="N19" s="474">
        <v>18</v>
      </c>
      <c r="O19" s="474">
        <v>3240</v>
      </c>
      <c r="P19" s="441">
        <v>0.95266098206409877</v>
      </c>
      <c r="Q19" s="494">
        <v>180</v>
      </c>
    </row>
    <row r="20" spans="1:17" ht="14.45" customHeight="1" x14ac:dyDescent="0.2">
      <c r="A20" s="450" t="s">
        <v>373</v>
      </c>
      <c r="B20" s="440" t="s">
        <v>337</v>
      </c>
      <c r="C20" s="440" t="s">
        <v>338</v>
      </c>
      <c r="D20" s="440" t="s">
        <v>343</v>
      </c>
      <c r="E20" s="440" t="s">
        <v>344</v>
      </c>
      <c r="F20" s="474"/>
      <c r="G20" s="474"/>
      <c r="H20" s="474"/>
      <c r="I20" s="474"/>
      <c r="J20" s="474"/>
      <c r="K20" s="474"/>
      <c r="L20" s="474"/>
      <c r="M20" s="474"/>
      <c r="N20" s="474">
        <v>5</v>
      </c>
      <c r="O20" s="474">
        <v>1760</v>
      </c>
      <c r="P20" s="441"/>
      <c r="Q20" s="494">
        <v>352</v>
      </c>
    </row>
    <row r="21" spans="1:17" ht="14.45" customHeight="1" x14ac:dyDescent="0.2">
      <c r="A21" s="450" t="s">
        <v>374</v>
      </c>
      <c r="B21" s="440" t="s">
        <v>337</v>
      </c>
      <c r="C21" s="440" t="s">
        <v>338</v>
      </c>
      <c r="D21" s="440" t="s">
        <v>339</v>
      </c>
      <c r="E21" s="440" t="s">
        <v>340</v>
      </c>
      <c r="F21" s="474"/>
      <c r="G21" s="474"/>
      <c r="H21" s="474"/>
      <c r="I21" s="474"/>
      <c r="J21" s="474">
        <v>1</v>
      </c>
      <c r="K21" s="474">
        <v>358</v>
      </c>
      <c r="L21" s="474">
        <v>1</v>
      </c>
      <c r="M21" s="474">
        <v>358</v>
      </c>
      <c r="N21" s="474">
        <v>2</v>
      </c>
      <c r="O21" s="474">
        <v>720</v>
      </c>
      <c r="P21" s="441">
        <v>2.011173184357542</v>
      </c>
      <c r="Q21" s="494">
        <v>360</v>
      </c>
    </row>
    <row r="22" spans="1:17" ht="14.45" customHeight="1" x14ac:dyDescent="0.2">
      <c r="A22" s="450" t="s">
        <v>374</v>
      </c>
      <c r="B22" s="440" t="s">
        <v>337</v>
      </c>
      <c r="C22" s="440" t="s">
        <v>338</v>
      </c>
      <c r="D22" s="440" t="s">
        <v>341</v>
      </c>
      <c r="E22" s="440" t="s">
        <v>342</v>
      </c>
      <c r="F22" s="474"/>
      <c r="G22" s="474"/>
      <c r="H22" s="474"/>
      <c r="I22" s="474"/>
      <c r="J22" s="474"/>
      <c r="K22" s="474"/>
      <c r="L22" s="474"/>
      <c r="M22" s="474"/>
      <c r="N22" s="474">
        <v>1</v>
      </c>
      <c r="O22" s="474">
        <v>180</v>
      </c>
      <c r="P22" s="441"/>
      <c r="Q22" s="494">
        <v>180</v>
      </c>
    </row>
    <row r="23" spans="1:17" ht="14.45" customHeight="1" x14ac:dyDescent="0.2">
      <c r="A23" s="450" t="s">
        <v>375</v>
      </c>
      <c r="B23" s="440" t="s">
        <v>337</v>
      </c>
      <c r="C23" s="440" t="s">
        <v>338</v>
      </c>
      <c r="D23" s="440" t="s">
        <v>339</v>
      </c>
      <c r="E23" s="440" t="s">
        <v>340</v>
      </c>
      <c r="F23" s="474">
        <v>4</v>
      </c>
      <c r="G23" s="474">
        <v>1420</v>
      </c>
      <c r="H23" s="474">
        <v>0.99162011173184361</v>
      </c>
      <c r="I23" s="474">
        <v>355</v>
      </c>
      <c r="J23" s="474">
        <v>4</v>
      </c>
      <c r="K23" s="474">
        <v>1432</v>
      </c>
      <c r="L23" s="474">
        <v>1</v>
      </c>
      <c r="M23" s="474">
        <v>358</v>
      </c>
      <c r="N23" s="474">
        <v>4</v>
      </c>
      <c r="O23" s="474">
        <v>1440</v>
      </c>
      <c r="P23" s="441">
        <v>1.005586592178771</v>
      </c>
      <c r="Q23" s="494">
        <v>360</v>
      </c>
    </row>
    <row r="24" spans="1:17" ht="14.45" customHeight="1" x14ac:dyDescent="0.2">
      <c r="A24" s="450" t="s">
        <v>375</v>
      </c>
      <c r="B24" s="440" t="s">
        <v>337</v>
      </c>
      <c r="C24" s="440" t="s">
        <v>338</v>
      </c>
      <c r="D24" s="440" t="s">
        <v>341</v>
      </c>
      <c r="E24" s="440" t="s">
        <v>342</v>
      </c>
      <c r="F24" s="474">
        <v>2</v>
      </c>
      <c r="G24" s="474">
        <v>356</v>
      </c>
      <c r="H24" s="474">
        <v>0.39776536312849164</v>
      </c>
      <c r="I24" s="474">
        <v>178</v>
      </c>
      <c r="J24" s="474">
        <v>5</v>
      </c>
      <c r="K24" s="474">
        <v>895</v>
      </c>
      <c r="L24" s="474">
        <v>1</v>
      </c>
      <c r="M24" s="474">
        <v>179</v>
      </c>
      <c r="N24" s="474">
        <v>1</v>
      </c>
      <c r="O24" s="474">
        <v>180</v>
      </c>
      <c r="P24" s="441">
        <v>0.2011173184357542</v>
      </c>
      <c r="Q24" s="494">
        <v>180</v>
      </c>
    </row>
    <row r="25" spans="1:17" ht="14.45" customHeight="1" x14ac:dyDescent="0.2">
      <c r="A25" s="450" t="s">
        <v>376</v>
      </c>
      <c r="B25" s="440" t="s">
        <v>337</v>
      </c>
      <c r="C25" s="440" t="s">
        <v>338</v>
      </c>
      <c r="D25" s="440" t="s">
        <v>339</v>
      </c>
      <c r="E25" s="440" t="s">
        <v>340</v>
      </c>
      <c r="F25" s="474"/>
      <c r="G25" s="474"/>
      <c r="H25" s="474"/>
      <c r="I25" s="474"/>
      <c r="J25" s="474"/>
      <c r="K25" s="474"/>
      <c r="L25" s="474"/>
      <c r="M25" s="474"/>
      <c r="N25" s="474">
        <v>1</v>
      </c>
      <c r="O25" s="474">
        <v>360</v>
      </c>
      <c r="P25" s="441"/>
      <c r="Q25" s="494">
        <v>360</v>
      </c>
    </row>
    <row r="26" spans="1:17" ht="14.45" customHeight="1" x14ac:dyDescent="0.2">
      <c r="A26" s="450" t="s">
        <v>377</v>
      </c>
      <c r="B26" s="440" t="s">
        <v>337</v>
      </c>
      <c r="C26" s="440" t="s">
        <v>338</v>
      </c>
      <c r="D26" s="440" t="s">
        <v>339</v>
      </c>
      <c r="E26" s="440" t="s">
        <v>340</v>
      </c>
      <c r="F26" s="474"/>
      <c r="G26" s="474"/>
      <c r="H26" s="474"/>
      <c r="I26" s="474"/>
      <c r="J26" s="474"/>
      <c r="K26" s="474"/>
      <c r="L26" s="474"/>
      <c r="M26" s="474"/>
      <c r="N26" s="474">
        <v>5</v>
      </c>
      <c r="O26" s="474">
        <v>1800</v>
      </c>
      <c r="P26" s="441"/>
      <c r="Q26" s="494">
        <v>360</v>
      </c>
    </row>
    <row r="27" spans="1:17" ht="14.45" customHeight="1" x14ac:dyDescent="0.2">
      <c r="A27" s="450" t="s">
        <v>377</v>
      </c>
      <c r="B27" s="440" t="s">
        <v>337</v>
      </c>
      <c r="C27" s="440" t="s">
        <v>338</v>
      </c>
      <c r="D27" s="440" t="s">
        <v>341</v>
      </c>
      <c r="E27" s="440" t="s">
        <v>342</v>
      </c>
      <c r="F27" s="474"/>
      <c r="G27" s="474"/>
      <c r="H27" s="474"/>
      <c r="I27" s="474"/>
      <c r="J27" s="474"/>
      <c r="K27" s="474"/>
      <c r="L27" s="474"/>
      <c r="M27" s="474"/>
      <c r="N27" s="474">
        <v>1</v>
      </c>
      <c r="O27" s="474">
        <v>180</v>
      </c>
      <c r="P27" s="441"/>
      <c r="Q27" s="494">
        <v>180</v>
      </c>
    </row>
    <row r="28" spans="1:17" ht="14.45" customHeight="1" x14ac:dyDescent="0.2">
      <c r="A28" s="450" t="s">
        <v>378</v>
      </c>
      <c r="B28" s="440" t="s">
        <v>337</v>
      </c>
      <c r="C28" s="440" t="s">
        <v>338</v>
      </c>
      <c r="D28" s="440" t="s">
        <v>339</v>
      </c>
      <c r="E28" s="440" t="s">
        <v>340</v>
      </c>
      <c r="F28" s="474">
        <v>2</v>
      </c>
      <c r="G28" s="474">
        <v>710</v>
      </c>
      <c r="H28" s="474"/>
      <c r="I28" s="474">
        <v>355</v>
      </c>
      <c r="J28" s="474">
        <v>0</v>
      </c>
      <c r="K28" s="474">
        <v>0</v>
      </c>
      <c r="L28" s="474"/>
      <c r="M28" s="474"/>
      <c r="N28" s="474">
        <v>1</v>
      </c>
      <c r="O28" s="474">
        <v>360</v>
      </c>
      <c r="P28" s="441"/>
      <c r="Q28" s="494">
        <v>360</v>
      </c>
    </row>
    <row r="29" spans="1:17" ht="14.45" customHeight="1" x14ac:dyDescent="0.2">
      <c r="A29" s="450" t="s">
        <v>379</v>
      </c>
      <c r="B29" s="440" t="s">
        <v>337</v>
      </c>
      <c r="C29" s="440" t="s">
        <v>338</v>
      </c>
      <c r="D29" s="440" t="s">
        <v>339</v>
      </c>
      <c r="E29" s="440" t="s">
        <v>340</v>
      </c>
      <c r="F29" s="474">
        <v>2</v>
      </c>
      <c r="G29" s="474">
        <v>710</v>
      </c>
      <c r="H29" s="474">
        <v>1.9832402234636872</v>
      </c>
      <c r="I29" s="474">
        <v>355</v>
      </c>
      <c r="J29" s="474">
        <v>1</v>
      </c>
      <c r="K29" s="474">
        <v>358</v>
      </c>
      <c r="L29" s="474">
        <v>1</v>
      </c>
      <c r="M29" s="474">
        <v>358</v>
      </c>
      <c r="N29" s="474"/>
      <c r="O29" s="474"/>
      <c r="P29" s="441"/>
      <c r="Q29" s="494"/>
    </row>
    <row r="30" spans="1:17" ht="14.45" customHeight="1" x14ac:dyDescent="0.2">
      <c r="A30" s="450" t="s">
        <v>379</v>
      </c>
      <c r="B30" s="440" t="s">
        <v>337</v>
      </c>
      <c r="C30" s="440" t="s">
        <v>338</v>
      </c>
      <c r="D30" s="440" t="s">
        <v>341</v>
      </c>
      <c r="E30" s="440" t="s">
        <v>342</v>
      </c>
      <c r="F30" s="474">
        <v>1</v>
      </c>
      <c r="G30" s="474">
        <v>178</v>
      </c>
      <c r="H30" s="474">
        <v>0.994413407821229</v>
      </c>
      <c r="I30" s="474">
        <v>178</v>
      </c>
      <c r="J30" s="474">
        <v>1</v>
      </c>
      <c r="K30" s="474">
        <v>179</v>
      </c>
      <c r="L30" s="474">
        <v>1</v>
      </c>
      <c r="M30" s="474">
        <v>179</v>
      </c>
      <c r="N30" s="474"/>
      <c r="O30" s="474"/>
      <c r="P30" s="441"/>
      <c r="Q30" s="494"/>
    </row>
    <row r="31" spans="1:17" ht="14.45" customHeight="1" x14ac:dyDescent="0.2">
      <c r="A31" s="450" t="s">
        <v>380</v>
      </c>
      <c r="B31" s="440" t="s">
        <v>337</v>
      </c>
      <c r="C31" s="440" t="s">
        <v>338</v>
      </c>
      <c r="D31" s="440" t="s">
        <v>339</v>
      </c>
      <c r="E31" s="440" t="s">
        <v>340</v>
      </c>
      <c r="F31" s="474">
        <v>1</v>
      </c>
      <c r="G31" s="474">
        <v>355</v>
      </c>
      <c r="H31" s="474">
        <v>0.49581005586592181</v>
      </c>
      <c r="I31" s="474">
        <v>355</v>
      </c>
      <c r="J31" s="474">
        <v>2</v>
      </c>
      <c r="K31" s="474">
        <v>716</v>
      </c>
      <c r="L31" s="474">
        <v>1</v>
      </c>
      <c r="M31" s="474">
        <v>358</v>
      </c>
      <c r="N31" s="474">
        <v>1</v>
      </c>
      <c r="O31" s="474">
        <v>360</v>
      </c>
      <c r="P31" s="441">
        <v>0.5027932960893855</v>
      </c>
      <c r="Q31" s="494">
        <v>360</v>
      </c>
    </row>
    <row r="32" spans="1:17" ht="14.45" customHeight="1" x14ac:dyDescent="0.2">
      <c r="A32" s="450" t="s">
        <v>380</v>
      </c>
      <c r="B32" s="440" t="s">
        <v>337</v>
      </c>
      <c r="C32" s="440" t="s">
        <v>338</v>
      </c>
      <c r="D32" s="440" t="s">
        <v>341</v>
      </c>
      <c r="E32" s="440" t="s">
        <v>342</v>
      </c>
      <c r="F32" s="474">
        <v>2</v>
      </c>
      <c r="G32" s="474">
        <v>356</v>
      </c>
      <c r="H32" s="474">
        <v>1.988826815642458</v>
      </c>
      <c r="I32" s="474">
        <v>178</v>
      </c>
      <c r="J32" s="474">
        <v>1</v>
      </c>
      <c r="K32" s="474">
        <v>179</v>
      </c>
      <c r="L32" s="474">
        <v>1</v>
      </c>
      <c r="M32" s="474">
        <v>179</v>
      </c>
      <c r="N32" s="474">
        <v>2</v>
      </c>
      <c r="O32" s="474">
        <v>360</v>
      </c>
      <c r="P32" s="441">
        <v>2.011173184357542</v>
      </c>
      <c r="Q32" s="494">
        <v>180</v>
      </c>
    </row>
    <row r="33" spans="1:17" ht="14.45" customHeight="1" x14ac:dyDescent="0.2">
      <c r="A33" s="450" t="s">
        <v>381</v>
      </c>
      <c r="B33" s="440" t="s">
        <v>337</v>
      </c>
      <c r="C33" s="440" t="s">
        <v>338</v>
      </c>
      <c r="D33" s="440" t="s">
        <v>339</v>
      </c>
      <c r="E33" s="440" t="s">
        <v>340</v>
      </c>
      <c r="F33" s="474">
        <v>1</v>
      </c>
      <c r="G33" s="474">
        <v>355</v>
      </c>
      <c r="H33" s="474">
        <v>0.99162011173184361</v>
      </c>
      <c r="I33" s="474">
        <v>355</v>
      </c>
      <c r="J33" s="474">
        <v>1</v>
      </c>
      <c r="K33" s="474">
        <v>358</v>
      </c>
      <c r="L33" s="474">
        <v>1</v>
      </c>
      <c r="M33" s="474">
        <v>358</v>
      </c>
      <c r="N33" s="474">
        <v>1</v>
      </c>
      <c r="O33" s="474">
        <v>360</v>
      </c>
      <c r="P33" s="441">
        <v>1.005586592178771</v>
      </c>
      <c r="Q33" s="494">
        <v>360</v>
      </c>
    </row>
    <row r="34" spans="1:17" ht="14.45" customHeight="1" x14ac:dyDescent="0.2">
      <c r="A34" s="450" t="s">
        <v>381</v>
      </c>
      <c r="B34" s="440" t="s">
        <v>337</v>
      </c>
      <c r="C34" s="440" t="s">
        <v>338</v>
      </c>
      <c r="D34" s="440" t="s">
        <v>341</v>
      </c>
      <c r="E34" s="440" t="s">
        <v>342</v>
      </c>
      <c r="F34" s="474">
        <v>1</v>
      </c>
      <c r="G34" s="474">
        <v>178</v>
      </c>
      <c r="H34" s="474">
        <v>0.24860335195530725</v>
      </c>
      <c r="I34" s="474">
        <v>178</v>
      </c>
      <c r="J34" s="474">
        <v>4</v>
      </c>
      <c r="K34" s="474">
        <v>716</v>
      </c>
      <c r="L34" s="474">
        <v>1</v>
      </c>
      <c r="M34" s="474">
        <v>179</v>
      </c>
      <c r="N34" s="474"/>
      <c r="O34" s="474"/>
      <c r="P34" s="441"/>
      <c r="Q34" s="494"/>
    </row>
    <row r="35" spans="1:17" ht="14.45" customHeight="1" x14ac:dyDescent="0.2">
      <c r="A35" s="450" t="s">
        <v>382</v>
      </c>
      <c r="B35" s="440" t="s">
        <v>337</v>
      </c>
      <c r="C35" s="440" t="s">
        <v>338</v>
      </c>
      <c r="D35" s="440" t="s">
        <v>339</v>
      </c>
      <c r="E35" s="440" t="s">
        <v>340</v>
      </c>
      <c r="F35" s="474">
        <v>4</v>
      </c>
      <c r="G35" s="474">
        <v>1420</v>
      </c>
      <c r="H35" s="474"/>
      <c r="I35" s="474">
        <v>355</v>
      </c>
      <c r="J35" s="474"/>
      <c r="K35" s="474"/>
      <c r="L35" s="474"/>
      <c r="M35" s="474"/>
      <c r="N35" s="474">
        <v>6</v>
      </c>
      <c r="O35" s="474">
        <v>2160</v>
      </c>
      <c r="P35" s="441"/>
      <c r="Q35" s="494">
        <v>360</v>
      </c>
    </row>
    <row r="36" spans="1:17" ht="14.45" customHeight="1" x14ac:dyDescent="0.2">
      <c r="A36" s="450" t="s">
        <v>382</v>
      </c>
      <c r="B36" s="440" t="s">
        <v>337</v>
      </c>
      <c r="C36" s="440" t="s">
        <v>338</v>
      </c>
      <c r="D36" s="440" t="s">
        <v>341</v>
      </c>
      <c r="E36" s="440" t="s">
        <v>342</v>
      </c>
      <c r="F36" s="474">
        <v>2</v>
      </c>
      <c r="G36" s="474">
        <v>356</v>
      </c>
      <c r="H36" s="474"/>
      <c r="I36" s="474">
        <v>178</v>
      </c>
      <c r="J36" s="474"/>
      <c r="K36" s="474"/>
      <c r="L36" s="474"/>
      <c r="M36" s="474"/>
      <c r="N36" s="474">
        <v>9</v>
      </c>
      <c r="O36" s="474">
        <v>1620</v>
      </c>
      <c r="P36" s="441"/>
      <c r="Q36" s="494">
        <v>180</v>
      </c>
    </row>
    <row r="37" spans="1:17" ht="14.45" customHeight="1" x14ac:dyDescent="0.2">
      <c r="A37" s="450" t="s">
        <v>382</v>
      </c>
      <c r="B37" s="440" t="s">
        <v>337</v>
      </c>
      <c r="C37" s="440" t="s">
        <v>338</v>
      </c>
      <c r="D37" s="440" t="s">
        <v>343</v>
      </c>
      <c r="E37" s="440" t="s">
        <v>344</v>
      </c>
      <c r="F37" s="474"/>
      <c r="G37" s="474"/>
      <c r="H37" s="474"/>
      <c r="I37" s="474"/>
      <c r="J37" s="474"/>
      <c r="K37" s="474"/>
      <c r="L37" s="474"/>
      <c r="M37" s="474"/>
      <c r="N37" s="474">
        <v>1</v>
      </c>
      <c r="O37" s="474">
        <v>352</v>
      </c>
      <c r="P37" s="441"/>
      <c r="Q37" s="494">
        <v>352</v>
      </c>
    </row>
    <row r="38" spans="1:17" ht="14.45" customHeight="1" x14ac:dyDescent="0.2">
      <c r="A38" s="450" t="s">
        <v>383</v>
      </c>
      <c r="B38" s="440" t="s">
        <v>337</v>
      </c>
      <c r="C38" s="440" t="s">
        <v>338</v>
      </c>
      <c r="D38" s="440" t="s">
        <v>339</v>
      </c>
      <c r="E38" s="440" t="s">
        <v>340</v>
      </c>
      <c r="F38" s="474">
        <v>5</v>
      </c>
      <c r="G38" s="474">
        <v>1775</v>
      </c>
      <c r="H38" s="474">
        <v>2.4790502793296088</v>
      </c>
      <c r="I38" s="474">
        <v>355</v>
      </c>
      <c r="J38" s="474">
        <v>2</v>
      </c>
      <c r="K38" s="474">
        <v>716</v>
      </c>
      <c r="L38" s="474">
        <v>1</v>
      </c>
      <c r="M38" s="474">
        <v>358</v>
      </c>
      <c r="N38" s="474">
        <v>11</v>
      </c>
      <c r="O38" s="474">
        <v>3960</v>
      </c>
      <c r="P38" s="441">
        <v>5.5307262569832405</v>
      </c>
      <c r="Q38" s="494">
        <v>360</v>
      </c>
    </row>
    <row r="39" spans="1:17" ht="14.45" customHeight="1" x14ac:dyDescent="0.2">
      <c r="A39" s="450" t="s">
        <v>383</v>
      </c>
      <c r="B39" s="440" t="s">
        <v>337</v>
      </c>
      <c r="C39" s="440" t="s">
        <v>338</v>
      </c>
      <c r="D39" s="440" t="s">
        <v>341</v>
      </c>
      <c r="E39" s="440" t="s">
        <v>342</v>
      </c>
      <c r="F39" s="474">
        <v>4</v>
      </c>
      <c r="G39" s="474">
        <v>712</v>
      </c>
      <c r="H39" s="474">
        <v>0.79553072625698329</v>
      </c>
      <c r="I39" s="474">
        <v>178</v>
      </c>
      <c r="J39" s="474">
        <v>5</v>
      </c>
      <c r="K39" s="474">
        <v>895</v>
      </c>
      <c r="L39" s="474">
        <v>1</v>
      </c>
      <c r="M39" s="474">
        <v>179</v>
      </c>
      <c r="N39" s="474">
        <v>4</v>
      </c>
      <c r="O39" s="474">
        <v>720</v>
      </c>
      <c r="P39" s="441">
        <v>0.8044692737430168</v>
      </c>
      <c r="Q39" s="494">
        <v>180</v>
      </c>
    </row>
    <row r="40" spans="1:17" ht="14.45" customHeight="1" x14ac:dyDescent="0.2">
      <c r="A40" s="450" t="s">
        <v>383</v>
      </c>
      <c r="B40" s="440" t="s">
        <v>337</v>
      </c>
      <c r="C40" s="440" t="s">
        <v>338</v>
      </c>
      <c r="D40" s="440" t="s">
        <v>343</v>
      </c>
      <c r="E40" s="440" t="s">
        <v>344</v>
      </c>
      <c r="F40" s="474"/>
      <c r="G40" s="474"/>
      <c r="H40" s="474"/>
      <c r="I40" s="474"/>
      <c r="J40" s="474"/>
      <c r="K40" s="474"/>
      <c r="L40" s="474"/>
      <c r="M40" s="474"/>
      <c r="N40" s="474">
        <v>1</v>
      </c>
      <c r="O40" s="474">
        <v>352</v>
      </c>
      <c r="P40" s="441"/>
      <c r="Q40" s="494">
        <v>352</v>
      </c>
    </row>
    <row r="41" spans="1:17" ht="14.45" customHeight="1" x14ac:dyDescent="0.2">
      <c r="A41" s="450" t="s">
        <v>384</v>
      </c>
      <c r="B41" s="440" t="s">
        <v>337</v>
      </c>
      <c r="C41" s="440" t="s">
        <v>338</v>
      </c>
      <c r="D41" s="440" t="s">
        <v>339</v>
      </c>
      <c r="E41" s="440" t="s">
        <v>340</v>
      </c>
      <c r="F41" s="474">
        <v>1</v>
      </c>
      <c r="G41" s="474">
        <v>355</v>
      </c>
      <c r="H41" s="474"/>
      <c r="I41" s="474">
        <v>355</v>
      </c>
      <c r="J41" s="474"/>
      <c r="K41" s="474"/>
      <c r="L41" s="474"/>
      <c r="M41" s="474"/>
      <c r="N41" s="474"/>
      <c r="O41" s="474"/>
      <c r="P41" s="441"/>
      <c r="Q41" s="494"/>
    </row>
    <row r="42" spans="1:17" ht="14.45" customHeight="1" x14ac:dyDescent="0.2">
      <c r="A42" s="450" t="s">
        <v>384</v>
      </c>
      <c r="B42" s="440" t="s">
        <v>337</v>
      </c>
      <c r="C42" s="440" t="s">
        <v>338</v>
      </c>
      <c r="D42" s="440" t="s">
        <v>341</v>
      </c>
      <c r="E42" s="440" t="s">
        <v>342</v>
      </c>
      <c r="F42" s="474"/>
      <c r="G42" s="474"/>
      <c r="H42" s="474"/>
      <c r="I42" s="474"/>
      <c r="J42" s="474"/>
      <c r="K42" s="474"/>
      <c r="L42" s="474"/>
      <c r="M42" s="474"/>
      <c r="N42" s="474">
        <v>1</v>
      </c>
      <c r="O42" s="474">
        <v>180</v>
      </c>
      <c r="P42" s="441"/>
      <c r="Q42" s="494">
        <v>180</v>
      </c>
    </row>
    <row r="43" spans="1:17" ht="14.45" customHeight="1" x14ac:dyDescent="0.2">
      <c r="A43" s="450" t="s">
        <v>385</v>
      </c>
      <c r="B43" s="440" t="s">
        <v>337</v>
      </c>
      <c r="C43" s="440" t="s">
        <v>338</v>
      </c>
      <c r="D43" s="440" t="s">
        <v>339</v>
      </c>
      <c r="E43" s="440" t="s">
        <v>340</v>
      </c>
      <c r="F43" s="474"/>
      <c r="G43" s="474"/>
      <c r="H43" s="474"/>
      <c r="I43" s="474"/>
      <c r="J43" s="474">
        <v>2</v>
      </c>
      <c r="K43" s="474">
        <v>716</v>
      </c>
      <c r="L43" s="474">
        <v>1</v>
      </c>
      <c r="M43" s="474">
        <v>358</v>
      </c>
      <c r="N43" s="474">
        <v>1</v>
      </c>
      <c r="O43" s="474">
        <v>360</v>
      </c>
      <c r="P43" s="441">
        <v>0.5027932960893855</v>
      </c>
      <c r="Q43" s="494">
        <v>360</v>
      </c>
    </row>
    <row r="44" spans="1:17" ht="14.45" customHeight="1" x14ac:dyDescent="0.2">
      <c r="A44" s="450" t="s">
        <v>385</v>
      </c>
      <c r="B44" s="440" t="s">
        <v>337</v>
      </c>
      <c r="C44" s="440" t="s">
        <v>338</v>
      </c>
      <c r="D44" s="440" t="s">
        <v>341</v>
      </c>
      <c r="E44" s="440" t="s">
        <v>342</v>
      </c>
      <c r="F44" s="474"/>
      <c r="G44" s="474"/>
      <c r="H44" s="474"/>
      <c r="I44" s="474"/>
      <c r="J44" s="474">
        <v>4</v>
      </c>
      <c r="K44" s="474">
        <v>716</v>
      </c>
      <c r="L44" s="474">
        <v>1</v>
      </c>
      <c r="M44" s="474">
        <v>179</v>
      </c>
      <c r="N44" s="474"/>
      <c r="O44" s="474"/>
      <c r="P44" s="441"/>
      <c r="Q44" s="494"/>
    </row>
    <row r="45" spans="1:17" ht="14.45" customHeight="1" x14ac:dyDescent="0.2">
      <c r="A45" s="450" t="s">
        <v>385</v>
      </c>
      <c r="B45" s="440" t="s">
        <v>337</v>
      </c>
      <c r="C45" s="440" t="s">
        <v>338</v>
      </c>
      <c r="D45" s="440" t="s">
        <v>343</v>
      </c>
      <c r="E45" s="440" t="s">
        <v>344</v>
      </c>
      <c r="F45" s="474"/>
      <c r="G45" s="474"/>
      <c r="H45" s="474"/>
      <c r="I45" s="474"/>
      <c r="J45" s="474"/>
      <c r="K45" s="474"/>
      <c r="L45" s="474"/>
      <c r="M45" s="474"/>
      <c r="N45" s="474">
        <v>1</v>
      </c>
      <c r="O45" s="474">
        <v>352</v>
      </c>
      <c r="P45" s="441"/>
      <c r="Q45" s="494">
        <v>352</v>
      </c>
    </row>
    <row r="46" spans="1:17" ht="14.45" customHeight="1" x14ac:dyDescent="0.2">
      <c r="A46" s="450" t="s">
        <v>386</v>
      </c>
      <c r="B46" s="440" t="s">
        <v>337</v>
      </c>
      <c r="C46" s="440" t="s">
        <v>338</v>
      </c>
      <c r="D46" s="440" t="s">
        <v>339</v>
      </c>
      <c r="E46" s="440" t="s">
        <v>340</v>
      </c>
      <c r="F46" s="474"/>
      <c r="G46" s="474"/>
      <c r="H46" s="474"/>
      <c r="I46" s="474"/>
      <c r="J46" s="474">
        <v>5</v>
      </c>
      <c r="K46" s="474">
        <v>1790</v>
      </c>
      <c r="L46" s="474">
        <v>1</v>
      </c>
      <c r="M46" s="474">
        <v>358</v>
      </c>
      <c r="N46" s="474">
        <v>2</v>
      </c>
      <c r="O46" s="474">
        <v>720</v>
      </c>
      <c r="P46" s="441">
        <v>0.4022346368715084</v>
      </c>
      <c r="Q46" s="494">
        <v>360</v>
      </c>
    </row>
    <row r="47" spans="1:17" ht="14.45" customHeight="1" x14ac:dyDescent="0.2">
      <c r="A47" s="450" t="s">
        <v>386</v>
      </c>
      <c r="B47" s="440" t="s">
        <v>337</v>
      </c>
      <c r="C47" s="440" t="s">
        <v>338</v>
      </c>
      <c r="D47" s="440" t="s">
        <v>341</v>
      </c>
      <c r="E47" s="440" t="s">
        <v>342</v>
      </c>
      <c r="F47" s="474"/>
      <c r="G47" s="474"/>
      <c r="H47" s="474"/>
      <c r="I47" s="474"/>
      <c r="J47" s="474">
        <v>9</v>
      </c>
      <c r="K47" s="474">
        <v>1611</v>
      </c>
      <c r="L47" s="474">
        <v>1</v>
      </c>
      <c r="M47" s="474">
        <v>179</v>
      </c>
      <c r="N47" s="474"/>
      <c r="O47" s="474"/>
      <c r="P47" s="441"/>
      <c r="Q47" s="494"/>
    </row>
    <row r="48" spans="1:17" ht="14.45" customHeight="1" x14ac:dyDescent="0.2">
      <c r="A48" s="450" t="s">
        <v>386</v>
      </c>
      <c r="B48" s="440" t="s">
        <v>337</v>
      </c>
      <c r="C48" s="440" t="s">
        <v>338</v>
      </c>
      <c r="D48" s="440" t="s">
        <v>343</v>
      </c>
      <c r="E48" s="440" t="s">
        <v>344</v>
      </c>
      <c r="F48" s="474"/>
      <c r="G48" s="474"/>
      <c r="H48" s="474"/>
      <c r="I48" s="474"/>
      <c r="J48" s="474"/>
      <c r="K48" s="474"/>
      <c r="L48" s="474"/>
      <c r="M48" s="474"/>
      <c r="N48" s="474">
        <v>1</v>
      </c>
      <c r="O48" s="474">
        <v>352</v>
      </c>
      <c r="P48" s="441"/>
      <c r="Q48" s="494">
        <v>352</v>
      </c>
    </row>
    <row r="49" spans="1:17" ht="14.45" customHeight="1" x14ac:dyDescent="0.2">
      <c r="A49" s="450" t="s">
        <v>387</v>
      </c>
      <c r="B49" s="440" t="s">
        <v>337</v>
      </c>
      <c r="C49" s="440" t="s">
        <v>338</v>
      </c>
      <c r="D49" s="440" t="s">
        <v>339</v>
      </c>
      <c r="E49" s="440" t="s">
        <v>340</v>
      </c>
      <c r="F49" s="474"/>
      <c r="G49" s="474"/>
      <c r="H49" s="474"/>
      <c r="I49" s="474"/>
      <c r="J49" s="474"/>
      <c r="K49" s="474"/>
      <c r="L49" s="474"/>
      <c r="M49" s="474"/>
      <c r="N49" s="474">
        <v>1</v>
      </c>
      <c r="O49" s="474">
        <v>360</v>
      </c>
      <c r="P49" s="441"/>
      <c r="Q49" s="494">
        <v>360</v>
      </c>
    </row>
    <row r="50" spans="1:17" ht="14.45" customHeight="1" x14ac:dyDescent="0.2">
      <c r="A50" s="450" t="s">
        <v>387</v>
      </c>
      <c r="B50" s="440" t="s">
        <v>337</v>
      </c>
      <c r="C50" s="440" t="s">
        <v>338</v>
      </c>
      <c r="D50" s="440" t="s">
        <v>341</v>
      </c>
      <c r="E50" s="440" t="s">
        <v>342</v>
      </c>
      <c r="F50" s="474">
        <v>1</v>
      </c>
      <c r="G50" s="474">
        <v>178</v>
      </c>
      <c r="H50" s="474">
        <v>0.4972067039106145</v>
      </c>
      <c r="I50" s="474">
        <v>178</v>
      </c>
      <c r="J50" s="474">
        <v>2</v>
      </c>
      <c r="K50" s="474">
        <v>358</v>
      </c>
      <c r="L50" s="474">
        <v>1</v>
      </c>
      <c r="M50" s="474">
        <v>179</v>
      </c>
      <c r="N50" s="474">
        <v>2</v>
      </c>
      <c r="O50" s="474">
        <v>360</v>
      </c>
      <c r="P50" s="441">
        <v>1.005586592178771</v>
      </c>
      <c r="Q50" s="494">
        <v>180</v>
      </c>
    </row>
    <row r="51" spans="1:17" ht="14.45" customHeight="1" thickBot="1" x14ac:dyDescent="0.25">
      <c r="A51" s="442" t="s">
        <v>387</v>
      </c>
      <c r="B51" s="443" t="s">
        <v>337</v>
      </c>
      <c r="C51" s="443" t="s">
        <v>338</v>
      </c>
      <c r="D51" s="443" t="s">
        <v>343</v>
      </c>
      <c r="E51" s="443" t="s">
        <v>344</v>
      </c>
      <c r="F51" s="477"/>
      <c r="G51" s="477"/>
      <c r="H51" s="477"/>
      <c r="I51" s="477"/>
      <c r="J51" s="477"/>
      <c r="K51" s="477"/>
      <c r="L51" s="477"/>
      <c r="M51" s="477"/>
      <c r="N51" s="477">
        <v>1</v>
      </c>
      <c r="O51" s="477">
        <v>352</v>
      </c>
      <c r="P51" s="448"/>
      <c r="Q51" s="495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C44E29DA-E40D-45DE-98B5-C472BB5CDD83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7" t="s">
        <v>113</v>
      </c>
      <c r="B1" s="287"/>
      <c r="C1" s="288"/>
      <c r="D1" s="288"/>
      <c r="E1" s="288"/>
    </row>
    <row r="2" spans="1:5" ht="14.45" customHeight="1" thickBot="1" x14ac:dyDescent="0.25">
      <c r="A2" s="392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1054.5021499999998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0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0.29123583627894678</v>
      </c>
      <c r="E9" s="150">
        <f t="shared" si="0"/>
        <v>0.48539306046491132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1054.0123599999999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2.9870000000000001</v>
      </c>
      <c r="D15" s="168">
        <f ca="1">IF(ISERROR(VLOOKUP("Výnosy celkem",INDIRECT("HI!$A:$G"),5,0)),0,VLOOKUP("Výnosy celkem",INDIRECT("HI!$A:$G"),5,0))</f>
        <v>2.3079999999999998</v>
      </c>
      <c r="E15" s="169">
        <f t="shared" ref="E15:E20" ca="1" si="1">IF(C15=0,0,D15/C15)</f>
        <v>0.77268162035487098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2.9870000000000001</v>
      </c>
      <c r="D16" s="149">
        <f ca="1">IF(ISERROR(VLOOKUP("Ambulance *",INDIRECT("HI!$A:$G"),5,0)),0,VLOOKUP("Ambulance *",INDIRECT("HI!$A:$G"),5,0))</f>
        <v>2.3079999999999998</v>
      </c>
      <c r="E16" s="150">
        <f t="shared" ca="1" si="1"/>
        <v>0.77268162035487098</v>
      </c>
    </row>
    <row r="17" spans="1:5" ht="14.45" customHeight="1" x14ac:dyDescent="0.25">
      <c r="A17" s="226" t="str">
        <f>HYPERLINK("#'ZV Vykáz.-A'!A1","Zdravotní výkony vykázané u ambulantních pacientů (min. 100 % 2016)")</f>
        <v>Zdravotní výkony vykázané u ambulantních pacientů (min. 100 % 2016)</v>
      </c>
      <c r="B17" s="227" t="s">
        <v>115</v>
      </c>
      <c r="C17" s="154">
        <v>1</v>
      </c>
      <c r="D17" s="154">
        <f>IF(ISERROR(VLOOKUP("Celkem:",'ZV Vykáz.-A'!$A:$AB,10,0)),"",VLOOKUP("Celkem:",'ZV Vykáz.-A'!$A:$AB,10,0))</f>
        <v>0.77268162035487109</v>
      </c>
      <c r="E17" s="150">
        <f t="shared" si="1"/>
        <v>0.77268162035487109</v>
      </c>
    </row>
    <row r="18" spans="1:5" ht="14.45" customHeight="1" x14ac:dyDescent="0.25">
      <c r="A18" s="225" t="str">
        <f>HYPERLINK("#'ZV Vykáz.-A'!A1","Specializovaná ambulantní péče")</f>
        <v>Specializovaná ambulantní péče</v>
      </c>
      <c r="B18" s="227" t="s">
        <v>115</v>
      </c>
      <c r="C18" s="154">
        <v>1</v>
      </c>
      <c r="D18" s="219">
        <f>IF(ISERROR(VLOOKUP("Specializovaná ambulantní péče",'ZV Vykáz.-A'!$A:$AB,10,0)),"",VLOOKUP("Specializovaná ambulantní péče",'ZV Vykáz.-A'!$A:$AB,10,0))</f>
        <v>0.77268162035487109</v>
      </c>
      <c r="E18" s="150">
        <f t="shared" si="1"/>
        <v>0.77268162035487109</v>
      </c>
    </row>
    <row r="19" spans="1:5" ht="14.45" customHeight="1" x14ac:dyDescent="0.25">
      <c r="A19" s="225" t="str">
        <f>HYPERLINK("#'ZV Vykáz.-A'!A1","Ambulantní péče ve vyjmenovaných odbornostech (§9)")</f>
        <v>Ambulantní péče ve vyjmenovaných odbornostech (§9)</v>
      </c>
      <c r="B19" s="227" t="s">
        <v>115</v>
      </c>
      <c r="C19" s="154">
        <v>1</v>
      </c>
      <c r="D19" s="219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7" t="s">
        <v>117</v>
      </c>
      <c r="C20" s="154">
        <v>0.85</v>
      </c>
      <c r="D20" s="154">
        <f>IF(ISERROR(VLOOKUP("Celkem:",'ZV Vykáz.-H'!$A:$S,7,0)),"",VLOOKUP("Celkem:",'ZV Vykáz.-H'!$A:$S,7,0))</f>
        <v>1.1828510451321324</v>
      </c>
      <c r="E20" s="150">
        <f t="shared" si="1"/>
        <v>1.3915894648613323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2382CB74-4237-45B4-8A05-8FFBE21325D8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8" t="s">
        <v>122</v>
      </c>
      <c r="B1" s="298"/>
      <c r="C1" s="298"/>
      <c r="D1" s="298"/>
      <c r="E1" s="298"/>
      <c r="F1" s="298"/>
      <c r="G1" s="298"/>
      <c r="H1" s="298"/>
      <c r="I1" s="298"/>
      <c r="J1" s="298"/>
    </row>
    <row r="2" spans="1:10" ht="14.45" customHeight="1" thickBot="1" x14ac:dyDescent="0.25">
      <c r="A2" s="392" t="s">
        <v>232</v>
      </c>
      <c r="B2" s="97"/>
      <c r="C2" s="97"/>
      <c r="D2" s="97"/>
      <c r="E2" s="97"/>
      <c r="F2" s="97"/>
    </row>
    <row r="3" spans="1:10" ht="14.45" customHeight="1" x14ac:dyDescent="0.2">
      <c r="A3" s="289"/>
      <c r="B3" s="93">
        <v>2018</v>
      </c>
      <c r="C3" s="40">
        <v>2019</v>
      </c>
      <c r="D3" s="7"/>
      <c r="E3" s="293">
        <v>2020</v>
      </c>
      <c r="F3" s="294"/>
      <c r="G3" s="294"/>
      <c r="H3" s="295"/>
      <c r="I3" s="296">
        <v>2017</v>
      </c>
      <c r="J3" s="297"/>
    </row>
    <row r="4" spans="1:10" ht="14.45" customHeight="1" thickBot="1" x14ac:dyDescent="0.25">
      <c r="A4" s="290"/>
      <c r="B4" s="291" t="s">
        <v>69</v>
      </c>
      <c r="C4" s="292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0" t="s">
        <v>229</v>
      </c>
      <c r="J4" s="231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689.94016999999997</v>
      </c>
      <c r="C7" s="31">
        <v>779.08954000000006</v>
      </c>
      <c r="D7" s="8"/>
      <c r="E7" s="104">
        <v>1054.0123599999999</v>
      </c>
      <c r="F7" s="30">
        <v>0</v>
      </c>
      <c r="G7" s="105">
        <f>E7-F7</f>
        <v>1054.0123599999999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8.3872000000000071</v>
      </c>
      <c r="C8" s="33">
        <v>0.22500000000002274</v>
      </c>
      <c r="D8" s="8"/>
      <c r="E8" s="106">
        <v>0.48978999999985717</v>
      </c>
      <c r="F8" s="32">
        <v>0</v>
      </c>
      <c r="G8" s="107">
        <f>E8-F8</f>
        <v>0.48978999999985717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698.32736999999997</v>
      </c>
      <c r="C9" s="35">
        <v>779.31454000000008</v>
      </c>
      <c r="D9" s="8"/>
      <c r="E9" s="3">
        <v>1054.5021499999998</v>
      </c>
      <c r="F9" s="34">
        <v>0</v>
      </c>
      <c r="G9" s="34">
        <f>E9-F9</f>
        <v>1054.5021499999998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0.71</v>
      </c>
      <c r="C11" s="29">
        <f>IF(ISERROR(VLOOKUP("Celkem:",'ZV Vykáz.-A'!A:H,5,0)),0,VLOOKUP("Celkem:",'ZV Vykáz.-A'!A:H,5,0)/1000)</f>
        <v>2.9870000000000001</v>
      </c>
      <c r="D11" s="8"/>
      <c r="E11" s="103">
        <f>IF(ISERROR(VLOOKUP("Celkem:",'ZV Vykáz.-A'!A:H,8,0)),0,VLOOKUP("Celkem:",'ZV Vykáz.-A'!A:H,8,0)/1000)</f>
        <v>2.3079999999999998</v>
      </c>
      <c r="F11" s="28">
        <f>C11</f>
        <v>2.9870000000000001</v>
      </c>
      <c r="G11" s="102">
        <f>E11-F11</f>
        <v>-0.67900000000000027</v>
      </c>
      <c r="H11" s="108">
        <f>IF(F11&lt;0.00000001,"",E11/F11)</f>
        <v>0.77268162035487098</v>
      </c>
      <c r="I11" s="102">
        <f>E11-B11</f>
        <v>1.5979999999999999</v>
      </c>
      <c r="J11" s="108">
        <f>IF(B11&lt;0.00000001,"",E11/B11)</f>
        <v>3.2507042253521128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0.71</v>
      </c>
      <c r="C13" s="37">
        <f>SUM(C11:C12)</f>
        <v>2.9870000000000001</v>
      </c>
      <c r="D13" s="8"/>
      <c r="E13" s="5">
        <f>SUM(E11:E12)</f>
        <v>2.3079999999999998</v>
      </c>
      <c r="F13" s="36">
        <f>SUM(F11:F12)</f>
        <v>2.9870000000000001</v>
      </c>
      <c r="G13" s="36">
        <f>E13-F13</f>
        <v>-0.67900000000000027</v>
      </c>
      <c r="H13" s="112">
        <f>IF(F13&lt;0.00000001,"",E13/F13)</f>
        <v>0.77268162035487098</v>
      </c>
      <c r="I13" s="36">
        <f>SUM(I11:I12)</f>
        <v>1.5979999999999999</v>
      </c>
      <c r="J13" s="112">
        <f>IF(B13&lt;0.00000001,"",E13/B13)</f>
        <v>3.2507042253521128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1.0167151260303603E-3</v>
      </c>
      <c r="C15" s="39">
        <f>IF(C9=0,"",C13/C9)</f>
        <v>3.832855473221377E-3</v>
      </c>
      <c r="D15" s="8"/>
      <c r="E15" s="6">
        <f>IF(E9=0,"",E13/E9)</f>
        <v>2.1887105682999322E-3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6" t="s">
        <v>162</v>
      </c>
      <c r="B18" s="217"/>
      <c r="C18" s="217"/>
      <c r="D18" s="217"/>
      <c r="E18" s="217"/>
      <c r="F18" s="217"/>
      <c r="G18" s="217"/>
      <c r="H18" s="217"/>
    </row>
    <row r="19" spans="1:8" ht="15" x14ac:dyDescent="0.25">
      <c r="A19" s="215" t="s">
        <v>161</v>
      </c>
      <c r="B19" s="217"/>
      <c r="C19" s="217"/>
      <c r="D19" s="217"/>
      <c r="E19" s="217"/>
      <c r="F19" s="217"/>
      <c r="G19" s="217"/>
      <c r="H19" s="217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C56D497F-1A09-43AE-B3AC-1C1B33B9957A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7" t="s">
        <v>100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</row>
    <row r="2" spans="1:13" ht="14.45" customHeight="1" x14ac:dyDescent="0.2">
      <c r="A2" s="392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2.1887105682999318E-3</v>
      </c>
      <c r="H4" s="186">
        <f t="shared" si="0"/>
        <v>2.1887105682999318E-3</v>
      </c>
      <c r="I4" s="186">
        <f t="shared" si="0"/>
        <v>2.1887105682999318E-3</v>
      </c>
      <c r="J4" s="186">
        <f t="shared" si="0"/>
        <v>2.1887105682999318E-3</v>
      </c>
      <c r="K4" s="186">
        <f t="shared" si="0"/>
        <v>2.1887105682999318E-3</v>
      </c>
      <c r="L4" s="186">
        <f t="shared" si="0"/>
        <v>2.1887105682999318E-3</v>
      </c>
      <c r="M4" s="186">
        <f t="shared" si="0"/>
        <v>2.1887105682999318E-3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0</v>
      </c>
      <c r="H5" s="186">
        <f>IF(ISERROR(VLOOKUP($A5,'Man Tab'!$A:$Q,COLUMN()+2,0)),0,VLOOKUP($A5,'Man Tab'!$A:$Q,COLUMN()+2,0))</f>
        <v>0</v>
      </c>
      <c r="I5" s="186">
        <f>IF(ISERROR(VLOOKUP($A5,'Man Tab'!$A:$Q,COLUMN()+2,0)),0,VLOOKUP($A5,'Man Tab'!$A:$Q,COLUMN()+2,0))</f>
        <v>0</v>
      </c>
      <c r="J5" s="186">
        <f>IF(ISERROR(VLOOKUP($A5,'Man Tab'!$A:$Q,COLUMN()+2,0)),0,VLOOKUP($A5,'Man Tab'!$A:$Q,COLUMN()+2,0))</f>
        <v>0</v>
      </c>
      <c r="K5" s="186">
        <f>IF(ISERROR(VLOOKUP($A5,'Man Tab'!$A:$Q,COLUMN()+2,0)),0,VLOOKUP($A5,'Man Tab'!$A:$Q,COLUMN()+2,0))</f>
        <v>0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1054.50215</v>
      </c>
      <c r="H6" s="188">
        <f t="shared" si="1"/>
        <v>1054.50215</v>
      </c>
      <c r="I6" s="188">
        <f t="shared" si="1"/>
        <v>1054.50215</v>
      </c>
      <c r="J6" s="188">
        <f t="shared" si="1"/>
        <v>1054.50215</v>
      </c>
      <c r="K6" s="188">
        <f t="shared" si="1"/>
        <v>1054.50215</v>
      </c>
      <c r="L6" s="188">
        <f t="shared" si="1"/>
        <v>1054.50215</v>
      </c>
      <c r="M6" s="188">
        <f t="shared" si="1"/>
        <v>1054.50215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>
        <v>0</v>
      </c>
      <c r="H9" s="187">
        <v>0</v>
      </c>
      <c r="I9" s="187">
        <v>0</v>
      </c>
      <c r="J9" s="187">
        <v>0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2.3079999999999998</v>
      </c>
      <c r="I10" s="188">
        <f t="shared" si="3"/>
        <v>2.3079999999999998</v>
      </c>
      <c r="J10" s="188">
        <f t="shared" si="3"/>
        <v>2.3079999999999998</v>
      </c>
      <c r="K10" s="188">
        <f t="shared" si="3"/>
        <v>2.3079999999999998</v>
      </c>
      <c r="L10" s="188">
        <f t="shared" si="3"/>
        <v>2.3079999999999998</v>
      </c>
      <c r="M10" s="188">
        <f t="shared" si="3"/>
        <v>2.3079999999999998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5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2AE9AB3B-7912-4FA8-AC88-9AC811320F51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299" t="s">
        <v>234</v>
      </c>
      <c r="B1" s="299"/>
      <c r="C1" s="299"/>
      <c r="D1" s="299"/>
      <c r="E1" s="299"/>
      <c r="F1" s="299"/>
      <c r="G1" s="299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17" s="189" customFormat="1" ht="14.45" customHeight="1" thickBot="1" x14ac:dyDescent="0.25">
      <c r="A2" s="392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0" t="s">
        <v>26</v>
      </c>
      <c r="C3" s="301"/>
      <c r="D3" s="301"/>
      <c r="E3" s="301"/>
      <c r="F3" s="301"/>
      <c r="G3" s="301"/>
      <c r="H3" s="301"/>
      <c r="I3" s="301"/>
      <c r="J3" s="301"/>
      <c r="K3" s="301"/>
      <c r="L3" s="301"/>
      <c r="M3" s="301"/>
      <c r="N3" s="301"/>
      <c r="O3" s="301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4" t="s">
        <v>209</v>
      </c>
      <c r="E4" s="224" t="s">
        <v>210</v>
      </c>
      <c r="F4" s="224" t="s">
        <v>211</v>
      </c>
      <c r="G4" s="224" t="s">
        <v>212</v>
      </c>
      <c r="H4" s="224" t="s">
        <v>213</v>
      </c>
      <c r="I4" s="224" t="s">
        <v>214</v>
      </c>
      <c r="J4" s="224" t="s">
        <v>215</v>
      </c>
      <c r="K4" s="224" t="s">
        <v>216</v>
      </c>
      <c r="L4" s="224" t="s">
        <v>217</v>
      </c>
      <c r="M4" s="224" t="s">
        <v>218</v>
      </c>
      <c r="N4" s="224" t="s">
        <v>219</v>
      </c>
      <c r="O4" s="224" t="s">
        <v>220</v>
      </c>
      <c r="P4" s="302" t="s">
        <v>3</v>
      </c>
      <c r="Q4" s="303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1054.0123599999999</v>
      </c>
      <c r="Q20" s="84">
        <v>0.38295293016095977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1054.50215</v>
      </c>
      <c r="Q25" s="85">
        <v>0.38313088492010849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153.01039000000003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1207.5125400000002</v>
      </c>
      <c r="Q27" s="85">
        <v>0.43872394949818544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35BD361E-E61D-4CEA-AB3A-01274F099C47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299" t="s">
        <v>58</v>
      </c>
      <c r="B1" s="299"/>
      <c r="C1" s="299"/>
      <c r="D1" s="299"/>
      <c r="E1" s="299"/>
      <c r="F1" s="299"/>
      <c r="G1" s="299"/>
      <c r="H1" s="304"/>
      <c r="I1" s="304"/>
      <c r="J1" s="304"/>
      <c r="K1" s="304"/>
    </row>
    <row r="2" spans="1:13" s="55" customFormat="1" ht="14.45" customHeight="1" thickBot="1" x14ac:dyDescent="0.25">
      <c r="A2" s="392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0" t="s">
        <v>59</v>
      </c>
      <c r="C3" s="301"/>
      <c r="D3" s="301"/>
      <c r="E3" s="301"/>
      <c r="F3" s="307" t="s">
        <v>60</v>
      </c>
      <c r="G3" s="301"/>
      <c r="H3" s="301"/>
      <c r="I3" s="301"/>
      <c r="J3" s="301"/>
      <c r="K3" s="308"/>
    </row>
    <row r="4" spans="1:13" ht="14.45" customHeight="1" x14ac:dyDescent="0.2">
      <c r="A4" s="68"/>
      <c r="B4" s="305"/>
      <c r="C4" s="306"/>
      <c r="D4" s="306"/>
      <c r="E4" s="306"/>
      <c r="F4" s="309" t="s">
        <v>225</v>
      </c>
      <c r="G4" s="311" t="s">
        <v>61</v>
      </c>
      <c r="H4" s="126" t="s">
        <v>125</v>
      </c>
      <c r="I4" s="309" t="s">
        <v>62</v>
      </c>
      <c r="J4" s="311" t="s">
        <v>227</v>
      </c>
      <c r="K4" s="312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0"/>
      <c r="G5" s="310"/>
      <c r="H5" s="25" t="s">
        <v>226</v>
      </c>
      <c r="I5" s="310"/>
      <c r="J5" s="310"/>
      <c r="K5" s="313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-1146.6278831249999</v>
      </c>
      <c r="H6" s="395">
        <v>-233.31141</v>
      </c>
      <c r="I6" s="395">
        <v>-1143.10546</v>
      </c>
      <c r="J6" s="395">
        <v>3.522423124999932</v>
      </c>
      <c r="K6" s="397">
        <v>0.41538667311018407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1146.8036462916666</v>
      </c>
      <c r="H7" s="395">
        <v>227.40651</v>
      </c>
      <c r="I7" s="395">
        <v>1054.5021499999998</v>
      </c>
      <c r="J7" s="395">
        <v>-92.301496291666808</v>
      </c>
      <c r="K7" s="397">
        <v>0.38313088492010844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1146.8036462916666</v>
      </c>
      <c r="H19" s="395">
        <v>227.40651</v>
      </c>
      <c r="I19" s="395">
        <v>1054.0123600000002</v>
      </c>
      <c r="J19" s="395">
        <v>-92.791286291666438</v>
      </c>
      <c r="K19" s="397">
        <v>0.38295293016095988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844.1451029166667</v>
      </c>
      <c r="H20" s="395">
        <v>167.458</v>
      </c>
      <c r="I20" s="395">
        <v>776.15499999999997</v>
      </c>
      <c r="J20" s="395">
        <v>-67.990102916666729</v>
      </c>
      <c r="K20" s="397">
        <v>0.38310702218051279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844.1451029166667</v>
      </c>
      <c r="H21" s="395">
        <v>167.458</v>
      </c>
      <c r="I21" s="395">
        <v>776.15499999999997</v>
      </c>
      <c r="J21" s="395">
        <v>-67.990102916666729</v>
      </c>
      <c r="K21" s="397">
        <v>0.38310702218051279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844.1451029166667</v>
      </c>
      <c r="H22" s="395">
        <v>167.458</v>
      </c>
      <c r="I22" s="395">
        <v>776.15499999999997</v>
      </c>
      <c r="J22" s="395">
        <v>-67.990102916666729</v>
      </c>
      <c r="K22" s="397">
        <v>0.38310702218051279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547.22</v>
      </c>
      <c r="C25" s="395">
        <v>574.84872999999993</v>
      </c>
      <c r="D25" s="395">
        <v>27.628729999999905</v>
      </c>
      <c r="E25" s="396">
        <v>1.0504892547786995</v>
      </c>
      <c r="F25" s="394">
        <v>677.53168600000004</v>
      </c>
      <c r="G25" s="395">
        <v>282.30486916666666</v>
      </c>
      <c r="H25" s="395">
        <v>56.600589999999997</v>
      </c>
      <c r="I25" s="395">
        <v>262.33744999999999</v>
      </c>
      <c r="J25" s="395">
        <v>-19.967419166666673</v>
      </c>
      <c r="K25" s="397">
        <v>0.38719583957583348</v>
      </c>
      <c r="L25" s="135"/>
      <c r="M25" s="393" t="str">
        <f t="shared" si="0"/>
        <v/>
      </c>
    </row>
    <row r="26" spans="1:13" ht="14.45" customHeight="1" x14ac:dyDescent="0.2">
      <c r="A26" s="398" t="s">
        <v>254</v>
      </c>
      <c r="B26" s="394">
        <v>144.87</v>
      </c>
      <c r="C26" s="395">
        <v>152.70050000000001</v>
      </c>
      <c r="D26" s="395">
        <v>7.8305000000000007</v>
      </c>
      <c r="E26" s="396">
        <v>1.0540519086077174</v>
      </c>
      <c r="F26" s="394">
        <v>180.40784489999999</v>
      </c>
      <c r="G26" s="395">
        <v>75.169935374999994</v>
      </c>
      <c r="H26" s="395">
        <v>15.071</v>
      </c>
      <c r="I26" s="395">
        <v>69.850999999999999</v>
      </c>
      <c r="J26" s="395">
        <v>-5.3189353749999952</v>
      </c>
      <c r="K26" s="397">
        <v>0.38718382805757912</v>
      </c>
      <c r="L26" s="135"/>
      <c r="M26" s="393" t="str">
        <f t="shared" si="0"/>
        <v>X</v>
      </c>
    </row>
    <row r="27" spans="1:13" ht="14.45" customHeight="1" x14ac:dyDescent="0.2">
      <c r="A27" s="398" t="s">
        <v>255</v>
      </c>
      <c r="B27" s="394">
        <v>144.87</v>
      </c>
      <c r="C27" s="395">
        <v>152.70050000000001</v>
      </c>
      <c r="D27" s="395">
        <v>7.8305000000000007</v>
      </c>
      <c r="E27" s="396">
        <v>1.0540519086077174</v>
      </c>
      <c r="F27" s="394">
        <v>180.40784489999999</v>
      </c>
      <c r="G27" s="395">
        <v>75.169935374999994</v>
      </c>
      <c r="H27" s="395">
        <v>15.071</v>
      </c>
      <c r="I27" s="395">
        <v>69.850999999999999</v>
      </c>
      <c r="J27" s="395">
        <v>-5.3189353749999952</v>
      </c>
      <c r="K27" s="397">
        <v>0.38718382805757912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402.35</v>
      </c>
      <c r="C28" s="395">
        <v>422.14822999999996</v>
      </c>
      <c r="D28" s="395">
        <v>19.798229999999933</v>
      </c>
      <c r="E28" s="396">
        <v>1.0492064868895239</v>
      </c>
      <c r="F28" s="394">
        <v>497.12384109999999</v>
      </c>
      <c r="G28" s="395">
        <v>207.13493379166667</v>
      </c>
      <c r="H28" s="395">
        <v>41.529589999999999</v>
      </c>
      <c r="I28" s="395">
        <v>192.48645000000002</v>
      </c>
      <c r="J28" s="395">
        <v>-14.648483791666649</v>
      </c>
      <c r="K28" s="397">
        <v>0.38720019859453897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402.35</v>
      </c>
      <c r="C29" s="395">
        <v>422.14822999999996</v>
      </c>
      <c r="D29" s="395">
        <v>19.798229999999933</v>
      </c>
      <c r="E29" s="396">
        <v>1.0492064868895239</v>
      </c>
      <c r="F29" s="394">
        <v>497.12384109999999</v>
      </c>
      <c r="G29" s="395">
        <v>207.13493379166667</v>
      </c>
      <c r="H29" s="395">
        <v>41.529589999999999</v>
      </c>
      <c r="I29" s="395">
        <v>192.48645000000002</v>
      </c>
      <c r="J29" s="395">
        <v>-14.648483791666649</v>
      </c>
      <c r="K29" s="397">
        <v>0.38720019859453897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6.7595219999999996</v>
      </c>
      <c r="C30" s="395">
        <v>0</v>
      </c>
      <c r="D30" s="395">
        <v>-6.7595219999999996</v>
      </c>
      <c r="E30" s="396">
        <v>0</v>
      </c>
      <c r="F30" s="394">
        <v>8.3298529000000006</v>
      </c>
      <c r="G30" s="395">
        <v>3.4707720416666672</v>
      </c>
      <c r="H30" s="395">
        <v>0</v>
      </c>
      <c r="I30" s="395">
        <v>0</v>
      </c>
      <c r="J30" s="395">
        <v>-3.4707720416666672</v>
      </c>
      <c r="K30" s="397">
        <v>0</v>
      </c>
      <c r="L30" s="135"/>
      <c r="M30" s="393" t="str">
        <f t="shared" si="0"/>
        <v/>
      </c>
    </row>
    <row r="31" spans="1:13" ht="14.45" customHeight="1" x14ac:dyDescent="0.2">
      <c r="A31" s="398" t="s">
        <v>259</v>
      </c>
      <c r="B31" s="394">
        <v>6.7595219999999996</v>
      </c>
      <c r="C31" s="395">
        <v>0</v>
      </c>
      <c r="D31" s="395">
        <v>-6.7595219999999996</v>
      </c>
      <c r="E31" s="396">
        <v>0</v>
      </c>
      <c r="F31" s="394">
        <v>8.3298529000000006</v>
      </c>
      <c r="G31" s="395">
        <v>3.4707720416666672</v>
      </c>
      <c r="H31" s="395">
        <v>0</v>
      </c>
      <c r="I31" s="395">
        <v>0</v>
      </c>
      <c r="J31" s="395">
        <v>-3.4707720416666672</v>
      </c>
      <c r="K31" s="397">
        <v>0</v>
      </c>
      <c r="L31" s="135"/>
      <c r="M31" s="393" t="str">
        <f t="shared" si="0"/>
        <v>X</v>
      </c>
    </row>
    <row r="32" spans="1:13" ht="14.45" customHeight="1" x14ac:dyDescent="0.2">
      <c r="A32" s="398" t="s">
        <v>260</v>
      </c>
      <c r="B32" s="394">
        <v>6.7595219999999996</v>
      </c>
      <c r="C32" s="395">
        <v>0</v>
      </c>
      <c r="D32" s="395">
        <v>-6.7595219999999996</v>
      </c>
      <c r="E32" s="396">
        <v>0</v>
      </c>
      <c r="F32" s="394">
        <v>8.3298529000000006</v>
      </c>
      <c r="G32" s="395">
        <v>3.4707720416666672</v>
      </c>
      <c r="H32" s="395">
        <v>0</v>
      </c>
      <c r="I32" s="395">
        <v>0</v>
      </c>
      <c r="J32" s="395">
        <v>-3.4707720416666672</v>
      </c>
      <c r="K32" s="397">
        <v>0</v>
      </c>
      <c r="L32" s="135"/>
      <c r="M32" s="393" t="str">
        <f t="shared" si="0"/>
        <v/>
      </c>
    </row>
    <row r="33" spans="1:13" ht="14.45" customHeight="1" x14ac:dyDescent="0.2">
      <c r="A33" s="398" t="s">
        <v>261</v>
      </c>
      <c r="B33" s="394">
        <v>32.18</v>
      </c>
      <c r="C33" s="395">
        <v>33.783739999999995</v>
      </c>
      <c r="D33" s="395">
        <v>1.6037399999999948</v>
      </c>
      <c r="E33" s="396">
        <v>1.0498365444375386</v>
      </c>
      <c r="F33" s="394">
        <v>40.518965199999997</v>
      </c>
      <c r="G33" s="395">
        <v>16.882902166666664</v>
      </c>
      <c r="H33" s="395">
        <v>3.3479200000000002</v>
      </c>
      <c r="I33" s="395">
        <v>15.519909999999999</v>
      </c>
      <c r="J33" s="395">
        <v>-1.3629921666666647</v>
      </c>
      <c r="K33" s="397">
        <v>0.38302829115685316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32.18</v>
      </c>
      <c r="C34" s="395">
        <v>33.783739999999995</v>
      </c>
      <c r="D34" s="395">
        <v>1.6037399999999948</v>
      </c>
      <c r="E34" s="396">
        <v>1.0498365444375386</v>
      </c>
      <c r="F34" s="394">
        <v>40.518965199999997</v>
      </c>
      <c r="G34" s="395">
        <v>16.882902166666664</v>
      </c>
      <c r="H34" s="395">
        <v>3.3479200000000002</v>
      </c>
      <c r="I34" s="395">
        <v>15.519909999999999</v>
      </c>
      <c r="J34" s="395">
        <v>-1.3629921666666647</v>
      </c>
      <c r="K34" s="397">
        <v>0.38302829115685316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32.18</v>
      </c>
      <c r="C35" s="395">
        <v>33.783739999999995</v>
      </c>
      <c r="D35" s="395">
        <v>1.6037399999999948</v>
      </c>
      <c r="E35" s="396">
        <v>1.0498365444375386</v>
      </c>
      <c r="F35" s="394">
        <v>40.518965199999997</v>
      </c>
      <c r="G35" s="395">
        <v>16.882902166666664</v>
      </c>
      <c r="H35" s="395">
        <v>3.3479200000000002</v>
      </c>
      <c r="I35" s="395">
        <v>15.519909999999999</v>
      </c>
      <c r="J35" s="395">
        <v>-1.3629921666666647</v>
      </c>
      <c r="K35" s="397">
        <v>0.38302829115685316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117.849378</v>
      </c>
      <c r="C36" s="395">
        <v>128.59568999999999</v>
      </c>
      <c r="D36" s="395">
        <v>10.746311999999989</v>
      </c>
      <c r="E36" s="396">
        <v>1.0911868368113067</v>
      </c>
      <c r="F36" s="394">
        <v>0.42183159999999997</v>
      </c>
      <c r="G36" s="395">
        <v>0.17576316666666664</v>
      </c>
      <c r="H36" s="395">
        <v>12.88374</v>
      </c>
      <c r="I36" s="395">
        <v>64.407080000000008</v>
      </c>
      <c r="J36" s="395">
        <v>64.231316833333338</v>
      </c>
      <c r="K36" s="397">
        <v>152.68434133431447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117.849378</v>
      </c>
      <c r="C37" s="395">
        <v>121.09569</v>
      </c>
      <c r="D37" s="395">
        <v>3.2463120000000032</v>
      </c>
      <c r="E37" s="396">
        <v>1.0275462803036601</v>
      </c>
      <c r="F37" s="394">
        <v>0.42183159999999997</v>
      </c>
      <c r="G37" s="395">
        <v>0.17576316666666664</v>
      </c>
      <c r="H37" s="395">
        <v>12.88374</v>
      </c>
      <c r="I37" s="395">
        <v>64.407080000000008</v>
      </c>
      <c r="J37" s="395">
        <v>64.231316833333338</v>
      </c>
      <c r="K37" s="397">
        <v>152.68434133431447</v>
      </c>
      <c r="L37" s="135"/>
      <c r="M37" s="393" t="str">
        <f t="shared" si="0"/>
        <v/>
      </c>
    </row>
    <row r="38" spans="1:13" ht="14.45" customHeight="1" x14ac:dyDescent="0.2">
      <c r="A38" s="398" t="s">
        <v>266</v>
      </c>
      <c r="B38" s="394">
        <v>117.849378</v>
      </c>
      <c r="C38" s="395">
        <v>121.09569</v>
      </c>
      <c r="D38" s="395">
        <v>3.2463120000000032</v>
      </c>
      <c r="E38" s="396">
        <v>1.0275462803036601</v>
      </c>
      <c r="F38" s="394">
        <v>0.42183159999999997</v>
      </c>
      <c r="G38" s="395">
        <v>0.17576316666666664</v>
      </c>
      <c r="H38" s="395">
        <v>12.88374</v>
      </c>
      <c r="I38" s="395">
        <v>64.407080000000008</v>
      </c>
      <c r="J38" s="395">
        <v>64.231316833333338</v>
      </c>
      <c r="K38" s="397">
        <v>152.68434133431447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0</v>
      </c>
      <c r="C39" s="395">
        <v>0.43675999999999998</v>
      </c>
      <c r="D39" s="395">
        <v>0.43675999999999998</v>
      </c>
      <c r="E39" s="396">
        <v>0</v>
      </c>
      <c r="F39" s="394">
        <v>0.42183159999999997</v>
      </c>
      <c r="G39" s="395">
        <v>0.17576316666666664</v>
      </c>
      <c r="H39" s="395">
        <v>0</v>
      </c>
      <c r="I39" s="395">
        <v>0</v>
      </c>
      <c r="J39" s="395">
        <v>-0.17576316666666664</v>
      </c>
      <c r="K39" s="397">
        <v>0</v>
      </c>
      <c r="L39" s="135"/>
      <c r="M39" s="393" t="str">
        <f t="shared" si="0"/>
        <v>X</v>
      </c>
    </row>
    <row r="40" spans="1:13" ht="14.45" customHeight="1" x14ac:dyDescent="0.2">
      <c r="A40" s="398" t="s">
        <v>268</v>
      </c>
      <c r="B40" s="394">
        <v>0</v>
      </c>
      <c r="C40" s="395">
        <v>0.43675999999999998</v>
      </c>
      <c r="D40" s="395">
        <v>0.43675999999999998</v>
      </c>
      <c r="E40" s="396">
        <v>0</v>
      </c>
      <c r="F40" s="394">
        <v>0.42183159999999997</v>
      </c>
      <c r="G40" s="395">
        <v>0.17576316666666664</v>
      </c>
      <c r="H40" s="395">
        <v>0</v>
      </c>
      <c r="I40" s="395">
        <v>0</v>
      </c>
      <c r="J40" s="395">
        <v>-0.17576316666666664</v>
      </c>
      <c r="K40" s="397">
        <v>0</v>
      </c>
      <c r="L40" s="135"/>
      <c r="M40" s="393" t="str">
        <f t="shared" si="0"/>
        <v/>
      </c>
    </row>
    <row r="41" spans="1:13" ht="14.45" customHeight="1" x14ac:dyDescent="0.2">
      <c r="A41" s="398" t="s">
        <v>269</v>
      </c>
      <c r="B41" s="394">
        <v>0.42444799999999999</v>
      </c>
      <c r="C41" s="395">
        <v>0.68064000000000002</v>
      </c>
      <c r="D41" s="395">
        <v>0.25619200000000003</v>
      </c>
      <c r="E41" s="396">
        <v>1.6035886610373946</v>
      </c>
      <c r="F41" s="394">
        <v>0</v>
      </c>
      <c r="G41" s="395">
        <v>0</v>
      </c>
      <c r="H41" s="395">
        <v>0</v>
      </c>
      <c r="I41" s="395">
        <v>0.55413999999999997</v>
      </c>
      <c r="J41" s="395">
        <v>0.55413999999999997</v>
      </c>
      <c r="K41" s="397">
        <v>0</v>
      </c>
      <c r="L41" s="135"/>
      <c r="M41" s="393" t="str">
        <f t="shared" si="0"/>
        <v>X</v>
      </c>
    </row>
    <row r="42" spans="1:13" ht="14.45" customHeight="1" x14ac:dyDescent="0.2">
      <c r="A42" s="398" t="s">
        <v>270</v>
      </c>
      <c r="B42" s="394">
        <v>0.42444799999999999</v>
      </c>
      <c r="C42" s="395">
        <v>0.68064000000000002</v>
      </c>
      <c r="D42" s="395">
        <v>0.25619200000000003</v>
      </c>
      <c r="E42" s="396">
        <v>1.6035886610373946</v>
      </c>
      <c r="F42" s="394">
        <v>0</v>
      </c>
      <c r="G42" s="395">
        <v>0</v>
      </c>
      <c r="H42" s="395">
        <v>0</v>
      </c>
      <c r="I42" s="395">
        <v>0.55413999999999997</v>
      </c>
      <c r="J42" s="395">
        <v>0.55413999999999997</v>
      </c>
      <c r="K42" s="397">
        <v>0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117.42492999999999</v>
      </c>
      <c r="C43" s="395">
        <v>115.03567</v>
      </c>
      <c r="D43" s="395">
        <v>-2.3892599999999931</v>
      </c>
      <c r="E43" s="396">
        <v>0.97965287269066292</v>
      </c>
      <c r="F43" s="394">
        <v>0</v>
      </c>
      <c r="G43" s="395">
        <v>0</v>
      </c>
      <c r="H43" s="395">
        <v>12.88374</v>
      </c>
      <c r="I43" s="395">
        <v>63.844639999999998</v>
      </c>
      <c r="J43" s="395">
        <v>63.844639999999998</v>
      </c>
      <c r="K43" s="397">
        <v>0</v>
      </c>
      <c r="L43" s="135"/>
      <c r="M43" s="393" t="str">
        <f t="shared" si="0"/>
        <v>X</v>
      </c>
    </row>
    <row r="44" spans="1:13" ht="14.45" customHeight="1" x14ac:dyDescent="0.2">
      <c r="A44" s="398" t="s">
        <v>272</v>
      </c>
      <c r="B44" s="394">
        <v>117.42492999999999</v>
      </c>
      <c r="C44" s="395">
        <v>115.03567</v>
      </c>
      <c r="D44" s="395">
        <v>-2.3892599999999931</v>
      </c>
      <c r="E44" s="396">
        <v>0.97965287269066292</v>
      </c>
      <c r="F44" s="394">
        <v>0</v>
      </c>
      <c r="G44" s="395">
        <v>0</v>
      </c>
      <c r="H44" s="395">
        <v>12.88374</v>
      </c>
      <c r="I44" s="395">
        <v>63.844639999999998</v>
      </c>
      <c r="J44" s="395">
        <v>63.844639999999998</v>
      </c>
      <c r="K44" s="397">
        <v>0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4.9426199999999998</v>
      </c>
      <c r="D45" s="395">
        <v>4.9426199999999998</v>
      </c>
      <c r="E45" s="396">
        <v>0</v>
      </c>
      <c r="F45" s="394">
        <v>0</v>
      </c>
      <c r="G45" s="395">
        <v>0</v>
      </c>
      <c r="H45" s="395">
        <v>0</v>
      </c>
      <c r="I45" s="395">
        <v>8.3000000000000001E-3</v>
      </c>
      <c r="J45" s="395">
        <v>8.3000000000000001E-3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4.9426199999999998</v>
      </c>
      <c r="D46" s="395">
        <v>4.9426199999999998</v>
      </c>
      <c r="E46" s="396">
        <v>0</v>
      </c>
      <c r="F46" s="394">
        <v>0</v>
      </c>
      <c r="G46" s="395">
        <v>0</v>
      </c>
      <c r="H46" s="395">
        <v>0</v>
      </c>
      <c r="I46" s="395">
        <v>8.3000000000000001E-3</v>
      </c>
      <c r="J46" s="395">
        <v>8.3000000000000001E-3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</v>
      </c>
      <c r="C47" s="395">
        <v>7.5</v>
      </c>
      <c r="D47" s="395">
        <v>7.5</v>
      </c>
      <c r="E47" s="396">
        <v>0</v>
      </c>
      <c r="F47" s="394">
        <v>0</v>
      </c>
      <c r="G47" s="395">
        <v>0</v>
      </c>
      <c r="H47" s="395">
        <v>0</v>
      </c>
      <c r="I47" s="395">
        <v>0</v>
      </c>
      <c r="J47" s="395">
        <v>0</v>
      </c>
      <c r="K47" s="397">
        <v>0</v>
      </c>
      <c r="L47" s="135"/>
      <c r="M47" s="393" t="str">
        <f t="shared" si="0"/>
        <v/>
      </c>
    </row>
    <row r="48" spans="1:13" ht="14.45" customHeight="1" x14ac:dyDescent="0.2">
      <c r="A48" s="398" t="s">
        <v>276</v>
      </c>
      <c r="B48" s="394">
        <v>0</v>
      </c>
      <c r="C48" s="395">
        <v>7.5</v>
      </c>
      <c r="D48" s="395">
        <v>7.5</v>
      </c>
      <c r="E48" s="396">
        <v>0</v>
      </c>
      <c r="F48" s="394">
        <v>0</v>
      </c>
      <c r="G48" s="395">
        <v>0</v>
      </c>
      <c r="H48" s="395">
        <v>0</v>
      </c>
      <c r="I48" s="395">
        <v>0</v>
      </c>
      <c r="J48" s="395">
        <v>0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0</v>
      </c>
      <c r="C49" s="395">
        <v>7.5</v>
      </c>
      <c r="D49" s="395">
        <v>7.5</v>
      </c>
      <c r="E49" s="396">
        <v>0</v>
      </c>
      <c r="F49" s="394">
        <v>0</v>
      </c>
      <c r="G49" s="395">
        <v>0</v>
      </c>
      <c r="H49" s="395">
        <v>0</v>
      </c>
      <c r="I49" s="395">
        <v>0</v>
      </c>
      <c r="J49" s="395">
        <v>0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0</v>
      </c>
      <c r="C50" s="395">
        <v>7.5</v>
      </c>
      <c r="D50" s="395">
        <v>7.5</v>
      </c>
      <c r="E50" s="396">
        <v>0</v>
      </c>
      <c r="F50" s="394">
        <v>0</v>
      </c>
      <c r="G50" s="395">
        <v>0</v>
      </c>
      <c r="H50" s="395">
        <v>0</v>
      </c>
      <c r="I50" s="395">
        <v>0</v>
      </c>
      <c r="J50" s="395">
        <v>0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350.95597999999995</v>
      </c>
      <c r="D51" s="395">
        <v>350.95597999999995</v>
      </c>
      <c r="E51" s="396">
        <v>0</v>
      </c>
      <c r="F51" s="394">
        <v>0</v>
      </c>
      <c r="G51" s="395">
        <v>0</v>
      </c>
      <c r="H51" s="395">
        <v>18.788640000000001</v>
      </c>
      <c r="I51" s="395">
        <v>153.01039</v>
      </c>
      <c r="J51" s="395">
        <v>153.01039</v>
      </c>
      <c r="K51" s="397">
        <v>0</v>
      </c>
      <c r="L51" s="135"/>
      <c r="M51" s="393" t="str">
        <f t="shared" si="0"/>
        <v/>
      </c>
    </row>
    <row r="52" spans="1:13" ht="14.45" customHeight="1" x14ac:dyDescent="0.2">
      <c r="A52" s="398" t="s">
        <v>280</v>
      </c>
      <c r="B52" s="394">
        <v>0</v>
      </c>
      <c r="C52" s="395">
        <v>350.95597999999995</v>
      </c>
      <c r="D52" s="395">
        <v>350.95597999999995</v>
      </c>
      <c r="E52" s="396">
        <v>0</v>
      </c>
      <c r="F52" s="394">
        <v>0</v>
      </c>
      <c r="G52" s="395">
        <v>0</v>
      </c>
      <c r="H52" s="395">
        <v>18.788640000000001</v>
      </c>
      <c r="I52" s="395">
        <v>153.01039</v>
      </c>
      <c r="J52" s="395">
        <v>153.01039</v>
      </c>
      <c r="K52" s="397">
        <v>0</v>
      </c>
      <c r="L52" s="135"/>
      <c r="M52" s="393" t="str">
        <f t="shared" si="0"/>
        <v/>
      </c>
    </row>
    <row r="53" spans="1:13" ht="14.45" customHeight="1" x14ac:dyDescent="0.2">
      <c r="A53" s="398" t="s">
        <v>281</v>
      </c>
      <c r="B53" s="394">
        <v>0</v>
      </c>
      <c r="C53" s="395">
        <v>350.95597999999995</v>
      </c>
      <c r="D53" s="395">
        <v>350.95597999999995</v>
      </c>
      <c r="E53" s="396">
        <v>0</v>
      </c>
      <c r="F53" s="394">
        <v>0</v>
      </c>
      <c r="G53" s="395">
        <v>0</v>
      </c>
      <c r="H53" s="395">
        <v>18.788640000000001</v>
      </c>
      <c r="I53" s="395">
        <v>153.01039</v>
      </c>
      <c r="J53" s="395">
        <v>153.01039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118.84518</v>
      </c>
      <c r="D54" s="395">
        <v>118.84518</v>
      </c>
      <c r="E54" s="396">
        <v>0</v>
      </c>
      <c r="F54" s="394">
        <v>0</v>
      </c>
      <c r="G54" s="395">
        <v>0</v>
      </c>
      <c r="H54" s="395">
        <v>0</v>
      </c>
      <c r="I54" s="395">
        <v>46.800089999999997</v>
      </c>
      <c r="J54" s="395">
        <v>46.800089999999997</v>
      </c>
      <c r="K54" s="397">
        <v>0</v>
      </c>
      <c r="L54" s="135"/>
      <c r="M54" s="393" t="str">
        <f t="shared" si="0"/>
        <v>X</v>
      </c>
    </row>
    <row r="55" spans="1:13" ht="14.45" customHeight="1" x14ac:dyDescent="0.2">
      <c r="A55" s="398" t="s">
        <v>283</v>
      </c>
      <c r="B55" s="394">
        <v>0</v>
      </c>
      <c r="C55" s="395">
        <v>118.84518</v>
      </c>
      <c r="D55" s="395">
        <v>118.84518</v>
      </c>
      <c r="E55" s="396">
        <v>0</v>
      </c>
      <c r="F55" s="394">
        <v>0</v>
      </c>
      <c r="G55" s="395">
        <v>0</v>
      </c>
      <c r="H55" s="395">
        <v>0</v>
      </c>
      <c r="I55" s="395">
        <v>46.800089999999997</v>
      </c>
      <c r="J55" s="395">
        <v>46.800089999999997</v>
      </c>
      <c r="K55" s="397">
        <v>0</v>
      </c>
      <c r="L55" s="135"/>
      <c r="M55" s="393" t="str">
        <f t="shared" si="0"/>
        <v/>
      </c>
    </row>
    <row r="56" spans="1:13" ht="14.45" customHeight="1" x14ac:dyDescent="0.2">
      <c r="A56" s="398" t="s">
        <v>284</v>
      </c>
      <c r="B56" s="394">
        <v>0</v>
      </c>
      <c r="C56" s="395">
        <v>232.11079999999998</v>
      </c>
      <c r="D56" s="395">
        <v>232.11079999999998</v>
      </c>
      <c r="E56" s="396">
        <v>0</v>
      </c>
      <c r="F56" s="394">
        <v>0</v>
      </c>
      <c r="G56" s="395">
        <v>0</v>
      </c>
      <c r="H56" s="395">
        <v>18.788640000000001</v>
      </c>
      <c r="I56" s="395">
        <v>106.2103</v>
      </c>
      <c r="J56" s="395">
        <v>106.2103</v>
      </c>
      <c r="K56" s="397">
        <v>0</v>
      </c>
      <c r="L56" s="135"/>
      <c r="M56" s="393" t="str">
        <f t="shared" si="0"/>
        <v>X</v>
      </c>
    </row>
    <row r="57" spans="1:13" ht="14.45" customHeight="1" x14ac:dyDescent="0.2">
      <c r="A57" s="398" t="s">
        <v>285</v>
      </c>
      <c r="B57" s="394">
        <v>0</v>
      </c>
      <c r="C57" s="395">
        <v>232.11079999999998</v>
      </c>
      <c r="D57" s="395">
        <v>232.11079999999998</v>
      </c>
      <c r="E57" s="396">
        <v>0</v>
      </c>
      <c r="F57" s="394">
        <v>0</v>
      </c>
      <c r="G57" s="395">
        <v>0</v>
      </c>
      <c r="H57" s="395">
        <v>18.788640000000001</v>
      </c>
      <c r="I57" s="395">
        <v>106.2103</v>
      </c>
      <c r="J57" s="395">
        <v>106.2103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/>
      <c r="B58" s="394"/>
      <c r="C58" s="395"/>
      <c r="D58" s="395"/>
      <c r="E58" s="396"/>
      <c r="F58" s="394"/>
      <c r="G58" s="395"/>
      <c r="H58" s="395"/>
      <c r="I58" s="395"/>
      <c r="J58" s="395"/>
      <c r="K58" s="397"/>
      <c r="L58" s="135"/>
      <c r="M58" s="393" t="str">
        <f t="shared" si="0"/>
        <v/>
      </c>
    </row>
    <row r="59" spans="1:13" ht="14.45" customHeight="1" x14ac:dyDescent="0.2">
      <c r="A59" s="398"/>
      <c r="B59" s="394"/>
      <c r="C59" s="395"/>
      <c r="D59" s="395"/>
      <c r="E59" s="396"/>
      <c r="F59" s="394"/>
      <c r="G59" s="395"/>
      <c r="H59" s="395"/>
      <c r="I59" s="395"/>
      <c r="J59" s="395"/>
      <c r="K59" s="397"/>
      <c r="L59" s="135"/>
      <c r="M59" s="393" t="str">
        <f t="shared" si="0"/>
        <v/>
      </c>
    </row>
    <row r="60" spans="1:13" ht="14.45" customHeight="1" x14ac:dyDescent="0.2">
      <c r="A60" s="398"/>
      <c r="B60" s="394"/>
      <c r="C60" s="395"/>
      <c r="D60" s="395"/>
      <c r="E60" s="396"/>
      <c r="F60" s="394"/>
      <c r="G60" s="395"/>
      <c r="H60" s="395"/>
      <c r="I60" s="395"/>
      <c r="J60" s="395"/>
      <c r="K60" s="397"/>
      <c r="L60" s="135"/>
      <c r="M60" s="393" t="str">
        <f t="shared" si="0"/>
        <v/>
      </c>
    </row>
    <row r="61" spans="1:13" ht="14.45" customHeight="1" x14ac:dyDescent="0.2">
      <c r="A61" s="398"/>
      <c r="B61" s="394"/>
      <c r="C61" s="395"/>
      <c r="D61" s="395"/>
      <c r="E61" s="396"/>
      <c r="F61" s="394"/>
      <c r="G61" s="395"/>
      <c r="H61" s="395"/>
      <c r="I61" s="395"/>
      <c r="J61" s="395"/>
      <c r="K61" s="397"/>
      <c r="L61" s="135"/>
      <c r="M61" s="393" t="str">
        <f t="shared" si="0"/>
        <v/>
      </c>
    </row>
    <row r="62" spans="1:13" ht="14.45" customHeight="1" x14ac:dyDescent="0.2">
      <c r="A62" s="398"/>
      <c r="B62" s="394"/>
      <c r="C62" s="395"/>
      <c r="D62" s="395"/>
      <c r="E62" s="396"/>
      <c r="F62" s="394"/>
      <c r="G62" s="395"/>
      <c r="H62" s="395"/>
      <c r="I62" s="395"/>
      <c r="J62" s="395"/>
      <c r="K62" s="397"/>
      <c r="L62" s="135"/>
      <c r="M62" s="393" t="str">
        <f t="shared" si="0"/>
        <v/>
      </c>
    </row>
    <row r="63" spans="1:13" ht="14.45" customHeight="1" x14ac:dyDescent="0.2">
      <c r="A63" s="398"/>
      <c r="B63" s="394"/>
      <c r="C63" s="395"/>
      <c r="D63" s="395"/>
      <c r="E63" s="396"/>
      <c r="F63" s="394"/>
      <c r="G63" s="395"/>
      <c r="H63" s="395"/>
      <c r="I63" s="395"/>
      <c r="J63" s="395"/>
      <c r="K63" s="397"/>
      <c r="L63" s="135"/>
      <c r="M63" s="393" t="str">
        <f t="shared" si="0"/>
        <v/>
      </c>
    </row>
    <row r="64" spans="1:13" ht="14.45" customHeight="1" x14ac:dyDescent="0.2">
      <c r="A64" s="398"/>
      <c r="B64" s="394"/>
      <c r="C64" s="395"/>
      <c r="D64" s="395"/>
      <c r="E64" s="396"/>
      <c r="F64" s="394"/>
      <c r="G64" s="395"/>
      <c r="H64" s="395"/>
      <c r="I64" s="395"/>
      <c r="J64" s="395"/>
      <c r="K64" s="397"/>
      <c r="L64" s="135"/>
      <c r="M64" s="393" t="str">
        <f t="shared" si="0"/>
        <v/>
      </c>
    </row>
    <row r="65" spans="1:13" ht="14.45" customHeight="1" x14ac:dyDescent="0.2">
      <c r="A65" s="398"/>
      <c r="B65" s="394"/>
      <c r="C65" s="395"/>
      <c r="D65" s="395"/>
      <c r="E65" s="396"/>
      <c r="F65" s="394"/>
      <c r="G65" s="395"/>
      <c r="H65" s="395"/>
      <c r="I65" s="395"/>
      <c r="J65" s="395"/>
      <c r="K65" s="397"/>
      <c r="L65" s="135"/>
      <c r="M65" s="393" t="str">
        <f t="shared" si="0"/>
        <v/>
      </c>
    </row>
    <row r="66" spans="1:13" ht="14.45" customHeight="1" x14ac:dyDescent="0.2">
      <c r="A66" s="398"/>
      <c r="B66" s="394"/>
      <c r="C66" s="395"/>
      <c r="D66" s="395"/>
      <c r="E66" s="396"/>
      <c r="F66" s="394"/>
      <c r="G66" s="395"/>
      <c r="H66" s="395"/>
      <c r="I66" s="395"/>
      <c r="J66" s="395"/>
      <c r="K66" s="397"/>
      <c r="L66" s="135"/>
      <c r="M66" s="393" t="str">
        <f t="shared" si="0"/>
        <v/>
      </c>
    </row>
    <row r="67" spans="1:13" ht="14.45" customHeight="1" x14ac:dyDescent="0.2">
      <c r="A67" s="398"/>
      <c r="B67" s="394"/>
      <c r="C67" s="395"/>
      <c r="D67" s="395"/>
      <c r="E67" s="396"/>
      <c r="F67" s="394"/>
      <c r="G67" s="395"/>
      <c r="H67" s="395"/>
      <c r="I67" s="395"/>
      <c r="J67" s="395"/>
      <c r="K67" s="397"/>
      <c r="L67" s="135"/>
      <c r="M67" s="393" t="str">
        <f t="shared" si="0"/>
        <v/>
      </c>
    </row>
    <row r="68" spans="1:13" ht="14.45" customHeight="1" x14ac:dyDescent="0.2">
      <c r="A68" s="398"/>
      <c r="B68" s="394"/>
      <c r="C68" s="395"/>
      <c r="D68" s="395"/>
      <c r="E68" s="396"/>
      <c r="F68" s="394"/>
      <c r="G68" s="395"/>
      <c r="H68" s="395"/>
      <c r="I68" s="395"/>
      <c r="J68" s="395"/>
      <c r="K68" s="397"/>
      <c r="L68" s="135"/>
      <c r="M68" s="393" t="str">
        <f t="shared" si="0"/>
        <v/>
      </c>
    </row>
    <row r="69" spans="1:13" ht="14.45" customHeight="1" x14ac:dyDescent="0.2">
      <c r="A69" s="398"/>
      <c r="B69" s="394"/>
      <c r="C69" s="395"/>
      <c r="D69" s="395"/>
      <c r="E69" s="396"/>
      <c r="F69" s="394"/>
      <c r="G69" s="395"/>
      <c r="H69" s="395"/>
      <c r="I69" s="395"/>
      <c r="J69" s="395"/>
      <c r="K69" s="397"/>
      <c r="L69" s="135"/>
      <c r="M69" s="393" t="str">
        <f t="shared" si="0"/>
        <v/>
      </c>
    </row>
    <row r="70" spans="1:13" ht="14.45" customHeight="1" x14ac:dyDescent="0.2">
      <c r="A70" s="398"/>
      <c r="B70" s="394"/>
      <c r="C70" s="395"/>
      <c r="D70" s="395"/>
      <c r="E70" s="396"/>
      <c r="F70" s="394"/>
      <c r="G70" s="395"/>
      <c r="H70" s="395"/>
      <c r="I70" s="395"/>
      <c r="J70" s="395"/>
      <c r="K70" s="397"/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/>
      <c r="B71" s="394"/>
      <c r="C71" s="395"/>
      <c r="D71" s="395"/>
      <c r="E71" s="396"/>
      <c r="F71" s="394"/>
      <c r="G71" s="395"/>
      <c r="H71" s="395"/>
      <c r="I71" s="395"/>
      <c r="J71" s="395"/>
      <c r="K71" s="397"/>
      <c r="L71" s="135"/>
      <c r="M71" s="393" t="str">
        <f t="shared" si="1"/>
        <v/>
      </c>
    </row>
    <row r="72" spans="1:13" ht="14.45" customHeight="1" x14ac:dyDescent="0.2">
      <c r="A72" s="398"/>
      <c r="B72" s="394"/>
      <c r="C72" s="395"/>
      <c r="D72" s="395"/>
      <c r="E72" s="396"/>
      <c r="F72" s="394"/>
      <c r="G72" s="395"/>
      <c r="H72" s="395"/>
      <c r="I72" s="395"/>
      <c r="J72" s="395"/>
      <c r="K72" s="397"/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D9BE0A8D-5732-4133-85C3-43847572535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6" t="s">
        <v>123</v>
      </c>
      <c r="B1" s="316"/>
      <c r="C1" s="316"/>
      <c r="D1" s="316"/>
      <c r="E1" s="316"/>
      <c r="F1" s="316"/>
      <c r="G1" s="316"/>
      <c r="H1" s="316"/>
      <c r="I1" s="288"/>
      <c r="J1" s="288"/>
      <c r="K1" s="288"/>
      <c r="L1" s="288"/>
    </row>
    <row r="2" spans="1:14" ht="14.45" customHeight="1" thickBot="1" x14ac:dyDescent="0.25">
      <c r="A2" s="392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8" t="s">
        <v>12</v>
      </c>
      <c r="D3" s="317"/>
      <c r="E3" s="317" t="s">
        <v>13</v>
      </c>
      <c r="F3" s="317"/>
      <c r="G3" s="317"/>
      <c r="H3" s="317"/>
      <c r="I3" s="317" t="s">
        <v>126</v>
      </c>
      <c r="J3" s="317"/>
      <c r="K3" s="317"/>
      <c r="L3" s="319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286</v>
      </c>
      <c r="C5" s="401">
        <v>605.42000000000007</v>
      </c>
      <c r="D5" s="401">
        <v>3</v>
      </c>
      <c r="E5" s="401">
        <v>176.32</v>
      </c>
      <c r="F5" s="402">
        <v>0.29123583627894678</v>
      </c>
      <c r="G5" s="401">
        <v>1</v>
      </c>
      <c r="H5" s="402">
        <v>0.33333333333333331</v>
      </c>
      <c r="I5" s="401">
        <v>429.1</v>
      </c>
      <c r="J5" s="402">
        <v>0.70876416372105311</v>
      </c>
      <c r="K5" s="401">
        <v>2</v>
      </c>
      <c r="L5" s="402">
        <v>0.66666666666666663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287</v>
      </c>
      <c r="C6" s="401">
        <v>605.42000000000007</v>
      </c>
      <c r="D6" s="401">
        <v>3</v>
      </c>
      <c r="E6" s="401">
        <v>176.32</v>
      </c>
      <c r="F6" s="402">
        <v>0.29123583627894678</v>
      </c>
      <c r="G6" s="401">
        <v>1</v>
      </c>
      <c r="H6" s="402">
        <v>0.33333333333333331</v>
      </c>
      <c r="I6" s="401">
        <v>429.1</v>
      </c>
      <c r="J6" s="402">
        <v>0.70876416372105311</v>
      </c>
      <c r="K6" s="401">
        <v>2</v>
      </c>
      <c r="L6" s="402">
        <v>0.66666666666666663</v>
      </c>
      <c r="M6" s="401" t="s">
        <v>1</v>
      </c>
      <c r="N6" s="135"/>
    </row>
    <row r="7" spans="1:14" ht="14.45" customHeight="1" x14ac:dyDescent="0.2">
      <c r="A7" s="399" t="s">
        <v>288</v>
      </c>
      <c r="B7" s="400" t="s">
        <v>3</v>
      </c>
      <c r="C7" s="401">
        <v>605.42000000000007</v>
      </c>
      <c r="D7" s="401">
        <v>3</v>
      </c>
      <c r="E7" s="401">
        <v>176.32</v>
      </c>
      <c r="F7" s="402">
        <v>0.29123583627894678</v>
      </c>
      <c r="G7" s="401">
        <v>1</v>
      </c>
      <c r="H7" s="402">
        <v>0.33333333333333331</v>
      </c>
      <c r="I7" s="401">
        <v>429.1</v>
      </c>
      <c r="J7" s="402">
        <v>0.70876416372105311</v>
      </c>
      <c r="K7" s="401">
        <v>2</v>
      </c>
      <c r="L7" s="402">
        <v>0.66666666666666663</v>
      </c>
      <c r="M7" s="401" t="s">
        <v>289</v>
      </c>
      <c r="N7" s="135"/>
    </row>
    <row r="9" spans="1:14" ht="14.45" customHeight="1" x14ac:dyDescent="0.2">
      <c r="A9" s="399">
        <v>43</v>
      </c>
      <c r="B9" s="400" t="s">
        <v>286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290</v>
      </c>
      <c r="B10" s="400" t="s">
        <v>287</v>
      </c>
      <c r="C10" s="401">
        <v>605.42000000000007</v>
      </c>
      <c r="D10" s="401">
        <v>3</v>
      </c>
      <c r="E10" s="401">
        <v>176.32</v>
      </c>
      <c r="F10" s="402">
        <v>0.29123583627894678</v>
      </c>
      <c r="G10" s="401">
        <v>1</v>
      </c>
      <c r="H10" s="402">
        <v>0.33333333333333331</v>
      </c>
      <c r="I10" s="401">
        <v>429.1</v>
      </c>
      <c r="J10" s="402">
        <v>0.70876416372105311</v>
      </c>
      <c r="K10" s="401">
        <v>2</v>
      </c>
      <c r="L10" s="402">
        <v>0.66666666666666663</v>
      </c>
      <c r="M10" s="401" t="s">
        <v>1</v>
      </c>
      <c r="N10" s="135"/>
    </row>
    <row r="11" spans="1:14" ht="14.45" customHeight="1" x14ac:dyDescent="0.2">
      <c r="A11" s="399" t="s">
        <v>290</v>
      </c>
      <c r="B11" s="400" t="s">
        <v>291</v>
      </c>
      <c r="C11" s="401">
        <v>605.42000000000007</v>
      </c>
      <c r="D11" s="401">
        <v>3</v>
      </c>
      <c r="E11" s="401">
        <v>176.32</v>
      </c>
      <c r="F11" s="402">
        <v>0.29123583627894678</v>
      </c>
      <c r="G11" s="401">
        <v>1</v>
      </c>
      <c r="H11" s="402">
        <v>0.33333333333333331</v>
      </c>
      <c r="I11" s="401">
        <v>429.1</v>
      </c>
      <c r="J11" s="402">
        <v>0.70876416372105311</v>
      </c>
      <c r="K11" s="401">
        <v>2</v>
      </c>
      <c r="L11" s="402">
        <v>0.66666666666666663</v>
      </c>
      <c r="M11" s="401" t="s">
        <v>292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293</v>
      </c>
      <c r="N12" s="135"/>
    </row>
    <row r="13" spans="1:14" ht="14.45" customHeight="1" x14ac:dyDescent="0.2">
      <c r="A13" s="399" t="s">
        <v>288</v>
      </c>
      <c r="B13" s="400" t="s">
        <v>294</v>
      </c>
      <c r="C13" s="401">
        <v>605.42000000000007</v>
      </c>
      <c r="D13" s="401">
        <v>3</v>
      </c>
      <c r="E13" s="401">
        <v>176.32</v>
      </c>
      <c r="F13" s="402">
        <v>0.29123583627894678</v>
      </c>
      <c r="G13" s="401">
        <v>1</v>
      </c>
      <c r="H13" s="402">
        <v>0.33333333333333331</v>
      </c>
      <c r="I13" s="401">
        <v>429.1</v>
      </c>
      <c r="J13" s="402">
        <v>0.70876416372105311</v>
      </c>
      <c r="K13" s="401">
        <v>2</v>
      </c>
      <c r="L13" s="402">
        <v>0.66666666666666663</v>
      </c>
      <c r="M13" s="401" t="s">
        <v>289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295</v>
      </c>
    </row>
    <row r="16" spans="1:14" ht="14.45" customHeight="1" x14ac:dyDescent="0.2">
      <c r="A16" s="403" t="s">
        <v>296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B0BBA889-4D39-4D10-B2AB-DE329B8E4B06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6" t="s">
        <v>127</v>
      </c>
      <c r="B1" s="316"/>
      <c r="C1" s="316"/>
      <c r="D1" s="316"/>
      <c r="E1" s="316"/>
      <c r="F1" s="316"/>
      <c r="G1" s="316"/>
      <c r="H1" s="316"/>
      <c r="I1" s="316"/>
      <c r="J1" s="288"/>
      <c r="K1" s="288"/>
      <c r="L1" s="288"/>
      <c r="M1" s="288"/>
    </row>
    <row r="2" spans="1:13" ht="14.45" customHeight="1" thickBot="1" x14ac:dyDescent="0.25">
      <c r="A2" s="392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8" t="s">
        <v>12</v>
      </c>
      <c r="C3" s="320"/>
      <c r="D3" s="317"/>
      <c r="E3" s="127"/>
      <c r="F3" s="317" t="s">
        <v>13</v>
      </c>
      <c r="G3" s="317"/>
      <c r="H3" s="317"/>
      <c r="I3" s="317"/>
      <c r="J3" s="317" t="s">
        <v>126</v>
      </c>
      <c r="K3" s="317"/>
      <c r="L3" s="317"/>
      <c r="M3" s="319"/>
    </row>
    <row r="4" spans="1:13" ht="14.45" customHeight="1" thickBot="1" x14ac:dyDescent="0.25">
      <c r="A4" s="405" t="s">
        <v>121</v>
      </c>
      <c r="B4" s="408" t="s">
        <v>16</v>
      </c>
      <c r="C4" s="409"/>
      <c r="D4" s="408" t="s">
        <v>17</v>
      </c>
      <c r="E4" s="409"/>
      <c r="F4" s="408" t="s">
        <v>16</v>
      </c>
      <c r="G4" s="418" t="s">
        <v>2</v>
      </c>
      <c r="H4" s="408" t="s">
        <v>17</v>
      </c>
      <c r="I4" s="418" t="s">
        <v>2</v>
      </c>
      <c r="J4" s="408" t="s">
        <v>16</v>
      </c>
      <c r="K4" s="418" t="s">
        <v>2</v>
      </c>
      <c r="L4" s="408" t="s">
        <v>17</v>
      </c>
      <c r="M4" s="419" t="s">
        <v>2</v>
      </c>
    </row>
    <row r="5" spans="1:13" ht="14.45" customHeight="1" x14ac:dyDescent="0.2">
      <c r="A5" s="406" t="s">
        <v>297</v>
      </c>
      <c r="B5" s="410">
        <v>243.84</v>
      </c>
      <c r="C5" s="411">
        <v>1</v>
      </c>
      <c r="D5" s="416">
        <v>1</v>
      </c>
      <c r="E5" s="424" t="s">
        <v>297</v>
      </c>
      <c r="F5" s="410"/>
      <c r="G5" s="420">
        <v>0</v>
      </c>
      <c r="H5" s="412"/>
      <c r="I5" s="421">
        <v>0</v>
      </c>
      <c r="J5" s="426">
        <v>243.84</v>
      </c>
      <c r="K5" s="420">
        <v>1</v>
      </c>
      <c r="L5" s="412">
        <v>1</v>
      </c>
      <c r="M5" s="421">
        <v>1</v>
      </c>
    </row>
    <row r="6" spans="1:13" ht="14.45" customHeight="1" thickBot="1" x14ac:dyDescent="0.25">
      <c r="A6" s="407" t="s">
        <v>298</v>
      </c>
      <c r="B6" s="413">
        <v>361.58</v>
      </c>
      <c r="C6" s="414">
        <v>1</v>
      </c>
      <c r="D6" s="417">
        <v>2</v>
      </c>
      <c r="E6" s="425" t="s">
        <v>298</v>
      </c>
      <c r="F6" s="413">
        <v>176.32</v>
      </c>
      <c r="G6" s="422">
        <v>0.48763759057469991</v>
      </c>
      <c r="H6" s="415">
        <v>1</v>
      </c>
      <c r="I6" s="423">
        <v>0.5</v>
      </c>
      <c r="J6" s="427">
        <v>185.26</v>
      </c>
      <c r="K6" s="422">
        <v>0.51236240942530009</v>
      </c>
      <c r="L6" s="415">
        <v>1</v>
      </c>
      <c r="M6" s="423">
        <v>0.5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42098B8A-467C-41F2-AF60-B3A60F7E465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9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4" t="s">
        <v>312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</row>
    <row r="2" spans="1:21" ht="14.45" customHeight="1" thickBot="1" x14ac:dyDescent="0.25">
      <c r="A2" s="392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4"/>
      <c r="B3" s="325"/>
      <c r="C3" s="325"/>
      <c r="D3" s="325"/>
      <c r="E3" s="325"/>
      <c r="F3" s="325"/>
      <c r="G3" s="325"/>
      <c r="H3" s="325"/>
      <c r="I3" s="325"/>
      <c r="J3" s="325"/>
      <c r="K3" s="326" t="s">
        <v>120</v>
      </c>
      <c r="L3" s="327"/>
      <c r="M3" s="57">
        <f>SUBTOTAL(9,M7:M1048576)</f>
        <v>605.41999999999996</v>
      </c>
      <c r="N3" s="57">
        <f>SUBTOTAL(9,N7:N1048576)</f>
        <v>4</v>
      </c>
      <c r="O3" s="57">
        <f>SUBTOTAL(9,O7:O1048576)</f>
        <v>3</v>
      </c>
      <c r="P3" s="57">
        <f>SUBTOTAL(9,P7:P1048576)</f>
        <v>176.32</v>
      </c>
      <c r="Q3" s="58">
        <f>IF(M3=0,0,P3/M3)</f>
        <v>0.29123583627894684</v>
      </c>
      <c r="R3" s="57">
        <f>SUBTOTAL(9,R7:R1048576)</f>
        <v>1</v>
      </c>
      <c r="S3" s="58">
        <f>IF(N3=0,0,R3/N3)</f>
        <v>0.25</v>
      </c>
      <c r="T3" s="57">
        <f>SUBTOTAL(9,T7:T1048576)</f>
        <v>1</v>
      </c>
      <c r="U3" s="59">
        <f>IF(O3=0,0,T3/O3)</f>
        <v>0.33333333333333331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8" t="s">
        <v>12</v>
      </c>
      <c r="N4" s="329"/>
      <c r="O4" s="329"/>
      <c r="P4" s="330" t="s">
        <v>18</v>
      </c>
      <c r="Q4" s="329"/>
      <c r="R4" s="329"/>
      <c r="S4" s="329"/>
      <c r="T4" s="329"/>
      <c r="U4" s="331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1" t="s">
        <v>19</v>
      </c>
      <c r="Q5" s="322"/>
      <c r="R5" s="321" t="s">
        <v>10</v>
      </c>
      <c r="S5" s="322"/>
      <c r="T5" s="321" t="s">
        <v>17</v>
      </c>
      <c r="U5" s="323"/>
    </row>
    <row r="6" spans="1:21" s="193" customFormat="1" ht="14.45" customHeight="1" thickBot="1" x14ac:dyDescent="0.25">
      <c r="A6" s="428" t="s">
        <v>20</v>
      </c>
      <c r="B6" s="429" t="s">
        <v>4</v>
      </c>
      <c r="C6" s="428" t="s">
        <v>21</v>
      </c>
      <c r="D6" s="429" t="s">
        <v>5</v>
      </c>
      <c r="E6" s="429" t="s">
        <v>129</v>
      </c>
      <c r="F6" s="429" t="s">
        <v>22</v>
      </c>
      <c r="G6" s="429" t="s">
        <v>23</v>
      </c>
      <c r="H6" s="429" t="s">
        <v>6</v>
      </c>
      <c r="I6" s="429" t="s">
        <v>7</v>
      </c>
      <c r="J6" s="429" t="s">
        <v>8</v>
      </c>
      <c r="K6" s="429" t="s">
        <v>9</v>
      </c>
      <c r="L6" s="429" t="s">
        <v>24</v>
      </c>
      <c r="M6" s="430" t="s">
        <v>11</v>
      </c>
      <c r="N6" s="431" t="s">
        <v>25</v>
      </c>
      <c r="O6" s="431" t="s">
        <v>25</v>
      </c>
      <c r="P6" s="431" t="s">
        <v>11</v>
      </c>
      <c r="Q6" s="431" t="s">
        <v>2</v>
      </c>
      <c r="R6" s="431" t="s">
        <v>25</v>
      </c>
      <c r="S6" s="431" t="s">
        <v>2</v>
      </c>
      <c r="T6" s="431" t="s">
        <v>25</v>
      </c>
      <c r="U6" s="432" t="s">
        <v>2</v>
      </c>
    </row>
    <row r="7" spans="1:21" ht="14.45" customHeight="1" x14ac:dyDescent="0.2">
      <c r="A7" s="433">
        <v>43</v>
      </c>
      <c r="B7" s="434" t="s">
        <v>286</v>
      </c>
      <c r="C7" s="434" t="s">
        <v>290</v>
      </c>
      <c r="D7" s="435" t="s">
        <v>311</v>
      </c>
      <c r="E7" s="436" t="s">
        <v>298</v>
      </c>
      <c r="F7" s="434" t="s">
        <v>287</v>
      </c>
      <c r="G7" s="434" t="s">
        <v>299</v>
      </c>
      <c r="H7" s="434" t="s">
        <v>233</v>
      </c>
      <c r="I7" s="434" t="s">
        <v>300</v>
      </c>
      <c r="J7" s="434" t="s">
        <v>301</v>
      </c>
      <c r="K7" s="434" t="s">
        <v>302</v>
      </c>
      <c r="L7" s="437">
        <v>176.32</v>
      </c>
      <c r="M7" s="437">
        <v>176.32</v>
      </c>
      <c r="N7" s="434">
        <v>1</v>
      </c>
      <c r="O7" s="438">
        <v>1</v>
      </c>
      <c r="P7" s="437">
        <v>176.32</v>
      </c>
      <c r="Q7" s="439">
        <v>1</v>
      </c>
      <c r="R7" s="434">
        <v>1</v>
      </c>
      <c r="S7" s="439">
        <v>1</v>
      </c>
      <c r="T7" s="438">
        <v>1</v>
      </c>
      <c r="U7" s="108">
        <v>1</v>
      </c>
    </row>
    <row r="8" spans="1:21" ht="14.45" customHeight="1" x14ac:dyDescent="0.2">
      <c r="A8" s="450">
        <v>43</v>
      </c>
      <c r="B8" s="451" t="s">
        <v>286</v>
      </c>
      <c r="C8" s="451" t="s">
        <v>290</v>
      </c>
      <c r="D8" s="452" t="s">
        <v>311</v>
      </c>
      <c r="E8" s="453" t="s">
        <v>298</v>
      </c>
      <c r="F8" s="451" t="s">
        <v>287</v>
      </c>
      <c r="G8" s="451" t="s">
        <v>303</v>
      </c>
      <c r="H8" s="451" t="s">
        <v>233</v>
      </c>
      <c r="I8" s="451" t="s">
        <v>304</v>
      </c>
      <c r="J8" s="451" t="s">
        <v>305</v>
      </c>
      <c r="K8" s="451" t="s">
        <v>306</v>
      </c>
      <c r="L8" s="454">
        <v>185.26</v>
      </c>
      <c r="M8" s="454">
        <v>185.26</v>
      </c>
      <c r="N8" s="451">
        <v>1</v>
      </c>
      <c r="O8" s="455">
        <v>1</v>
      </c>
      <c r="P8" s="454"/>
      <c r="Q8" s="456">
        <v>0</v>
      </c>
      <c r="R8" s="451"/>
      <c r="S8" s="456">
        <v>0</v>
      </c>
      <c r="T8" s="455"/>
      <c r="U8" s="457">
        <v>0</v>
      </c>
    </row>
    <row r="9" spans="1:21" ht="14.45" customHeight="1" thickBot="1" x14ac:dyDescent="0.25">
      <c r="A9" s="442">
        <v>43</v>
      </c>
      <c r="B9" s="443" t="s">
        <v>286</v>
      </c>
      <c r="C9" s="443" t="s">
        <v>290</v>
      </c>
      <c r="D9" s="444" t="s">
        <v>311</v>
      </c>
      <c r="E9" s="445" t="s">
        <v>297</v>
      </c>
      <c r="F9" s="443" t="s">
        <v>287</v>
      </c>
      <c r="G9" s="443" t="s">
        <v>307</v>
      </c>
      <c r="H9" s="443" t="s">
        <v>233</v>
      </c>
      <c r="I9" s="443" t="s">
        <v>308</v>
      </c>
      <c r="J9" s="443" t="s">
        <v>309</v>
      </c>
      <c r="K9" s="443" t="s">
        <v>310</v>
      </c>
      <c r="L9" s="446">
        <v>121.92</v>
      </c>
      <c r="M9" s="446">
        <v>243.84</v>
      </c>
      <c r="N9" s="443">
        <v>2</v>
      </c>
      <c r="O9" s="447">
        <v>1</v>
      </c>
      <c r="P9" s="446"/>
      <c r="Q9" s="448">
        <v>0</v>
      </c>
      <c r="R9" s="443"/>
      <c r="S9" s="448">
        <v>0</v>
      </c>
      <c r="T9" s="447"/>
      <c r="U9" s="449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142F126F-5AF8-468C-B834-482D55A0F7A0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2020-06-22T14:22:32Z</dcterms:modified>
</cp:coreProperties>
</file>