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Man Tab" sheetId="366" r:id="rId4"/>
    <sheet name="HV" sheetId="367" r:id="rId5"/>
    <sheet name="Osobní náklady" sheetId="419" r:id="rId6"/>
    <sheet name="ON Data" sheetId="418" state="hidden" r:id="rId7"/>
  </sheets>
  <definedNames>
    <definedName name="_xlnm._FilterDatabase" localSheetId="4" hidden="1">HV!$A$5:$A$5</definedName>
    <definedName name="_xlnm._FilterDatabase" localSheetId="3" hidden="1">'Man Tab'!$A$5:$A$31</definedName>
    <definedName name="doměsíce">#REF!</definedName>
  </definedNames>
  <calcPr calcId="152511"/>
</workbook>
</file>

<file path=xl/calcChain.xml><?xml version="1.0" encoding="utf-8"?>
<calcChain xmlns="http://schemas.openxmlformats.org/spreadsheetml/2006/main">
  <c r="AG21" i="419" l="1"/>
  <c r="AF21" i="419"/>
  <c r="AE21" i="419"/>
  <c r="AD21" i="419"/>
  <c r="AC21" i="419"/>
  <c r="AB21" i="419"/>
  <c r="AA21" i="419"/>
  <c r="Z21" i="419"/>
  <c r="Y21" i="419"/>
  <c r="X21" i="419"/>
  <c r="W21" i="419"/>
  <c r="V21" i="419"/>
  <c r="U21" i="419"/>
  <c r="T21" i="419"/>
  <c r="S21" i="419"/>
  <c r="R21" i="419"/>
  <c r="Q21" i="419"/>
  <c r="P21" i="419"/>
  <c r="O21" i="419"/>
  <c r="N21" i="419"/>
  <c r="M21" i="419"/>
  <c r="L21" i="419"/>
  <c r="K21" i="419"/>
  <c r="J21" i="419"/>
  <c r="I21" i="419"/>
  <c r="H21" i="419"/>
  <c r="G21" i="419"/>
  <c r="F21" i="419"/>
  <c r="E21" i="419"/>
  <c r="D21" i="419"/>
  <c r="C21" i="419"/>
  <c r="B21" i="419"/>
  <c r="C22" i="419" l="1"/>
  <c r="E22" i="419"/>
  <c r="H22" i="419"/>
  <c r="L22" i="419"/>
  <c r="P22" i="419"/>
  <c r="T22" i="419"/>
  <c r="X22" i="419"/>
  <c r="AB22" i="419"/>
  <c r="AF22" i="419"/>
  <c r="B22" i="419"/>
  <c r="I22" i="419"/>
  <c r="M22" i="419"/>
  <c r="Q22" i="419"/>
  <c r="U22" i="419"/>
  <c r="Y22" i="419"/>
  <c r="AC22" i="419"/>
  <c r="F22" i="419"/>
  <c r="J22" i="419"/>
  <c r="N22" i="419"/>
  <c r="R22" i="419"/>
  <c r="V22" i="419"/>
  <c r="Z22" i="419"/>
  <c r="AD22" i="419"/>
  <c r="AG22" i="419"/>
  <c r="D22" i="419"/>
  <c r="G22" i="419"/>
  <c r="K22" i="419"/>
  <c r="O22" i="419"/>
  <c r="S22" i="419"/>
  <c r="W22" i="419"/>
  <c r="AA22" i="419"/>
  <c r="AE22" i="419"/>
  <c r="AG26" i="419" l="1"/>
  <c r="AG25" i="419"/>
  <c r="AG20" i="419" l="1"/>
  <c r="AG23" i="419" s="1"/>
  <c r="AF20" i="419"/>
  <c r="AF23" i="419" s="1"/>
  <c r="AE20" i="419"/>
  <c r="AE23" i="419" s="1"/>
  <c r="AD20" i="419"/>
  <c r="AD23" i="419" s="1"/>
  <c r="AC20" i="419"/>
  <c r="AC23" i="419" s="1"/>
  <c r="AB20" i="419"/>
  <c r="AB23" i="419" s="1"/>
  <c r="AA20" i="419"/>
  <c r="AA23" i="419" s="1"/>
  <c r="Z20" i="419"/>
  <c r="Z23" i="419" s="1"/>
  <c r="Y20" i="419"/>
  <c r="Y23" i="419" s="1"/>
  <c r="X20" i="419"/>
  <c r="X23" i="419" s="1"/>
  <c r="W20" i="419"/>
  <c r="W23" i="419" s="1"/>
  <c r="V20" i="419"/>
  <c r="V23" i="419" s="1"/>
  <c r="U20" i="419"/>
  <c r="U23" i="419" s="1"/>
  <c r="T20" i="419"/>
  <c r="T23" i="419" s="1"/>
  <c r="S20" i="419"/>
  <c r="S23" i="419" s="1"/>
  <c r="R20" i="419"/>
  <c r="R23" i="419" s="1"/>
  <c r="Q20" i="419"/>
  <c r="Q23" i="419" s="1"/>
  <c r="P20" i="419"/>
  <c r="P23" i="419" s="1"/>
  <c r="O20" i="419"/>
  <c r="O23" i="419" s="1"/>
  <c r="N20" i="419"/>
  <c r="N23" i="419" s="1"/>
  <c r="M20" i="419"/>
  <c r="M23" i="419" s="1"/>
  <c r="L20" i="419"/>
  <c r="L23" i="419" s="1"/>
  <c r="K20" i="419"/>
  <c r="K23" i="419" s="1"/>
  <c r="J20" i="419"/>
  <c r="J23" i="419" s="1"/>
  <c r="I20" i="419"/>
  <c r="I23" i="419" s="1"/>
  <c r="H20" i="419"/>
  <c r="H23" i="419" s="1"/>
  <c r="G20" i="419"/>
  <c r="G23" i="419" s="1"/>
  <c r="F20" i="419"/>
  <c r="F23" i="419" s="1"/>
  <c r="E20" i="419"/>
  <c r="E23" i="419" s="1"/>
  <c r="D20" i="419"/>
  <c r="D23" i="419" s="1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G16" i="419"/>
  <c r="AF16" i="419"/>
  <c r="AE16" i="419"/>
  <c r="AD16" i="419"/>
  <c r="AC16" i="419"/>
  <c r="AB16" i="419"/>
  <c r="AA16" i="419"/>
  <c r="Z16" i="419"/>
  <c r="Y16" i="419"/>
  <c r="X16" i="419"/>
  <c r="W16" i="419"/>
  <c r="V16" i="419"/>
  <c r="U16" i="419"/>
  <c r="T16" i="419"/>
  <c r="S16" i="419"/>
  <c r="R16" i="419"/>
  <c r="Q16" i="419"/>
  <c r="P16" i="419"/>
  <c r="O16" i="419"/>
  <c r="N16" i="419"/>
  <c r="M16" i="419"/>
  <c r="L16" i="419"/>
  <c r="K16" i="419"/>
  <c r="J16" i="419"/>
  <c r="I16" i="419"/>
  <c r="H16" i="419"/>
  <c r="G16" i="419"/>
  <c r="F16" i="419"/>
  <c r="E16" i="419"/>
  <c r="D16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R3" i="418"/>
  <c r="D18" i="419" l="1"/>
  <c r="G18" i="419"/>
  <c r="S18" i="419"/>
  <c r="W18" i="419"/>
  <c r="AA18" i="419"/>
  <c r="I18" i="419"/>
  <c r="M18" i="419"/>
  <c r="Q18" i="419"/>
  <c r="U18" i="419"/>
  <c r="Y18" i="419"/>
  <c r="AC18" i="419"/>
  <c r="E18" i="419"/>
  <c r="H18" i="419"/>
  <c r="L18" i="419"/>
  <c r="P18" i="419"/>
  <c r="T18" i="419"/>
  <c r="X18" i="419"/>
  <c r="AB18" i="419"/>
  <c r="AF18" i="419"/>
  <c r="K18" i="419"/>
  <c r="O18" i="419"/>
  <c r="AE18" i="419"/>
  <c r="F18" i="419"/>
  <c r="J18" i="419"/>
  <c r="N18" i="419"/>
  <c r="R18" i="419"/>
  <c r="V18" i="419"/>
  <c r="Z18" i="419"/>
  <c r="AD18" i="419"/>
  <c r="AG18" i="419"/>
  <c r="C25" i="419"/>
  <c r="AG27" i="419" l="1"/>
  <c r="F26" i="419"/>
  <c r="C26" i="419"/>
  <c r="B26" i="419" l="1"/>
  <c r="B27" i="419" s="1"/>
  <c r="C28" i="419"/>
  <c r="F27" i="419"/>
  <c r="C27" i="419"/>
  <c r="Q3" i="418"/>
  <c r="P3" i="418"/>
  <c r="O3" i="418"/>
  <c r="N3" i="418"/>
  <c r="M3" i="418"/>
  <c r="L3" i="418"/>
  <c r="K3" i="418"/>
  <c r="J3" i="418"/>
  <c r="I3" i="418"/>
  <c r="H3" i="418"/>
  <c r="G3" i="418"/>
  <c r="F3" i="418"/>
  <c r="AG28" i="419" l="1"/>
  <c r="F25" i="419"/>
  <c r="B25" i="419" l="1"/>
  <c r="F28" i="419"/>
  <c r="B28" i="419" s="1"/>
  <c r="A7" i="339"/>
  <c r="D3" i="418" l="1"/>
  <c r="AF6" i="419" l="1"/>
  <c r="AB6" i="419"/>
  <c r="X6" i="419"/>
  <c r="T6" i="419"/>
  <c r="P6" i="419"/>
  <c r="L6" i="419"/>
  <c r="H6" i="419"/>
  <c r="E6" i="419"/>
  <c r="AE6" i="419"/>
  <c r="AA6" i="419"/>
  <c r="W6" i="419"/>
  <c r="S6" i="419"/>
  <c r="O6" i="419"/>
  <c r="K6" i="419"/>
  <c r="G6" i="419"/>
  <c r="D6" i="419"/>
  <c r="AG6" i="419"/>
  <c r="AD6" i="419"/>
  <c r="Z6" i="419"/>
  <c r="V6" i="419"/>
  <c r="R6" i="419"/>
  <c r="N6" i="419"/>
  <c r="J6" i="419"/>
  <c r="F6" i="419"/>
  <c r="AC6" i="419"/>
  <c r="Y6" i="419"/>
  <c r="U6" i="419"/>
  <c r="Q6" i="419"/>
  <c r="M6" i="419"/>
  <c r="I6" i="419"/>
  <c r="C6" i="419"/>
  <c r="B6" i="419"/>
  <c r="C20" i="419"/>
  <c r="C23" i="419" s="1"/>
  <c r="B20" i="419"/>
  <c r="B23" i="419" s="1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D11" i="414" l="1"/>
  <c r="D7" i="414"/>
  <c r="A14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6" i="414" l="1"/>
  <c r="A15" i="414"/>
  <c r="E11" i="339" l="1"/>
  <c r="B11" i="339"/>
  <c r="F11" i="339" l="1"/>
  <c r="C11" i="339"/>
  <c r="H11" i="339" l="1"/>
  <c r="G11" i="339"/>
  <c r="A11" i="414"/>
  <c r="A7" i="414"/>
  <c r="A12" i="414"/>
  <c r="A4" i="414"/>
  <c r="A6" i="339" l="1"/>
  <c r="A5" i="339"/>
  <c r="D4" i="414"/>
  <c r="D15" i="414"/>
  <c r="D12" i="414"/>
  <c r="C15" i="414"/>
  <c r="C12" i="414"/>
  <c r="C11" i="414" l="1"/>
  <c r="C7" i="414"/>
  <c r="E11" i="414" l="1"/>
  <c r="E7" i="414"/>
  <c r="E12" i="339" l="1"/>
  <c r="C12" i="339"/>
  <c r="B12" i="339"/>
  <c r="F12" i="339" s="1"/>
  <c r="C16" i="414"/>
  <c r="D16" i="414"/>
  <c r="F13" i="339" l="1"/>
  <c r="E13" i="339"/>
  <c r="E15" i="339" s="1"/>
  <c r="H12" i="339"/>
  <c r="G12" i="339"/>
  <c r="A4" i="383"/>
  <c r="A10" i="383"/>
  <c r="A7" i="383"/>
  <c r="A6" i="383"/>
  <c r="A5" i="383"/>
  <c r="C13" i="339"/>
  <c r="C15" i="339" s="1"/>
  <c r="B13" i="339"/>
  <c r="B15" i="339" s="1"/>
  <c r="C4" i="414"/>
  <c r="D14" i="414"/>
  <c r="H13" i="339" l="1"/>
  <c r="F15" i="339"/>
  <c r="E12" i="414"/>
  <c r="E4" i="414"/>
  <c r="G13" i="339"/>
  <c r="G15" i="339" l="1"/>
  <c r="H15" i="339"/>
  <c r="E15" i="414"/>
  <c r="E16" i="414"/>
  <c r="C14" i="414"/>
  <c r="E14" i="414" l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<sst xmlns="http://schemas.openxmlformats.org/spreadsheetml/2006/main" count="366" uniqueCount="253">
  <si>
    <t>Celkem</t>
  </si>
  <si>
    <t>Klinika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</si>
  <si>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</si>
  <si>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</si>
  <si>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</si>
  <si>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</si>
  <si>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</si>
  <si>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</si>
  <si>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</si>
  <si>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</si>
  <si>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</si>
  <si>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</si>
  <si>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</si>
  <si>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</si>
  <si>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</si>
  <si>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</si>
  <si>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</si>
  <si>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</si>
  <si>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</si>
  <si>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</si>
  <si>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</si>
  <si>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</si>
  <si>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</si>
  <si>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</si>
  <si>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</si>
  <si>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</si>
  <si>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</si>
  <si>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</si>
  <si>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</si>
  <si>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</si>
  <si>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</si>
  <si>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</si>
  <si>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</si>
  <si>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</si>
  <si>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</si>
  <si>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</si>
  <si>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</si>
  <si>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</si>
  <si>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</si>
  <si>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</si>
  <si>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</si>
  <si>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</si>
  <si>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Skutečnost</t>
  </si>
  <si>
    <t>Rozpočet</t>
  </si>
  <si>
    <t>Plnění</t>
  </si>
  <si>
    <t>Ostatní (Kč)</t>
  </si>
  <si>
    <t>Náklady celkem</t>
  </si>
  <si>
    <t>Výnosy celkem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</si>
  <si>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</si>
  <si>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</si>
  <si>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</si>
  <si>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</si>
  <si>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</si>
  <si>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</si>
  <si>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Man Tab</t>
  </si>
  <si>
    <t>Osobní náklady</t>
  </si>
  <si>
    <t>Motivační kritéria</t>
  </si>
  <si>
    <t>Motivace</t>
  </si>
  <si>
    <t>Hospodaření zdravotnického pracoviště (v tisících)</t>
  </si>
  <si>
    <t>Přehledové sestavy</t>
  </si>
  <si>
    <t>Akt. měsíc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</si>
  <si>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</si>
  <si>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</si>
  <si>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</si>
  <si>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</si>
  <si>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</si>
  <si>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</si>
  <si>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</si>
  <si>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</si>
  <si>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</si>
  <si>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</si>
  <si>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</si>
  <si>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</si>
  <si>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</si>
  <si>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</si>
  <si>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</si>
  <si>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</si>
  <si>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</si>
  <si>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</si>
  <si>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</si>
  <si>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</si>
  <si>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</si>
  <si>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</si>
  <si>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</si>
  <si>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</si>
  <si>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</si>
  <si>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</si>
  <si>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</si>
  <si>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</si>
  <si>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</si>
  <si>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</si>
  <si>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</si>
  <si>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</si>
  <si>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</si>
  <si>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</si>
  <si>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</si>
  <si>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</si>
  <si>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</si>
  <si>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</si>
  <si>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</si>
  <si>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</si>
  <si>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</si>
  <si>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</si>
  <si>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</si>
  <si>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</si>
  <si>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</si>
  <si>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</si>
  <si>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</si>
  <si>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</si>
  <si>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</si>
  <si>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</si>
  <si>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</si>
  <si>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</si>
  <si>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</si>
  <si>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</si>
  <si>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</si>
  <si>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</si>
  <si>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</si>
  <si>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</si>
  <si>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</si>
  <si>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</si>
  <si>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</si>
  <si>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</si>
  <si>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</si>
  <si>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</si>
  <si>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</si>
  <si>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</si>
  <si>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</si>
  <si>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</si>
  <si>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</si>
  <si>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</si>
  <si>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</si>
  <si>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</si>
  <si>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</si>
  <si>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</si>
  <si>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</si>
  <si>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</si>
  <si>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</si>
  <si>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</si>
  <si>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</si>
  <si>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</si>
  <si>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</si>
  <si>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</si>
  <si>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</si>
  <si>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</si>
  <si>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</si>
  <si>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</si>
  <si>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</si>
  <si>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Ambulance = vykázané výkony (body)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</si>
  <si>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</si>
  <si>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</si>
  <si>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</si>
  <si>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</si>
  <si>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</si>
  <si>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</si>
  <si>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</si>
  <si>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</si>
  <si>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</si>
  <si>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</si>
  <si>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</si>
  <si>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</si>
  <si>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</si>
  <si>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</si>
  <si>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</si>
  <si>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</si>
  <si>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</si>
  <si>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</si>
  <si>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</si>
  <si>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</si>
  <si>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</si>
  <si>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1.-2.měsíc | Sociální oddělení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</si>
  <si>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</si>
  <si>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</si>
  <si>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</si>
  <si>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</si>
  <si>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</si>
  <si>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50117     Všeobecný materiál</t>
  </si>
  <si>
    <t>50117002     prací a čistící prostř.,drog.zboží (sk.V41)</t>
  </si>
  <si>
    <t>50117003     desinf. prostř. LEK</t>
  </si>
  <si>
    <t>--</t>
  </si>
  <si>
    <t>50117004     tiskopisy a kanc.potřeby (sk.V42, 43)</t>
  </si>
  <si>
    <t>50117005     údržbový materiál ZVIT (sk.B36,61,62,64)</t>
  </si>
  <si>
    <t>50117015     IT - spotřební materiál (sk. P37, 48)</t>
  </si>
  <si>
    <t>50117024     všeob.mat. - ostatní-vyjímky (V44) od 0,01 do 999,99</t>
  </si>
  <si>
    <t>50118     Náhradní díly</t>
  </si>
  <si>
    <t>50118006     ND - ZVIT (sk.B63)</t>
  </si>
  <si>
    <t>50119     DDHM a textil</t>
  </si>
  <si>
    <t>50119077     OOPP a prádlo pro zaměstnance (sk.T14)</t>
  </si>
  <si>
    <t>50210     Spotřeba energie</t>
  </si>
  <si>
    <t>50210071     elektřina</t>
  </si>
  <si>
    <t>50210072     vodné, stočné</t>
  </si>
  <si>
    <t>50210073     pára</t>
  </si>
  <si>
    <t>50210075     plyn</t>
  </si>
  <si>
    <t>51     Služby</t>
  </si>
  <si>
    <t>51102     Technika a stavby</t>
  </si>
  <si>
    <t>51102022     opravy - Úsek inf.systémů</t>
  </si>
  <si>
    <t>51102024     opravy - správa budov</t>
  </si>
  <si>
    <t>51102025     opravy - hl.energetik</t>
  </si>
  <si>
    <t>51201     Cestovné zaměstnanců-tuzemské</t>
  </si>
  <si>
    <t>51201000     cestovné z mezd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</si>
  <si>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</si>
  <si>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</si>
  <si>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</si>
  <si>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</si>
  <si>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</si>
  <si>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51806     Úklid, odpad, desinf., deratizace</t>
  </si>
  <si>
    <t>51806001     úklid pravidelný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</si>
  <si>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</si>
  <si>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</si>
  <si>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</si>
  <si>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</si>
  <si>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</si>
  <si>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</si>
  <si>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</si>
  <si>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</si>
  <si>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</si>
  <si>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</si>
  <si>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</si>
  <si>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</si>
  <si>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</si>
  <si>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</si>
  <si>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</si>
  <si>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</si>
  <si>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54910009     školení, kongresové poplatky tuzemské - ost.zdrav.pracov.</t>
  </si>
  <si>
    <t>54910010     školení - nezdrav.pracov.</t>
  </si>
  <si>
    <t>54970     Předpis - KDF za služby</t>
  </si>
  <si>
    <t>54970000     předpis KDF - služby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</si>
  <si>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</si>
  <si>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</si>
  <si>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</si>
  <si>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</si>
  <si>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6     Účtová třída 6 - Výnosy</t>
  </si>
  <si>
    <t>64     Jiné provozní výnosy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</si>
  <si>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</si>
  <si>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</si>
  <si>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</si>
  <si>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</si>
  <si>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</si>
  <si>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64924459     školení, stáže, odb. semináře, konference</t>
  </si>
  <si>
    <t>7     Účtová třída 7 - Vnitropodnikové účetnictví - náklady</t>
  </si>
  <si>
    <t>79     Vnitropodnikové náklady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</si>
  <si>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</si>
  <si>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</si>
  <si>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</si>
  <si>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</si>
  <si>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</si>
  <si>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</si>
  <si>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</si>
  <si>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</si>
  <si>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</si>
  <si>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79950     VPN - správní režie</t>
  </si>
  <si>
    <t>79950001     režie HTS</t>
  </si>
  <si>
    <t>ON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</si>
</sst>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Kč&quot;* #,##0.00_);_(&quot;Kč&quot;* \(#,##0.00\);_(&quot;Kč&quot;* &quot;-&quot;??_);_(@_)"/>
    <numFmt numFmtId="166" formatCode="#,##0.0"/>
    <numFmt numFmtId="171" formatCode="0.000"/>
    <numFmt numFmtId="173" formatCode="#,##0;\-#,##0;"/>
    <numFmt numFmtId="174" formatCode="General;\-General;"/>
    <numFmt numFmtId="175" formatCode="0%;\-0%;"/>
    <numFmt numFmtId="176" formatCode="#,##0%"/>
  </numFmts>
  <fonts count="55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0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5">
    <xf numFmtId="0" fontId="0" fillId="0" borderId="0"/>
    <xf numFmtId="0" fontId="24" fillId="0" borderId="0" applyNumberForma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3" fillId="0" borderId="0"/>
    <xf numFmtId="0" fontId="12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9" fillId="0" borderId="0"/>
    <xf numFmtId="0" fontId="10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11" fillId="0" borderId="0"/>
    <xf numFmtId="0" fontId="9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9" fillId="0" borderId="0"/>
    <xf numFmtId="0" fontId="21" fillId="0" borderId="0"/>
    <xf numFmtId="0" fontId="22" fillId="0" borderId="0"/>
    <xf numFmtId="0" fontId="25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6" fillId="0" borderId="0"/>
    <xf numFmtId="0" fontId="6" fillId="0" borderId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23" fillId="0" borderId="0"/>
  </cellStyleXfs>
  <cellXfs count="313">
    <xf numFmtId="0" fontId="0" fillId="0" borderId="0" xfId="0"/>
    <xf numFmtId="0" fontId="26" fillId="2" borderId="16" xfId="78" applyFont="1" applyFill="1" applyBorder="1"/>
    <xf numFmtId="0" fontId="27" fillId="2" borderId="17" xfId="78" applyFont="1" applyFill="1" applyBorder="1"/>
    <xf numFmtId="3" fontId="27" fillId="2" borderId="18" xfId="78" applyNumberFormat="1" applyFont="1" applyFill="1" applyBorder="1"/>
    <xf numFmtId="0" fontId="27" fillId="4" borderId="17" xfId="78" applyFont="1" applyFill="1" applyBorder="1"/>
    <xf numFmtId="3" fontId="27" fillId="4" borderId="18" xfId="78" applyNumberFormat="1" applyFont="1" applyFill="1" applyBorder="1"/>
    <xf numFmtId="171" fontId="27" fillId="3" borderId="18" xfId="78" applyNumberFormat="1" applyFont="1" applyFill="1" applyBorder="1"/>
    <xf numFmtId="0" fontId="28" fillId="5" borderId="0" xfId="74" applyFont="1" applyFill="1"/>
    <xf numFmtId="0" fontId="31" fillId="5" borderId="0" xfId="74" applyFont="1" applyFill="1"/>
    <xf numFmtId="3" fontId="26" fillId="5" borderId="23" xfId="78" applyNumberFormat="1" applyFont="1" applyFill="1" applyBorder="1"/>
    <xf numFmtId="3" fontId="26" fillId="5" borderId="7" xfId="78" applyNumberFormat="1" applyFont="1" applyFill="1" applyBorder="1"/>
    <xf numFmtId="3" fontId="26" fillId="5" borderId="11" xfId="78" applyNumberFormat="1" applyFont="1" applyFill="1" applyBorder="1"/>
    <xf numFmtId="0" fontId="26" fillId="5" borderId="0" xfId="78" applyFont="1" applyFill="1"/>
    <xf numFmtId="10" fontId="26" fillId="5" borderId="0" xfId="78" applyNumberFormat="1" applyFont="1" applyFill="1"/>
    <xf numFmtId="0" fontId="36" fillId="2" borderId="32" xfId="0" applyFont="1" applyFill="1" applyBorder="1" applyAlignment="1">
      <alignment vertical="top"/>
    </xf>
    <xf numFmtId="0" fontId="36" fillId="2" borderId="33" xfId="0" applyFont="1" applyFill="1" applyBorder="1" applyAlignment="1">
      <alignment vertical="top"/>
    </xf>
    <xf numFmtId="0" fontId="33" fillId="2" borderId="33" xfId="0" applyFont="1" applyFill="1" applyBorder="1" applyAlignment="1">
      <alignment vertical="top"/>
    </xf>
    <xf numFmtId="0" fontId="37" fillId="2" borderId="33" xfId="0" applyFont="1" applyFill="1" applyBorder="1" applyAlignment="1">
      <alignment vertical="top"/>
    </xf>
    <xf numFmtId="0" fontId="35" fillId="2" borderId="33" xfId="0" applyFont="1" applyFill="1" applyBorder="1" applyAlignment="1">
      <alignment vertical="top"/>
    </xf>
    <xf numFmtId="0" fontId="33" fillId="2" borderId="34" xfId="0" applyFont="1" applyFill="1" applyBorder="1" applyAlignment="1">
      <alignment vertical="top"/>
    </xf>
    <xf numFmtId="0" fontId="36" fillId="2" borderId="7" xfId="0" applyFont="1" applyFill="1" applyBorder="1" applyAlignment="1">
      <alignment horizontal="center" vertical="center"/>
    </xf>
    <xf numFmtId="0" fontId="36" fillId="2" borderId="20" xfId="0" applyFont="1" applyFill="1" applyBorder="1" applyAlignment="1">
      <alignment horizontal="center" vertical="center"/>
    </xf>
    <xf numFmtId="0" fontId="36" fillId="2" borderId="22" xfId="0" applyFont="1" applyFill="1" applyBorder="1" applyAlignment="1">
      <alignment horizontal="center" vertical="center"/>
    </xf>
    <xf numFmtId="0" fontId="36" fillId="2" borderId="21" xfId="0" applyFont="1" applyFill="1" applyBorder="1" applyAlignment="1">
      <alignment horizontal="center" vertical="center"/>
    </xf>
    <xf numFmtId="0" fontId="37" fillId="2" borderId="20" xfId="0" applyFont="1" applyFill="1" applyBorder="1" applyAlignment="1">
      <alignment horizontal="center" vertical="center" wrapText="1"/>
    </xf>
    <xf numFmtId="0" fontId="37" fillId="2" borderId="22" xfId="0" applyFont="1" applyFill="1" applyBorder="1" applyAlignment="1">
      <alignment horizontal="center" vertical="center" wrapText="1"/>
    </xf>
    <xf numFmtId="0" fontId="35" fillId="2" borderId="22" xfId="0" applyFont="1" applyFill="1" applyBorder="1" applyAlignment="1">
      <alignment horizontal="center" vertical="center" wrapText="1"/>
    </xf>
    <xf numFmtId="3" fontId="26" fillId="5" borderId="3" xfId="78" applyNumberFormat="1" applyFont="1" applyFill="1" applyBorder="1"/>
    <xf numFmtId="3" fontId="26" fillId="5" borderId="28" xfId="78" applyNumberFormat="1" applyFont="1" applyFill="1" applyBorder="1"/>
    <xf numFmtId="3" fontId="26" fillId="5" borderId="24" xfId="78" applyNumberFormat="1" applyFont="1" applyFill="1" applyBorder="1"/>
    <xf numFmtId="3" fontId="26" fillId="5" borderId="8" xfId="78" applyNumberFormat="1" applyFont="1" applyFill="1" applyBorder="1"/>
    <xf numFmtId="3" fontId="26" fillId="5" borderId="9" xfId="78" applyNumberFormat="1" applyFont="1" applyFill="1" applyBorder="1"/>
    <xf numFmtId="3" fontId="26" fillId="5" borderId="12" xfId="78" applyNumberFormat="1" applyFont="1" applyFill="1" applyBorder="1"/>
    <xf numFmtId="3" fontId="26" fillId="5" borderId="13" xfId="78" applyNumberFormat="1" applyFont="1" applyFill="1" applyBorder="1"/>
    <xf numFmtId="3" fontId="27" fillId="2" borderId="26" xfId="78" applyNumberFormat="1" applyFont="1" applyFill="1" applyBorder="1"/>
    <xf numFmtId="3" fontId="27" fillId="2" borderId="19" xfId="78" applyNumberFormat="1" applyFont="1" applyFill="1" applyBorder="1"/>
    <xf numFmtId="3" fontId="27" fillId="4" borderId="26" xfId="78" applyNumberFormat="1" applyFont="1" applyFill="1" applyBorder="1"/>
    <xf numFmtId="3" fontId="27" fillId="4" borderId="19" xfId="78" applyNumberFormat="1" applyFont="1" applyFill="1" applyBorder="1"/>
    <xf numFmtId="171" fontId="27" fillId="3" borderId="26" xfId="78" applyNumberFormat="1" applyFont="1" applyFill="1" applyBorder="1"/>
    <xf numFmtId="171" fontId="27" fillId="3" borderId="19" xfId="78" applyNumberFormat="1" applyFont="1" applyFill="1" applyBorder="1"/>
    <xf numFmtId="0" fontId="30" fillId="2" borderId="24" xfId="78" applyFont="1" applyFill="1" applyBorder="1" applyAlignment="1">
      <alignment horizontal="center"/>
    </xf>
    <xf numFmtId="0" fontId="31" fillId="0" borderId="35" xfId="0" applyFont="1" applyFill="1" applyBorder="1" applyAlignment="1"/>
    <xf numFmtId="0" fontId="39" fillId="0" borderId="0" xfId="0" applyFont="1" applyFill="1" applyBorder="1" applyAlignment="1"/>
    <xf numFmtId="3" fontId="32" fillId="0" borderId="6" xfId="0" applyNumberFormat="1" applyFont="1" applyFill="1" applyBorder="1" applyAlignment="1">
      <alignment horizontal="right" vertical="top"/>
    </xf>
    <xf numFmtId="3" fontId="32" fillId="0" borderId="4" xfId="0" applyNumberFormat="1" applyFont="1" applyFill="1" applyBorder="1" applyAlignment="1">
      <alignment horizontal="right" vertical="top"/>
    </xf>
    <xf numFmtId="3" fontId="33" fillId="0" borderId="4" xfId="0" applyNumberFormat="1" applyFont="1" applyFill="1" applyBorder="1" applyAlignment="1">
      <alignment horizontal="right" vertical="top"/>
    </xf>
    <xf numFmtId="3" fontId="32" fillId="0" borderId="10" xfId="0" applyNumberFormat="1" applyFont="1" applyFill="1" applyBorder="1" applyAlignment="1">
      <alignment horizontal="right" vertical="top"/>
    </xf>
    <xf numFmtId="3" fontId="32" fillId="0" borderId="8" xfId="0" applyNumberFormat="1" applyFont="1" applyFill="1" applyBorder="1" applyAlignment="1">
      <alignment horizontal="right" vertical="top"/>
    </xf>
    <xf numFmtId="3" fontId="33" fillId="0" borderId="8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4" fillId="0" borderId="8" xfId="0" applyNumberFormat="1" applyFont="1" applyFill="1" applyBorder="1" applyAlignment="1">
      <alignment horizontal="right" vertical="top"/>
    </xf>
    <xf numFmtId="3" fontId="35" fillId="0" borderId="8" xfId="0" applyNumberFormat="1" applyFont="1" applyFill="1" applyBorder="1" applyAlignment="1">
      <alignment horizontal="right" vertical="top"/>
    </xf>
    <xf numFmtId="3" fontId="32" fillId="0" borderId="31" xfId="0" applyNumberFormat="1" applyFont="1" applyFill="1" applyBorder="1" applyAlignment="1">
      <alignment horizontal="right" vertical="top"/>
    </xf>
    <xf numFmtId="3" fontId="32" fillId="0" borderId="22" xfId="0" applyNumberFormat="1" applyFont="1" applyFill="1" applyBorder="1" applyAlignment="1">
      <alignment horizontal="right" vertical="top"/>
    </xf>
    <xf numFmtId="3" fontId="33" fillId="0" borderId="22" xfId="0" applyNumberFormat="1" applyFont="1" applyFill="1" applyBorder="1" applyAlignment="1">
      <alignment horizontal="right" vertical="top"/>
    </xf>
    <xf numFmtId="0" fontId="5" fillId="0" borderId="0" xfId="79" applyFont="1" applyFill="1"/>
    <xf numFmtId="0" fontId="7" fillId="0" borderId="35" xfId="79" applyFont="1" applyFill="1" applyBorder="1" applyAlignment="1"/>
    <xf numFmtId="0" fontId="31" fillId="0" borderId="29" xfId="0" applyFont="1" applyFill="1" applyBorder="1" applyAlignment="1"/>
    <xf numFmtId="0" fontId="31" fillId="0" borderId="30" xfId="0" applyFont="1" applyFill="1" applyBorder="1" applyAlignment="1"/>
    <xf numFmtId="0" fontId="31" fillId="0" borderId="47" xfId="0" applyFont="1" applyFill="1" applyBorder="1" applyAlignment="1"/>
    <xf numFmtId="0" fontId="31" fillId="0" borderId="24" xfId="0" applyFont="1" applyBorder="1" applyAlignment="1"/>
    <xf numFmtId="0" fontId="31" fillId="5" borderId="5" xfId="0" applyFont="1" applyFill="1" applyBorder="1"/>
    <xf numFmtId="0" fontId="31" fillId="5" borderId="9" xfId="0" applyFont="1" applyFill="1" applyBorder="1"/>
    <xf numFmtId="0" fontId="31" fillId="5" borderId="21" xfId="0" applyFont="1" applyFill="1" applyBorder="1"/>
    <xf numFmtId="0" fontId="31" fillId="5" borderId="35" xfId="0" applyFont="1" applyFill="1" applyBorder="1"/>
    <xf numFmtId="0" fontId="31" fillId="5" borderId="41" xfId="0" applyFont="1" applyFill="1" applyBorder="1"/>
    <xf numFmtId="9" fontId="33" fillId="0" borderId="5" xfId="0" applyNumberFormat="1" applyFont="1" applyFill="1" applyBorder="1" applyAlignment="1">
      <alignment horizontal="right" vertical="top"/>
    </xf>
    <xf numFmtId="9" fontId="33" fillId="0" borderId="9" xfId="0" applyNumberFormat="1" applyFont="1" applyFill="1" applyBorder="1" applyAlignment="1">
      <alignment horizontal="right" vertical="top"/>
    </xf>
    <xf numFmtId="9" fontId="35" fillId="0" borderId="9" xfId="0" applyNumberFormat="1" applyFont="1" applyFill="1" applyBorder="1" applyAlignment="1">
      <alignment horizontal="right" vertical="top"/>
    </xf>
    <xf numFmtId="9" fontId="33" fillId="0" borderId="21" xfId="0" applyNumberFormat="1" applyFont="1" applyFill="1" applyBorder="1" applyAlignment="1">
      <alignment horizontal="right" vertical="top"/>
    </xf>
    <xf numFmtId="0" fontId="30" fillId="2" borderId="37" xfId="74" applyFont="1" applyFill="1" applyBorder="1" applyAlignment="1">
      <alignment horizontal="center"/>
    </xf>
    <xf numFmtId="0" fontId="26" fillId="5" borderId="35" xfId="78" applyFont="1" applyFill="1" applyBorder="1"/>
    <xf numFmtId="0" fontId="30" fillId="2" borderId="22" xfId="78" applyFont="1" applyFill="1" applyBorder="1" applyAlignment="1">
      <alignment horizontal="center"/>
    </xf>
    <xf numFmtId="0" fontId="30" fillId="2" borderId="21" xfId="78" applyFont="1" applyFill="1" applyBorder="1" applyAlignment="1">
      <alignment horizontal="center"/>
    </xf>
    <xf numFmtId="0" fontId="31" fillId="0" borderId="0" xfId="0" applyFont="1" applyFill="1" applyBorder="1" applyAlignment="1"/>
    <xf numFmtId="0" fontId="42" fillId="2" borderId="16" xfId="1" applyFont="1" applyFill="1" applyBorder="1"/>
    <xf numFmtId="0" fontId="43" fillId="0" borderId="0" xfId="0" applyFont="1" applyFill="1"/>
    <xf numFmtId="0" fontId="44" fillId="0" borderId="0" xfId="0" applyFont="1" applyFill="1"/>
    <xf numFmtId="0" fontId="44" fillId="0" borderId="0" xfId="0" applyFont="1" applyFill="1" applyBorder="1"/>
    <xf numFmtId="3" fontId="31" fillId="0" borderId="28" xfId="0" applyNumberFormat="1" applyFont="1" applyFill="1" applyBorder="1"/>
    <xf numFmtId="3" fontId="31" fillId="0" borderId="23" xfId="0" applyNumberFormat="1" applyFont="1" applyFill="1" applyBorder="1"/>
    <xf numFmtId="3" fontId="31" fillId="0" borderId="7" xfId="0" applyNumberFormat="1" applyFont="1" applyFill="1" applyBorder="1"/>
    <xf numFmtId="3" fontId="31" fillId="0" borderId="8" xfId="0" applyNumberFormat="1" applyFont="1" applyFill="1" applyBorder="1"/>
    <xf numFmtId="3" fontId="31" fillId="0" borderId="11" xfId="0" applyNumberFormat="1" applyFont="1" applyFill="1" applyBorder="1"/>
    <xf numFmtId="3" fontId="31" fillId="0" borderId="12" xfId="0" applyNumberFormat="1" applyFont="1" applyFill="1" applyBorder="1"/>
    <xf numFmtId="9" fontId="31" fillId="0" borderId="24" xfId="0" applyNumberFormat="1" applyFont="1" applyFill="1" applyBorder="1"/>
    <xf numFmtId="9" fontId="31" fillId="0" borderId="9" xfId="0" applyNumberFormat="1" applyFont="1" applyFill="1" applyBorder="1"/>
    <xf numFmtId="9" fontId="31" fillId="0" borderId="13" xfId="0" applyNumberFormat="1" applyFont="1" applyFill="1" applyBorder="1"/>
    <xf numFmtId="9" fontId="27" fillId="2" borderId="19" xfId="78" applyNumberFormat="1" applyFont="1" applyFill="1" applyBorder="1"/>
    <xf numFmtId="9" fontId="27" fillId="4" borderId="19" xfId="78" applyNumberFormat="1" applyFont="1" applyFill="1" applyBorder="1"/>
    <xf numFmtId="9" fontId="27" fillId="3" borderId="19" xfId="78" applyNumberFormat="1" applyFont="1" applyFill="1" applyBorder="1"/>
    <xf numFmtId="0" fontId="30" fillId="2" borderId="20" xfId="78" applyFont="1" applyFill="1" applyBorder="1" applyAlignment="1">
      <alignment horizontal="center"/>
    </xf>
    <xf numFmtId="49" fontId="36" fillId="2" borderId="8" xfId="0" applyNumberFormat="1" applyFont="1" applyFill="1" applyBorder="1" applyAlignment="1">
      <alignment horizontal="center" vertical="center"/>
    </xf>
    <xf numFmtId="0" fontId="31" fillId="0" borderId="0" xfId="0" applyFont="1" applyFill="1"/>
    <xf numFmtId="0" fontId="31" fillId="0" borderId="41" xfId="0" applyFont="1" applyFill="1" applyBorder="1" applyAlignment="1"/>
    <xf numFmtId="0" fontId="31" fillId="0" borderId="0" xfId="0" applyFont="1" applyFill="1" applyAlignment="1"/>
    <xf numFmtId="0" fontId="42" fillId="4" borderId="32" xfId="1" applyFont="1" applyFill="1" applyBorder="1"/>
    <xf numFmtId="0" fontId="42" fillId="4" borderId="16" xfId="1" applyFont="1" applyFill="1" applyBorder="1"/>
    <xf numFmtId="0" fontId="42" fillId="3" borderId="17" xfId="1" applyFont="1" applyFill="1" applyBorder="1"/>
    <xf numFmtId="0" fontId="45" fillId="0" borderId="0" xfId="0" applyFont="1" applyFill="1" applyBorder="1" applyAlignment="1">
      <alignment vertical="center"/>
    </xf>
    <xf numFmtId="0" fontId="45" fillId="0" borderId="0" xfId="0" applyFont="1" applyFill="1" applyAlignment="1">
      <alignment vertical="center"/>
    </xf>
    <xf numFmtId="0" fontId="31" fillId="2" borderId="28" xfId="0" applyFont="1" applyFill="1" applyBorder="1" applyAlignment="1">
      <alignment horizontal="center" vertical="center"/>
    </xf>
    <xf numFmtId="0" fontId="36" fillId="2" borderId="8" xfId="0" applyFont="1" applyFill="1" applyBorder="1" applyAlignment="1">
      <alignment horizontal="center" vertical="center"/>
    </xf>
    <xf numFmtId="0" fontId="31" fillId="2" borderId="24" xfId="0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 wrapText="1"/>
    </xf>
    <xf numFmtId="0" fontId="42" fillId="3" borderId="7" xfId="1" applyFont="1" applyFill="1" applyBorder="1"/>
    <xf numFmtId="0" fontId="42" fillId="3" borderId="3" xfId="1" applyFont="1" applyFill="1" applyBorder="1"/>
    <xf numFmtId="0" fontId="42" fillId="6" borderId="3" xfId="1" applyFont="1" applyFill="1" applyBorder="1"/>
    <xf numFmtId="0" fontId="42" fillId="6" borderId="45" xfId="1" applyFont="1" applyFill="1" applyBorder="1"/>
    <xf numFmtId="0" fontId="42" fillId="2" borderId="3" xfId="1" applyFont="1" applyFill="1" applyBorder="1"/>
    <xf numFmtId="0" fontId="31" fillId="0" borderId="0" xfId="0" applyFont="1"/>
    <xf numFmtId="0" fontId="31" fillId="0" borderId="0" xfId="0" applyFont="1" applyBorder="1" applyAlignment="1"/>
    <xf numFmtId="3" fontId="31" fillId="0" borderId="0" xfId="0" applyNumberFormat="1" applyFont="1"/>
    <xf numFmtId="9" fontId="31" fillId="0" borderId="0" xfId="0" applyNumberFormat="1" applyFont="1"/>
    <xf numFmtId="0" fontId="31" fillId="0" borderId="0" xfId="0" applyFont="1" applyBorder="1"/>
    <xf numFmtId="3" fontId="38" fillId="2" borderId="42" xfId="0" applyNumberFormat="1" applyFont="1" applyFill="1" applyBorder="1"/>
    <xf numFmtId="3" fontId="38" fillId="2" borderId="43" xfId="0" applyNumberFormat="1" applyFont="1" applyFill="1" applyBorder="1"/>
    <xf numFmtId="9" fontId="38" fillId="2" borderId="46" xfId="0" applyNumberFormat="1" applyFont="1" applyFill="1" applyBorder="1"/>
    <xf numFmtId="0" fontId="46" fillId="2" borderId="17" xfId="1" applyFont="1" applyFill="1" applyBorder="1" applyAlignment="1"/>
    <xf numFmtId="0" fontId="31" fillId="2" borderId="27" xfId="0" applyFont="1" applyFill="1" applyBorder="1" applyAlignment="1"/>
    <xf numFmtId="3" fontId="31" fillId="2" borderId="26" xfId="0" applyNumberFormat="1" applyFont="1" applyFill="1" applyBorder="1" applyAlignment="1"/>
    <xf numFmtId="9" fontId="31" fillId="2" borderId="19" xfId="0" applyNumberFormat="1" applyFont="1" applyFill="1" applyBorder="1" applyAlignment="1"/>
    <xf numFmtId="0" fontId="38" fillId="2" borderId="44" xfId="0" applyFont="1" applyFill="1" applyBorder="1" applyAlignment="1"/>
    <xf numFmtId="0" fontId="31" fillId="0" borderId="6" xfId="0" applyFont="1" applyBorder="1" applyAlignment="1"/>
    <xf numFmtId="3" fontId="31" fillId="0" borderId="4" xfId="0" applyNumberFormat="1" applyFont="1" applyBorder="1" applyAlignment="1"/>
    <xf numFmtId="9" fontId="31" fillId="0" borderId="9" xfId="0" applyNumberFormat="1" applyFont="1" applyBorder="1" applyAlignment="1"/>
    <xf numFmtId="0" fontId="28" fillId="2" borderId="33" xfId="1" applyFont="1" applyFill="1" applyBorder="1" applyAlignment="1">
      <alignment horizontal="left" indent="2"/>
    </xf>
    <xf numFmtId="0" fontId="31" fillId="0" borderId="10" xfId="0" applyFont="1" applyBorder="1" applyAlignment="1"/>
    <xf numFmtId="3" fontId="31" fillId="0" borderId="8" xfId="0" applyNumberFormat="1" applyFont="1" applyBorder="1" applyAlignment="1"/>
    <xf numFmtId="0" fontId="42" fillId="2" borderId="33" xfId="1" applyFont="1" applyFill="1" applyBorder="1" applyAlignment="1">
      <alignment horizontal="left" indent="4"/>
    </xf>
    <xf numFmtId="0" fontId="31" fillId="2" borderId="33" xfId="0" applyFont="1" applyFill="1" applyBorder="1" applyAlignment="1">
      <alignment horizontal="left" indent="2"/>
    </xf>
    <xf numFmtId="0" fontId="30" fillId="2" borderId="33" xfId="1" applyFont="1" applyFill="1" applyBorder="1" applyAlignment="1"/>
    <xf numFmtId="0" fontId="42" fillId="2" borderId="33" xfId="1" applyFont="1" applyFill="1" applyBorder="1" applyAlignment="1">
      <alignment horizontal="left" indent="2"/>
    </xf>
    <xf numFmtId="0" fontId="46" fillId="2" borderId="33" xfId="1" applyFont="1" applyFill="1" applyBorder="1" applyAlignment="1"/>
    <xf numFmtId="0" fontId="31" fillId="0" borderId="31" xfId="0" applyFont="1" applyBorder="1" applyAlignment="1"/>
    <xf numFmtId="3" fontId="31" fillId="0" borderId="22" xfId="0" applyNumberFormat="1" applyFont="1" applyBorder="1" applyAlignment="1"/>
    <xf numFmtId="9" fontId="31" fillId="0" borderId="21" xfId="0" applyNumberFormat="1" applyFont="1" applyBorder="1" applyAlignment="1"/>
    <xf numFmtId="0" fontId="38" fillId="0" borderId="35" xfId="0" applyFont="1" applyFill="1" applyBorder="1" applyAlignment="1">
      <alignment horizontal="left" indent="2"/>
    </xf>
    <xf numFmtId="0" fontId="31" fillId="0" borderId="35" xfId="0" applyFont="1" applyBorder="1" applyAlignment="1"/>
    <xf numFmtId="3" fontId="31" fillId="0" borderId="35" xfId="0" applyNumberFormat="1" applyFont="1" applyBorder="1" applyAlignment="1"/>
    <xf numFmtId="9" fontId="31" fillId="0" borderId="35" xfId="0" applyNumberFormat="1" applyFont="1" applyBorder="1" applyAlignment="1"/>
    <xf numFmtId="0" fontId="46" fillId="4" borderId="17" xfId="1" applyFont="1" applyFill="1" applyBorder="1" applyAlignment="1">
      <alignment horizontal="left"/>
    </xf>
    <xf numFmtId="0" fontId="31" fillId="4" borderId="27" xfId="0" applyFont="1" applyFill="1" applyBorder="1" applyAlignment="1"/>
    <xf numFmtId="3" fontId="31" fillId="4" borderId="26" xfId="0" applyNumberFormat="1" applyFont="1" applyFill="1" applyBorder="1" applyAlignment="1"/>
    <xf numFmtId="9" fontId="31" fillId="4" borderId="19" xfId="0" applyNumberFormat="1" applyFont="1" applyFill="1" applyBorder="1" applyAlignment="1"/>
    <xf numFmtId="0" fontId="46" fillId="4" borderId="44" xfId="1" applyFont="1" applyFill="1" applyBorder="1" applyAlignment="1">
      <alignment horizontal="left"/>
    </xf>
    <xf numFmtId="0" fontId="46" fillId="4" borderId="33" xfId="1" applyFont="1" applyFill="1" applyBorder="1" applyAlignment="1">
      <alignment horizontal="left"/>
    </xf>
    <xf numFmtId="0" fontId="31" fillId="4" borderId="34" xfId="0" applyFont="1" applyFill="1" applyBorder="1" applyAlignment="1">
      <alignment horizontal="left" indent="2"/>
    </xf>
    <xf numFmtId="0" fontId="38" fillId="0" borderId="0" xfId="0" applyFont="1" applyFill="1" applyBorder="1" applyAlignment="1"/>
    <xf numFmtId="0" fontId="31" fillId="0" borderId="0" xfId="0" applyFont="1" applyAlignment="1"/>
    <xf numFmtId="3" fontId="31" fillId="0" borderId="0" xfId="0" applyNumberFormat="1" applyFont="1" applyAlignment="1"/>
    <xf numFmtId="9" fontId="31" fillId="0" borderId="41" xfId="0" applyNumberFormat="1" applyFont="1" applyBorder="1" applyAlignment="1"/>
    <xf numFmtId="0" fontId="38" fillId="3" borderId="17" xfId="0" applyFont="1" applyFill="1" applyBorder="1" applyAlignment="1"/>
    <xf numFmtId="0" fontId="31" fillId="3" borderId="27" xfId="0" applyFont="1" applyFill="1" applyBorder="1" applyAlignment="1"/>
    <xf numFmtId="3" fontId="31" fillId="3" borderId="26" xfId="0" applyNumberFormat="1" applyFont="1" applyFill="1" applyBorder="1" applyAlignment="1"/>
    <xf numFmtId="9" fontId="31" fillId="3" borderId="19" xfId="0" applyNumberFormat="1" applyFont="1" applyFill="1" applyBorder="1" applyAlignment="1"/>
    <xf numFmtId="0" fontId="6" fillId="0" borderId="0" xfId="78" applyFont="1" applyFill="1"/>
    <xf numFmtId="0" fontId="47" fillId="0" borderId="35" xfId="78" applyFont="1" applyFill="1" applyBorder="1" applyAlignment="1"/>
    <xf numFmtId="3" fontId="0" fillId="0" borderId="0" xfId="0" applyNumberFormat="1"/>
    <xf numFmtId="3" fontId="0" fillId="7" borderId="49" xfId="0" applyNumberFormat="1" applyFont="1" applyFill="1" applyBorder="1"/>
    <xf numFmtId="3" fontId="49" fillId="8" borderId="50" xfId="0" applyNumberFormat="1" applyFont="1" applyFill="1" applyBorder="1"/>
    <xf numFmtId="3" fontId="49" fillId="8" borderId="49" xfId="0" applyNumberFormat="1" applyFont="1" applyFill="1" applyBorder="1"/>
    <xf numFmtId="0" fontId="50" fillId="0" borderId="0" xfId="1" applyFont="1" applyFill="1"/>
    <xf numFmtId="3" fontId="48" fillId="0" borderId="0" xfId="26" applyNumberFormat="1" applyFont="1" applyFill="1" applyBorder="1" applyAlignment="1"/>
    <xf numFmtId="3" fontId="38" fillId="2" borderId="53" xfId="0" applyNumberFormat="1" applyFont="1" applyFill="1" applyBorder="1" applyAlignment="1">
      <alignment horizontal="center" vertical="center"/>
    </xf>
    <xf numFmtId="0" fontId="38" fillId="2" borderId="54" xfId="0" applyFont="1" applyFill="1" applyBorder="1" applyAlignment="1">
      <alignment horizontal="center" vertical="center"/>
    </xf>
    <xf numFmtId="3" fontId="51" fillId="2" borderId="55" xfId="0" applyNumberFormat="1" applyFont="1" applyFill="1" applyBorder="1" applyAlignment="1">
      <alignment horizontal="center" vertical="center" wrapText="1"/>
    </xf>
    <xf numFmtId="0" fontId="51" fillId="2" borderId="56" xfId="0" applyFont="1" applyFill="1" applyBorder="1" applyAlignment="1">
      <alignment horizontal="center" vertical="center" wrapText="1"/>
    </xf>
    <xf numFmtId="0" fontId="38" fillId="2" borderId="57" xfId="0" applyFont="1" applyFill="1" applyBorder="1" applyAlignment="1"/>
    <xf numFmtId="0" fontId="38" fillId="2" borderId="59" xfId="0" applyFont="1" applyFill="1" applyBorder="1" applyAlignment="1">
      <alignment horizontal="left" indent="1"/>
    </xf>
    <xf numFmtId="0" fontId="38" fillId="2" borderId="64" xfId="0" applyFont="1" applyFill="1" applyBorder="1" applyAlignment="1">
      <alignment horizontal="left" indent="1"/>
    </xf>
    <xf numFmtId="0" fontId="38" fillId="4" borderId="57" xfId="0" applyFont="1" applyFill="1" applyBorder="1" applyAlignment="1"/>
    <xf numFmtId="0" fontId="38" fillId="4" borderId="59" xfId="0" applyFont="1" applyFill="1" applyBorder="1" applyAlignment="1">
      <alignment horizontal="left" indent="1"/>
    </xf>
    <xf numFmtId="0" fontId="38" fillId="4" borderId="68" xfId="0" applyFont="1" applyFill="1" applyBorder="1" applyAlignment="1">
      <alignment horizontal="left" indent="1"/>
    </xf>
    <xf numFmtId="0" fontId="31" fillId="2" borderId="59" xfId="0" quotePrefix="1" applyFont="1" applyFill="1" applyBorder="1" applyAlignment="1">
      <alignment horizontal="left" indent="2"/>
    </xf>
    <xf numFmtId="0" fontId="31" fillId="2" borderId="64" xfId="0" quotePrefix="1" applyFont="1" applyFill="1" applyBorder="1" applyAlignment="1">
      <alignment horizontal="left" indent="2"/>
    </xf>
    <xf numFmtId="0" fontId="38" fillId="2" borderId="57" xfId="0" applyFont="1" applyFill="1" applyBorder="1" applyAlignment="1">
      <alignment horizontal="left" indent="1"/>
    </xf>
    <xf numFmtId="0" fontId="38" fillId="2" borderId="68" xfId="0" applyFont="1" applyFill="1" applyBorder="1" applyAlignment="1">
      <alignment horizontal="left" indent="1"/>
    </xf>
    <xf numFmtId="0" fontId="38" fillId="4" borderId="64" xfId="0" applyFont="1" applyFill="1" applyBorder="1" applyAlignment="1">
      <alignment horizontal="left" indent="1"/>
    </xf>
    <xf numFmtId="0" fontId="31" fillId="0" borderId="73" xfId="0" applyFont="1" applyBorder="1"/>
    <xf numFmtId="3" fontId="31" fillId="0" borderId="73" xfId="0" applyNumberFormat="1" applyFont="1" applyBorder="1"/>
    <xf numFmtId="0" fontId="38" fillId="4" borderId="51" xfId="0" applyFont="1" applyFill="1" applyBorder="1" applyAlignment="1">
      <alignment horizontal="center" vertical="center"/>
    </xf>
    <xf numFmtId="0" fontId="38" fillId="4" borderId="47" xfId="0" applyFont="1" applyFill="1" applyBorder="1" applyAlignment="1">
      <alignment horizontal="center" vertical="center"/>
    </xf>
    <xf numFmtId="0" fontId="0" fillId="0" borderId="0" xfId="0" applyNumberFormat="1"/>
    <xf numFmtId="3" fontId="38" fillId="2" borderId="72" xfId="0" applyNumberFormat="1" applyFont="1" applyFill="1" applyBorder="1" applyAlignment="1">
      <alignment horizontal="center" vertical="center"/>
    </xf>
    <xf numFmtId="3" fontId="51" fillId="2" borderId="70" xfId="0" applyNumberFormat="1" applyFont="1" applyFill="1" applyBorder="1" applyAlignment="1">
      <alignment horizontal="center" vertical="center" wrapText="1"/>
    </xf>
    <xf numFmtId="173" fontId="38" fillId="4" borderId="58" xfId="0" applyNumberFormat="1" applyFont="1" applyFill="1" applyBorder="1" applyAlignment="1"/>
    <xf numFmtId="173" fontId="38" fillId="4" borderId="53" xfId="0" applyNumberFormat="1" applyFont="1" applyFill="1" applyBorder="1" applyAlignment="1"/>
    <xf numFmtId="173" fontId="38" fillId="4" borderId="54" xfId="0" applyNumberFormat="1" applyFont="1" applyFill="1" applyBorder="1" applyAlignment="1"/>
    <xf numFmtId="173" fontId="38" fillId="0" borderId="60" xfId="0" applyNumberFormat="1" applyFont="1" applyBorder="1"/>
    <xf numFmtId="173" fontId="31" fillId="0" borderId="63" xfId="0" applyNumberFormat="1" applyFont="1" applyBorder="1"/>
    <xf numFmtId="173" fontId="31" fillId="0" borderId="62" xfId="0" applyNumberFormat="1" applyFont="1" applyBorder="1"/>
    <xf numFmtId="173" fontId="38" fillId="0" borderId="69" xfId="0" applyNumberFormat="1" applyFont="1" applyBorder="1"/>
    <xf numFmtId="173" fontId="31" fillId="0" borderId="70" xfId="0" applyNumberFormat="1" applyFont="1" applyBorder="1"/>
    <xf numFmtId="173" fontId="31" fillId="0" borderId="56" xfId="0" applyNumberFormat="1" applyFont="1" applyBorder="1"/>
    <xf numFmtId="173" fontId="38" fillId="2" borderId="71" xfId="0" applyNumberFormat="1" applyFont="1" applyFill="1" applyBorder="1" applyAlignment="1"/>
    <xf numFmtId="173" fontId="38" fillId="2" borderId="53" xfId="0" applyNumberFormat="1" applyFont="1" applyFill="1" applyBorder="1" applyAlignment="1"/>
    <xf numFmtId="173" fontId="38" fillId="2" borderId="54" xfId="0" applyNumberFormat="1" applyFont="1" applyFill="1" applyBorder="1" applyAlignment="1"/>
    <xf numFmtId="173" fontId="38" fillId="0" borderId="65" xfId="0" applyNumberFormat="1" applyFont="1" applyBorder="1"/>
    <xf numFmtId="173" fontId="31" fillId="0" borderId="66" xfId="0" applyNumberFormat="1" applyFont="1" applyBorder="1"/>
    <xf numFmtId="173" fontId="31" fillId="0" borderId="67" xfId="0" applyNumberFormat="1" applyFont="1" applyBorder="1"/>
    <xf numFmtId="173" fontId="38" fillId="0" borderId="58" xfId="0" applyNumberFormat="1" applyFont="1" applyBorder="1"/>
    <xf numFmtId="173" fontId="31" fillId="0" borderId="72" xfId="0" applyNumberFormat="1" applyFont="1" applyBorder="1"/>
    <xf numFmtId="173" fontId="31" fillId="0" borderId="54" xfId="0" applyNumberFormat="1" applyFont="1" applyBorder="1"/>
    <xf numFmtId="174" fontId="38" fillId="2" borderId="58" xfId="0" applyNumberFormat="1" applyFont="1" applyFill="1" applyBorder="1" applyAlignment="1"/>
    <xf numFmtId="174" fontId="31" fillId="2" borderId="53" xfId="0" applyNumberFormat="1" applyFont="1" applyFill="1" applyBorder="1" applyAlignment="1"/>
    <xf numFmtId="174" fontId="31" fillId="2" borderId="54" xfId="0" applyNumberFormat="1" applyFont="1" applyFill="1" applyBorder="1" applyAlignment="1"/>
    <xf numFmtId="174" fontId="38" fillId="0" borderId="60" xfId="0" applyNumberFormat="1" applyFont="1" applyBorder="1"/>
    <xf numFmtId="174" fontId="31" fillId="0" borderId="61" xfId="0" applyNumberFormat="1" applyFont="1" applyBorder="1"/>
    <xf numFmtId="174" fontId="31" fillId="0" borderId="62" xfId="0" applyNumberFormat="1" applyFont="1" applyBorder="1"/>
    <xf numFmtId="174" fontId="31" fillId="0" borderId="63" xfId="0" applyNumberFormat="1" applyFont="1" applyBorder="1"/>
    <xf numFmtId="174" fontId="38" fillId="0" borderId="65" xfId="0" applyNumberFormat="1" applyFont="1" applyBorder="1"/>
    <xf numFmtId="174" fontId="31" fillId="0" borderId="66" xfId="0" applyNumberFormat="1" applyFont="1" applyBorder="1"/>
    <xf numFmtId="174" fontId="31" fillId="0" borderId="67" xfId="0" applyNumberFormat="1" applyFont="1" applyBorder="1"/>
    <xf numFmtId="0" fontId="53" fillId="0" borderId="0" xfId="0" applyFont="1" applyAlignment="1">
      <alignment horizontal="left" vertical="center" indent="1"/>
    </xf>
    <xf numFmtId="0" fontId="53" fillId="0" borderId="0" xfId="0" applyFont="1" applyAlignment="1">
      <alignment vertical="center"/>
    </xf>
    <xf numFmtId="0" fontId="0" fillId="0" borderId="0" xfId="0" applyAlignment="1"/>
    <xf numFmtId="0" fontId="54" fillId="0" borderId="0" xfId="0" applyFont="1"/>
    <xf numFmtId="173" fontId="38" fillId="4" borderId="58" xfId="0" applyNumberFormat="1" applyFont="1" applyFill="1" applyBorder="1" applyAlignment="1">
      <alignment horizontal="center"/>
    </xf>
    <xf numFmtId="175" fontId="38" fillId="0" borderId="65" xfId="0" applyNumberFormat="1" applyFont="1" applyBorder="1"/>
    <xf numFmtId="9" fontId="38" fillId="0" borderId="60" xfId="0" applyNumberFormat="1" applyFont="1" applyBorder="1"/>
    <xf numFmtId="9" fontId="31" fillId="0" borderId="63" xfId="0" applyNumberFormat="1" applyFont="1" applyBorder="1"/>
    <xf numFmtId="9" fontId="31" fillId="0" borderId="62" xfId="0" applyNumberFormat="1" applyFont="1" applyBorder="1"/>
    <xf numFmtId="0" fontId="38" fillId="3" borderId="25" xfId="0" applyFont="1" applyFill="1" applyBorder="1" applyAlignment="1"/>
    <xf numFmtId="0" fontId="31" fillId="0" borderId="36" xfId="0" applyFont="1" applyBorder="1" applyAlignment="1"/>
    <xf numFmtId="0" fontId="38" fillId="2" borderId="25" xfId="0" applyFont="1" applyFill="1" applyBorder="1" applyAlignment="1"/>
    <xf numFmtId="0" fontId="38" fillId="4" borderId="25" xfId="0" applyFont="1" applyFill="1" applyBorder="1" applyAlignment="1"/>
    <xf numFmtId="0" fontId="40" fillId="0" borderId="1" xfId="0" applyFont="1" applyFill="1" applyBorder="1" applyAlignment="1"/>
    <xf numFmtId="0" fontId="40" fillId="0" borderId="1" xfId="0" applyFont="1" applyBorder="1" applyAlignment="1"/>
    <xf numFmtId="0" fontId="29" fillId="5" borderId="15" xfId="78" applyFont="1" applyFill="1" applyBorder="1" applyAlignment="1">
      <alignment horizontal="center" vertical="center"/>
    </xf>
    <xf numFmtId="0" fontId="39" fillId="0" borderId="2" xfId="0" applyFont="1" applyBorder="1" applyAlignment="1">
      <alignment horizontal="center" vertical="center"/>
    </xf>
    <xf numFmtId="0" fontId="30" fillId="2" borderId="39" xfId="78" applyFont="1" applyFill="1" applyBorder="1" applyAlignment="1">
      <alignment horizontal="center"/>
    </xf>
    <xf numFmtId="0" fontId="30" fillId="2" borderId="40" xfId="78" applyFont="1" applyFill="1" applyBorder="1" applyAlignment="1">
      <alignment horizontal="center"/>
    </xf>
    <xf numFmtId="0" fontId="30" fillId="2" borderId="37" xfId="78" applyFont="1" applyFill="1" applyBorder="1" applyAlignment="1">
      <alignment horizontal="center"/>
    </xf>
    <xf numFmtId="0" fontId="30" fillId="2" borderId="48" xfId="78" applyFont="1" applyFill="1" applyBorder="1" applyAlignment="1">
      <alignment horizontal="center"/>
    </xf>
    <xf numFmtId="0" fontId="30" fillId="2" borderId="38" xfId="78" applyFont="1" applyFill="1" applyBorder="1" applyAlignment="1">
      <alignment horizontal="center"/>
    </xf>
    <xf numFmtId="0" fontId="2" fillId="0" borderId="1" xfId="0" applyFont="1" applyFill="1" applyBorder="1" applyAlignment="1"/>
    <xf numFmtId="0" fontId="37" fillId="2" borderId="23" xfId="0" applyFont="1" applyFill="1" applyBorder="1" applyAlignment="1">
      <alignment horizontal="center" vertical="center"/>
    </xf>
    <xf numFmtId="0" fontId="31" fillId="2" borderId="28" xfId="0" applyFont="1" applyFill="1" applyBorder="1" applyAlignment="1">
      <alignment horizontal="center" vertical="center"/>
    </xf>
    <xf numFmtId="0" fontId="36" fillId="2" borderId="8" xfId="0" applyFont="1" applyFill="1" applyBorder="1" applyAlignment="1">
      <alignment horizontal="center" vertical="center"/>
    </xf>
    <xf numFmtId="0" fontId="31" fillId="2" borderId="9" xfId="0" applyFont="1" applyFill="1" applyBorder="1" applyAlignment="1">
      <alignment horizontal="center" vertical="center"/>
    </xf>
    <xf numFmtId="0" fontId="4" fillId="0" borderId="1" xfId="0" applyFont="1" applyFill="1" applyBorder="1" applyAlignment="1"/>
    <xf numFmtId="0" fontId="31" fillId="2" borderId="7" xfId="0" applyFont="1" applyFill="1" applyBorder="1" applyAlignment="1">
      <alignment horizontal="center" vertical="center"/>
    </xf>
    <xf numFmtId="0" fontId="31" fillId="2" borderId="8" xfId="0" applyFont="1" applyFill="1" applyBorder="1" applyAlignment="1">
      <alignment horizontal="center" vertical="center"/>
    </xf>
    <xf numFmtId="0" fontId="37" fillId="2" borderId="28" xfId="0" applyFont="1" applyFill="1" applyBorder="1" applyAlignment="1">
      <alignment horizontal="center" vertical="center"/>
    </xf>
    <xf numFmtId="0" fontId="31" fillId="2" borderId="24" xfId="0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 wrapText="1"/>
    </xf>
    <xf numFmtId="0" fontId="31" fillId="2" borderId="22" xfId="0" applyFont="1" applyFill="1" applyBorder="1" applyAlignment="1">
      <alignment horizontal="center" vertical="center" wrapText="1"/>
    </xf>
    <xf numFmtId="0" fontId="35" fillId="2" borderId="8" xfId="0" applyFont="1" applyFill="1" applyBorder="1" applyAlignment="1">
      <alignment horizontal="center" vertical="center" wrapText="1"/>
    </xf>
    <xf numFmtId="0" fontId="35" fillId="2" borderId="9" xfId="0" applyFont="1" applyFill="1" applyBorder="1" applyAlignment="1">
      <alignment horizontal="center" vertical="center" wrapText="1"/>
    </xf>
    <xf numFmtId="0" fontId="31" fillId="2" borderId="21" xfId="0" applyFont="1" applyFill="1" applyBorder="1" applyAlignment="1">
      <alignment horizontal="center" vertical="center" wrapText="1"/>
    </xf>
    <xf numFmtId="0" fontId="0" fillId="0" borderId="1" xfId="0" applyBorder="1" applyAlignment="1"/>
    <xf numFmtId="0" fontId="2" fillId="0" borderId="1" xfId="26" applyFont="1" applyFill="1" applyBorder="1" applyAlignment="1"/>
    <xf numFmtId="166" fontId="38" fillId="2" borderId="52" xfId="0" applyNumberFormat="1" applyFont="1" applyFill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3" fontId="32" fillId="9" borderId="78" xfId="0" applyNumberFormat="1" applyFont="1" applyFill="1" applyBorder="1" applyAlignment="1">
      <alignment horizontal="right" vertical="top"/>
    </xf>
    <xf numFmtId="3" fontId="32" fillId="9" borderId="79" xfId="0" applyNumberFormat="1" applyFont="1" applyFill="1" applyBorder="1" applyAlignment="1">
      <alignment horizontal="right" vertical="top"/>
    </xf>
    <xf numFmtId="176" fontId="32" fillId="9" borderId="80" xfId="0" applyNumberFormat="1" applyFont="1" applyFill="1" applyBorder="1" applyAlignment="1">
      <alignment horizontal="right" vertical="top"/>
    </xf>
    <xf numFmtId="3" fontId="32" fillId="0" borderId="78" xfId="0" applyNumberFormat="1" applyFont="1" applyBorder="1" applyAlignment="1">
      <alignment horizontal="right" vertical="top"/>
    </xf>
    <xf numFmtId="176" fontId="32" fillId="9" borderId="81" xfId="0" applyNumberFormat="1" applyFont="1" applyFill="1" applyBorder="1" applyAlignment="1">
      <alignment horizontal="right" vertical="top"/>
    </xf>
    <xf numFmtId="3" fontId="34" fillId="9" borderId="83" xfId="0" applyNumberFormat="1" applyFont="1" applyFill="1" applyBorder="1" applyAlignment="1">
      <alignment horizontal="right" vertical="top"/>
    </xf>
    <xf numFmtId="3" fontId="34" fillId="9" borderId="84" xfId="0" applyNumberFormat="1" applyFont="1" applyFill="1" applyBorder="1" applyAlignment="1">
      <alignment horizontal="right" vertical="top"/>
    </xf>
    <xf numFmtId="176" fontId="34" fillId="9" borderId="85" xfId="0" applyNumberFormat="1" applyFont="1" applyFill="1" applyBorder="1" applyAlignment="1">
      <alignment horizontal="right" vertical="top"/>
    </xf>
    <xf numFmtId="3" fontId="34" fillId="0" borderId="83" xfId="0" applyNumberFormat="1" applyFont="1" applyBorder="1" applyAlignment="1">
      <alignment horizontal="right" vertical="top"/>
    </xf>
    <xf numFmtId="176" fontId="34" fillId="9" borderId="86" xfId="0" applyNumberFormat="1" applyFont="1" applyFill="1" applyBorder="1" applyAlignment="1">
      <alignment horizontal="right" vertical="top"/>
    </xf>
    <xf numFmtId="0" fontId="32" fillId="9" borderId="81" xfId="0" applyFont="1" applyFill="1" applyBorder="1" applyAlignment="1">
      <alignment horizontal="right" vertical="top"/>
    </xf>
    <xf numFmtId="0" fontId="32" fillId="9" borderId="80" xfId="0" applyFont="1" applyFill="1" applyBorder="1" applyAlignment="1">
      <alignment horizontal="right" vertical="top"/>
    </xf>
    <xf numFmtId="0" fontId="34" fillId="9" borderId="86" xfId="0" applyFont="1" applyFill="1" applyBorder="1" applyAlignment="1">
      <alignment horizontal="right" vertical="top"/>
    </xf>
    <xf numFmtId="0" fontId="34" fillId="9" borderId="85" xfId="0" applyFont="1" applyFill="1" applyBorder="1" applyAlignment="1">
      <alignment horizontal="right" vertical="top"/>
    </xf>
    <xf numFmtId="3" fontId="34" fillId="0" borderId="87" xfId="0" applyNumberFormat="1" applyFont="1" applyBorder="1" applyAlignment="1">
      <alignment horizontal="right" vertical="top"/>
    </xf>
    <xf numFmtId="3" fontId="34" fillId="0" borderId="88" xfId="0" applyNumberFormat="1" applyFont="1" applyBorder="1" applyAlignment="1">
      <alignment horizontal="right" vertical="top"/>
    </xf>
    <xf numFmtId="3" fontId="34" fillId="0" borderId="89" xfId="0" applyNumberFormat="1" applyFont="1" applyBorder="1" applyAlignment="1">
      <alignment horizontal="right" vertical="top"/>
    </xf>
    <xf numFmtId="176" fontId="34" fillId="9" borderId="90" xfId="0" applyNumberFormat="1" applyFont="1" applyFill="1" applyBorder="1" applyAlignment="1">
      <alignment horizontal="right" vertical="top"/>
    </xf>
    <xf numFmtId="0" fontId="36" fillId="10" borderId="77" xfId="0" applyFont="1" applyFill="1" applyBorder="1" applyAlignment="1">
      <alignment vertical="top"/>
    </xf>
    <xf numFmtId="0" fontId="36" fillId="10" borderId="77" xfId="0" applyFont="1" applyFill="1" applyBorder="1" applyAlignment="1">
      <alignment vertical="top" indent="2"/>
    </xf>
    <xf numFmtId="0" fontId="36" fillId="10" borderId="77" xfId="0" applyFont="1" applyFill="1" applyBorder="1" applyAlignment="1">
      <alignment vertical="top" indent="4"/>
    </xf>
    <xf numFmtId="0" fontId="37" fillId="10" borderId="82" xfId="0" applyFont="1" applyFill="1" applyBorder="1" applyAlignment="1">
      <alignment vertical="top" indent="6"/>
    </xf>
    <xf numFmtId="0" fontId="36" fillId="10" borderId="77" xfId="0" applyFont="1" applyFill="1" applyBorder="1" applyAlignment="1">
      <alignment vertical="top" indent="8"/>
    </xf>
    <xf numFmtId="0" fontId="37" fillId="10" borderId="82" xfId="0" applyFont="1" applyFill="1" applyBorder="1" applyAlignment="1">
      <alignment vertical="top" indent="2"/>
    </xf>
    <xf numFmtId="0" fontId="36" fillId="10" borderId="77" xfId="0" applyFont="1" applyFill="1" applyBorder="1" applyAlignment="1">
      <alignment vertical="top" indent="6"/>
    </xf>
    <xf numFmtId="0" fontId="37" fillId="10" borderId="82" xfId="0" applyFont="1" applyFill="1" applyBorder="1" applyAlignment="1">
      <alignment vertical="top" indent="4"/>
    </xf>
    <xf numFmtId="0" fontId="31" fillId="10" borderId="77" xfId="0" applyFont="1" applyFill="1" applyBorder="1"/>
    <xf numFmtId="0" fontId="37" fillId="10" borderId="17" xfId="0" applyFont="1" applyFill="1" applyBorder="1" applyAlignment="1">
      <alignment vertical="top"/>
    </xf>
    <xf numFmtId="173" fontId="38" fillId="4" borderId="91" xfId="0" applyNumberFormat="1" applyFont="1" applyFill="1" applyBorder="1" applyAlignment="1">
      <alignment horizontal="center"/>
    </xf>
    <xf numFmtId="173" fontId="38" fillId="4" borderId="92" xfId="0" applyNumberFormat="1" applyFont="1" applyFill="1" applyBorder="1" applyAlignment="1">
      <alignment horizontal="center"/>
    </xf>
    <xf numFmtId="173" fontId="31" fillId="0" borderId="93" xfId="0" applyNumberFormat="1" applyFont="1" applyBorder="1" applyAlignment="1">
      <alignment horizontal="right"/>
    </xf>
    <xf numFmtId="173" fontId="31" fillId="0" borderId="94" xfId="0" applyNumberFormat="1" applyFont="1" applyBorder="1" applyAlignment="1">
      <alignment horizontal="right"/>
    </xf>
    <xf numFmtId="173" fontId="31" fillId="0" borderId="94" xfId="0" applyNumberFormat="1" applyFont="1" applyBorder="1" applyAlignment="1">
      <alignment horizontal="right" wrapText="1"/>
    </xf>
    <xf numFmtId="175" fontId="31" fillId="0" borderId="93" xfId="0" applyNumberFormat="1" applyFont="1" applyBorder="1" applyAlignment="1">
      <alignment horizontal="right"/>
    </xf>
    <xf numFmtId="175" fontId="31" fillId="0" borderId="94" xfId="0" applyNumberFormat="1" applyFont="1" applyBorder="1" applyAlignment="1">
      <alignment horizontal="right"/>
    </xf>
    <xf numFmtId="173" fontId="31" fillId="0" borderId="95" xfId="0" applyNumberFormat="1" applyFont="1" applyBorder="1" applyAlignment="1">
      <alignment horizontal="right"/>
    </xf>
    <xf numFmtId="173" fontId="31" fillId="0" borderId="96" xfId="0" applyNumberFormat="1" applyFont="1" applyBorder="1" applyAlignment="1">
      <alignment horizontal="right"/>
    </xf>
    <xf numFmtId="0" fontId="38" fillId="2" borderId="76" xfId="0" applyFont="1" applyFill="1" applyBorder="1" applyAlignment="1">
      <alignment horizontal="center" vertical="center"/>
    </xf>
    <xf numFmtId="0" fontId="51" fillId="2" borderId="75" xfId="0" applyFont="1" applyFill="1" applyBorder="1" applyAlignment="1">
      <alignment horizontal="center" vertical="center" wrapText="1"/>
    </xf>
    <xf numFmtId="174" fontId="31" fillId="2" borderId="76" xfId="0" applyNumberFormat="1" applyFont="1" applyFill="1" applyBorder="1" applyAlignment="1"/>
    <xf numFmtId="174" fontId="31" fillId="0" borderId="74" xfId="0" applyNumberFormat="1" applyFont="1" applyBorder="1"/>
    <xf numFmtId="174" fontId="31" fillId="0" borderId="97" xfId="0" applyNumberFormat="1" applyFont="1" applyBorder="1"/>
    <xf numFmtId="173" fontId="38" fillId="4" borderId="76" xfId="0" applyNumberFormat="1" applyFont="1" applyFill="1" applyBorder="1" applyAlignment="1"/>
    <xf numFmtId="173" fontId="31" fillId="0" borderId="74" xfId="0" applyNumberFormat="1" applyFont="1" applyBorder="1"/>
    <xf numFmtId="173" fontId="31" fillId="0" borderId="75" xfId="0" applyNumberFormat="1" applyFont="1" applyBorder="1"/>
    <xf numFmtId="173" fontId="38" fillId="2" borderId="76" xfId="0" applyNumberFormat="1" applyFont="1" applyFill="1" applyBorder="1" applyAlignment="1"/>
    <xf numFmtId="173" fontId="31" fillId="0" borderId="97" xfId="0" applyNumberFormat="1" applyFont="1" applyBorder="1"/>
    <xf numFmtId="173" fontId="31" fillId="0" borderId="76" xfId="0" applyNumberFormat="1" applyFont="1" applyBorder="1"/>
    <xf numFmtId="9" fontId="31" fillId="0" borderId="74" xfId="0" applyNumberFormat="1" applyFont="1" applyBorder="1"/>
    <xf numFmtId="173" fontId="38" fillId="4" borderId="98" xfId="0" applyNumberFormat="1" applyFont="1" applyFill="1" applyBorder="1" applyAlignment="1">
      <alignment horizontal="center"/>
    </xf>
    <xf numFmtId="173" fontId="31" fillId="0" borderId="99" xfId="0" applyNumberFormat="1" applyFont="1" applyBorder="1" applyAlignment="1">
      <alignment horizontal="right"/>
    </xf>
    <xf numFmtId="175" fontId="31" fillId="0" borderId="99" xfId="0" applyNumberFormat="1" applyFont="1" applyBorder="1" applyAlignment="1">
      <alignment horizontal="right"/>
    </xf>
    <xf numFmtId="173" fontId="31" fillId="0" borderId="100" xfId="0" applyNumberFormat="1" applyFont="1" applyBorder="1" applyAlignment="1">
      <alignment horizontal="right"/>
    </xf>
    <xf numFmtId="0" fontId="0" fillId="0" borderId="14" xfId="0" applyBorder="1"/>
    <xf numFmtId="173" fontId="38" fillId="4" borderId="32" xfId="0" applyNumberFormat="1" applyFont="1" applyFill="1" applyBorder="1" applyAlignment="1">
      <alignment horizontal="center"/>
    </xf>
    <xf numFmtId="173" fontId="31" fillId="0" borderId="59" xfId="0" applyNumberFormat="1" applyFont="1" applyBorder="1" applyAlignment="1">
      <alignment horizontal="right"/>
    </xf>
    <xf numFmtId="175" fontId="31" fillId="0" borderId="59" xfId="0" applyNumberFormat="1" applyFont="1" applyBorder="1" applyAlignment="1">
      <alignment horizontal="right"/>
    </xf>
    <xf numFmtId="173" fontId="31" fillId="0" borderId="68" xfId="0" applyNumberFormat="1" applyFont="1" applyBorder="1" applyAlignment="1">
      <alignment horizontal="right"/>
    </xf>
  </cellXfs>
  <cellStyles count="95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4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Manažerské tabulky" xfId="78"/>
    <cellStyle name="normální_Sestava hospodaření" xfId="79"/>
    <cellStyle name="Procenta 10" xfId="80"/>
    <cellStyle name="Procenta 11" xfId="81"/>
    <cellStyle name="Procenta 2" xfId="82"/>
    <cellStyle name="Procenta 2 2" xfId="83"/>
    <cellStyle name="Procenta 2 2 2" xfId="84"/>
    <cellStyle name="Procenta 2 3" xfId="85"/>
    <cellStyle name="Procenta 3" xfId="86"/>
    <cellStyle name="Procenta 3 2" xfId="87"/>
    <cellStyle name="Procenta 4" xfId="88"/>
    <cellStyle name="Procenta 5" xfId="89"/>
    <cellStyle name="Procenta 6" xfId="90"/>
    <cellStyle name="Procenta 7" xfId="91"/>
    <cellStyle name="Procenta 8" xfId="92"/>
    <cellStyle name="Procenta 9" xfId="93"/>
  </cellStyles>
  <dxfs count="16"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12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93" bestFit="1" customWidth="1"/>
    <col min="2" max="2" width="102.21875" style="93" bestFit="1" customWidth="1"/>
    <col min="3" max="3" width="16.109375" style="42" hidden="1" customWidth="1"/>
    <col min="4" max="16384" width="8.88671875" style="93"/>
  </cols>
  <sheetData>
    <row r="1" spans="1:3" ht="18.600000000000001" customHeight="1" thickBot="1" x14ac:dyDescent="0.4">
      <c r="A1" s="227" t="s">
        <v>50</v>
      </c>
      <c r="B1" s="227"/>
    </row>
    <row r="2" spans="1:3" ht="14.4" customHeight="1" thickBot="1" x14ac:dyDescent="0.35">
      <c r="A2" s="162" t="s">
        <v>170</v>
      </c>
      <c r="B2" s="41"/>
    </row>
    <row r="3" spans="1:3" ht="14.4" customHeight="1" thickBot="1" x14ac:dyDescent="0.35">
      <c r="A3" s="223" t="s">
        <v>59</v>
      </c>
      <c r="B3" s="224"/>
    </row>
    <row r="4" spans="1:3" ht="14.4" customHeight="1" x14ac:dyDescent="0.3">
      <c r="A4" s="105" t="str">
        <f t="shared" ref="A4:A7" si="0">HYPERLINK("#'"&amp;C4&amp;"'!A1",C4)</f>
        <v>Motivace</v>
      </c>
      <c r="B4" s="60" t="s">
        <v>56</v>
      </c>
      <c r="C4" s="42" t="s">
        <v>57</v>
      </c>
    </row>
    <row r="5" spans="1:3" ht="14.4" customHeight="1" x14ac:dyDescent="0.3">
      <c r="A5" s="106" t="str">
        <f t="shared" si="0"/>
        <v>HI</v>
      </c>
      <c r="B5" s="61" t="s">
        <v>58</v>
      </c>
      <c r="C5" s="42" t="s">
        <v>53</v>
      </c>
    </row>
    <row r="6" spans="1:3" ht="14.4" customHeight="1" x14ac:dyDescent="0.3">
      <c r="A6" s="107" t="str">
        <f t="shared" si="0"/>
        <v>Man Tab</v>
      </c>
      <c r="B6" s="62" t="s">
        <v>172</v>
      </c>
      <c r="C6" s="42" t="s">
        <v>54</v>
      </c>
    </row>
    <row r="7" spans="1:3" ht="14.4" customHeight="1" thickBot="1" x14ac:dyDescent="0.35">
      <c r="A7" s="108" t="str">
        <f t="shared" si="0"/>
        <v>HV</v>
      </c>
      <c r="B7" s="63" t="s">
        <v>34</v>
      </c>
      <c r="C7" s="42" t="s">
        <v>39</v>
      </c>
    </row>
    <row r="8" spans="1:3" ht="14.4" customHeight="1" thickBot="1" x14ac:dyDescent="0.35">
      <c r="A8" s="64"/>
      <c r="B8" s="64"/>
    </row>
    <row r="9" spans="1:3" ht="14.4" customHeight="1" thickBot="1" x14ac:dyDescent="0.35">
      <c r="A9" s="225" t="s">
        <v>51</v>
      </c>
      <c r="B9" s="224"/>
    </row>
    <row r="10" spans="1:3" ht="14.4" customHeight="1" thickBot="1" x14ac:dyDescent="0.35">
      <c r="A10" s="109" t="str">
        <f t="shared" ref="A10" si="1">HYPERLINK("#'"&amp;C10&amp;"'!A1",C10)</f>
        <v>Osobní náklady</v>
      </c>
      <c r="B10" s="62" t="s">
        <v>48</v>
      </c>
      <c r="C10" s="42" t="s">
        <v>55</v>
      </c>
    </row>
    <row r="11" spans="1:3" ht="14.4" customHeight="1" thickBot="1" x14ac:dyDescent="0.35">
      <c r="A11" s="65"/>
      <c r="B11" s="65"/>
    </row>
    <row r="12" spans="1:3" ht="14.4" customHeight="1" thickBot="1" x14ac:dyDescent="0.35">
      <c r="A12" s="226" t="s">
        <v>52</v>
      </c>
      <c r="B12" s="224"/>
    </row>
  </sheetData>
  <mergeCells count="4">
    <mergeCell ref="A3:B3"/>
    <mergeCell ref="A9:B9"/>
    <mergeCell ref="A12:B12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19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10" bestFit="1" customWidth="1"/>
    <col min="2" max="2" width="11.6640625" style="110" hidden="1" customWidth="1"/>
    <col min="3" max="4" width="11" style="112" customWidth="1"/>
    <col min="5" max="5" width="11" style="113" customWidth="1"/>
    <col min="6" max="16384" width="8.88671875" style="110"/>
  </cols>
  <sheetData>
    <row r="1" spans="1:5" ht="18.600000000000001" thickBot="1" x14ac:dyDescent="0.4">
      <c r="A1" s="227" t="s">
        <v>56</v>
      </c>
      <c r="B1" s="227"/>
      <c r="C1" s="228"/>
      <c r="D1" s="228"/>
      <c r="E1" s="228"/>
    </row>
    <row r="2" spans="1:5" ht="14.4" customHeight="1" thickBot="1" x14ac:dyDescent="0.35">
      <c r="A2" s="162" t="s">
        <v>170</v>
      </c>
      <c r="B2" s="111"/>
    </row>
    <row r="3" spans="1:5" ht="14.4" customHeight="1" thickBot="1" x14ac:dyDescent="0.35">
      <c r="A3" s="114"/>
      <c r="C3" s="115" t="s">
        <v>49</v>
      </c>
      <c r="D3" s="116" t="s">
        <v>42</v>
      </c>
      <c r="E3" s="117" t="s">
        <v>44</v>
      </c>
    </row>
    <row r="4" spans="1:5" ht="14.4" customHeight="1" thickBot="1" x14ac:dyDescent="0.35">
      <c r="A4" s="118" t="str">
        <f>HYPERLINK("#HI!A1","NÁKLADY CELKEM (v tisících Kč)")</f>
        <v>NÁKLADY CELKEM (v tisících Kč)</v>
      </c>
      <c r="B4" s="119"/>
      <c r="C4" s="120">
        <f ca="1">IF(ISERROR(VLOOKUP("Náklady celkem",INDIRECT("HI!$A:$G"),6,0)),0,VLOOKUP("Náklady celkem",INDIRECT("HI!$A:$G"),6,0))</f>
        <v>640.87883765156835</v>
      </c>
      <c r="D4" s="120">
        <f ca="1">IF(ISERROR(VLOOKUP("Náklady celkem",INDIRECT("HI!$A:$G"),5,0)),0,VLOOKUP("Náklady celkem",INDIRECT("HI!$A:$G"),5,0))</f>
        <v>614.31597000000102</v>
      </c>
      <c r="E4" s="121">
        <f ca="1">IF(C4=0,0,D4/C4)</f>
        <v>0.95855243442129545</v>
      </c>
    </row>
    <row r="5" spans="1:5" ht="14.4" customHeight="1" x14ac:dyDescent="0.3">
      <c r="A5" s="122" t="s">
        <v>61</v>
      </c>
      <c r="B5" s="123"/>
      <c r="C5" s="124"/>
      <c r="D5" s="124"/>
      <c r="E5" s="125"/>
    </row>
    <row r="6" spans="1:5" ht="14.4" customHeight="1" x14ac:dyDescent="0.3">
      <c r="A6" s="126" t="s">
        <v>66</v>
      </c>
      <c r="B6" s="127"/>
      <c r="C6" s="128"/>
      <c r="D6" s="128"/>
      <c r="E6" s="125"/>
    </row>
    <row r="7" spans="1:5" ht="14.4" customHeight="1" x14ac:dyDescent="0.3">
      <c r="A7" s="12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27" t="s">
        <v>53</v>
      </c>
      <c r="C7" s="128">
        <f>IF(ISERROR(HI!F5),"",HI!F5)</f>
        <v>0</v>
      </c>
      <c r="D7" s="128">
        <f>IF(ISERROR(HI!E5),"",HI!E5)</f>
        <v>0</v>
      </c>
      <c r="E7" s="125">
        <f t="shared" ref="E7:E11" si="0">IF(C7=0,0,D7/C7)</f>
        <v>0</v>
      </c>
    </row>
    <row r="8" spans="1:5" ht="14.4" customHeight="1" x14ac:dyDescent="0.3">
      <c r="A8" s="130" t="s">
        <v>62</v>
      </c>
      <c r="B8" s="127"/>
      <c r="C8" s="128"/>
      <c r="D8" s="128"/>
      <c r="E8" s="125"/>
    </row>
    <row r="9" spans="1:5" ht="14.4" customHeight="1" x14ac:dyDescent="0.3">
      <c r="A9" s="130" t="s">
        <v>63</v>
      </c>
      <c r="B9" s="127"/>
      <c r="C9" s="128"/>
      <c r="D9" s="128"/>
      <c r="E9" s="125"/>
    </row>
    <row r="10" spans="1:5" ht="14.4" customHeight="1" x14ac:dyDescent="0.3">
      <c r="A10" s="131" t="s">
        <v>67</v>
      </c>
      <c r="B10" s="127"/>
      <c r="C10" s="124"/>
      <c r="D10" s="124"/>
      <c r="E10" s="125"/>
    </row>
    <row r="11" spans="1:5" ht="14.4" customHeight="1" x14ac:dyDescent="0.3">
      <c r="A11" s="13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1" s="127" t="s">
        <v>53</v>
      </c>
      <c r="C11" s="128">
        <f>IF(ISERROR(HI!F6),"",HI!F6)</f>
        <v>0</v>
      </c>
      <c r="D11" s="128">
        <f>IF(ISERROR(HI!E6),"",HI!E6)</f>
        <v>0</v>
      </c>
      <c r="E11" s="125">
        <f t="shared" si="0"/>
        <v>0</v>
      </c>
    </row>
    <row r="12" spans="1:5" ht="14.4" customHeight="1" thickBot="1" x14ac:dyDescent="0.35">
      <c r="A12" s="133" t="str">
        <f>HYPERLINK("#HI!A1","Osobní náklady")</f>
        <v>Osobní náklady</v>
      </c>
      <c r="B12" s="127"/>
      <c r="C12" s="124">
        <f ca="1">IF(ISERROR(VLOOKUP("Osobní náklady (Kč) *",INDIRECT("HI!$A:$G"),6,0)),0,VLOOKUP("Osobní náklady (Kč) *",INDIRECT("HI!$A:$G"),6,0))</f>
        <v>608.83331415655834</v>
      </c>
      <c r="D12" s="124">
        <f ca="1">IF(ISERROR(VLOOKUP("Osobní náklady (Kč) *",INDIRECT("HI!$A:$G"),5,0)),0,VLOOKUP("Osobní náklady (Kč) *",INDIRECT("HI!$A:$G"),5,0))</f>
        <v>580.38141000000098</v>
      </c>
      <c r="E12" s="125">
        <f ca="1">IF(C12=0,0,D12/C12)</f>
        <v>0.95326815485454675</v>
      </c>
    </row>
    <row r="13" spans="1:5" ht="14.4" customHeight="1" thickBot="1" x14ac:dyDescent="0.35">
      <c r="A13" s="137"/>
      <c r="B13" s="138"/>
      <c r="C13" s="139"/>
      <c r="D13" s="139"/>
      <c r="E13" s="140"/>
    </row>
    <row r="14" spans="1:5" ht="14.4" customHeight="1" thickBot="1" x14ac:dyDescent="0.35">
      <c r="A14" s="141" t="str">
        <f>HYPERLINK("#HI!A1","VÝNOSY CELKEM (v tisících)")</f>
        <v>VÝNOSY CELKEM (v tisících)</v>
      </c>
      <c r="B14" s="142"/>
      <c r="C14" s="143">
        <f ca="1">IF(ISERROR(VLOOKUP("Výnosy celkem",INDIRECT("HI!$A:$G"),6,0)),0,VLOOKUP("Výnosy celkem",INDIRECT("HI!$A:$G"),6,0))</f>
        <v>0</v>
      </c>
      <c r="D14" s="143">
        <f ca="1">IF(ISERROR(VLOOKUP("Výnosy celkem",INDIRECT("HI!$A:$G"),5,0)),0,VLOOKUP("Výnosy celkem",INDIRECT("HI!$A:$G"),5,0))</f>
        <v>0</v>
      </c>
      <c r="E14" s="144">
        <f t="shared" ref="E14:E15" ca="1" si="1">IF(C14=0,0,D14/C14)</f>
        <v>0</v>
      </c>
    </row>
    <row r="15" spans="1:5" ht="14.4" customHeight="1" x14ac:dyDescent="0.3">
      <c r="A15" s="145" t="str">
        <f>HYPERLINK("#HI!A1","Ambulance (body za výkony + Kč za ZUM a ZULP)")</f>
        <v>Ambulance (body za výkony + Kč za ZUM a ZULP)</v>
      </c>
      <c r="B15" s="123"/>
      <c r="C15" s="124">
        <f ca="1">IF(ISERROR(VLOOKUP("Ambulance *",INDIRECT("HI!$A:$G"),6,0)),0,VLOOKUP("Ambulance *",INDIRECT("HI!$A:$G"),6,0))</f>
        <v>0</v>
      </c>
      <c r="D15" s="124">
        <f ca="1">IF(ISERROR(VLOOKUP("Ambulance *",INDIRECT("HI!$A:$G"),5,0)),0,VLOOKUP("Ambulance *",INDIRECT("HI!$A:$G"),5,0))</f>
        <v>0</v>
      </c>
      <c r="E15" s="125">
        <f t="shared" ca="1" si="1"/>
        <v>0</v>
      </c>
    </row>
    <row r="16" spans="1:5" ht="14.4" customHeight="1" x14ac:dyDescent="0.3">
      <c r="A16" s="146" t="str">
        <f>HYPERLINK("#HI!A1","Hospitalizace (casemix * 30000)")</f>
        <v>Hospitalizace (casemix * 30000)</v>
      </c>
      <c r="B16" s="127"/>
      <c r="C16" s="124">
        <f ca="1">IF(ISERROR(VLOOKUP("Hospitalizace *",INDIRECT("HI!$A:$G"),6,0)),0,VLOOKUP("Hospitalizace *",INDIRECT("HI!$A:$G"),6,0))</f>
        <v>0</v>
      </c>
      <c r="D16" s="124">
        <f ca="1">IF(ISERROR(VLOOKUP("Hospitalizace *",INDIRECT("HI!$A:$G"),5,0)),0,VLOOKUP("Hospitalizace *",INDIRECT("HI!$A:$G"),5,0))</f>
        <v>0</v>
      </c>
      <c r="E16" s="125">
        <f ca="1">IF(C16=0,0,D16/C16)</f>
        <v>0</v>
      </c>
    </row>
    <row r="17" spans="1:5" ht="14.4" customHeight="1" thickBot="1" x14ac:dyDescent="0.35">
      <c r="A17" s="147" t="s">
        <v>64</v>
      </c>
      <c r="B17" s="134"/>
      <c r="C17" s="135"/>
      <c r="D17" s="135"/>
      <c r="E17" s="136"/>
    </row>
    <row r="18" spans="1:5" ht="14.4" customHeight="1" thickBot="1" x14ac:dyDescent="0.35">
      <c r="A18" s="148"/>
      <c r="B18" s="149"/>
      <c r="C18" s="150"/>
      <c r="D18" s="150"/>
      <c r="E18" s="151"/>
    </row>
    <row r="19" spans="1:5" ht="14.4" customHeight="1" thickBot="1" x14ac:dyDescent="0.35">
      <c r="A19" s="152" t="s">
        <v>65</v>
      </c>
      <c r="B19" s="153"/>
      <c r="C19" s="154"/>
      <c r="D19" s="154"/>
      <c r="E19" s="155"/>
    </row>
  </sheetData>
  <mergeCells count="1">
    <mergeCell ref="A1:E1"/>
  </mergeCells>
  <conditionalFormatting sqref="E5">
    <cfRule type="cellIs" dxfId="15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0">
    <cfRule type="cellIs" dxfId="14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13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12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16">
    <cfRule type="cellIs" dxfId="11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10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" priority="20" operator="lessThan">
      <formula>1</formula>
    </cfRule>
  </conditionalFormatting>
  <conditionalFormatting sqref="E14">
    <cfRule type="iconSet" priority="52">
      <iconSet iconSet="3Symbols2">
        <cfvo type="percent" val="0"/>
        <cfvo type="num" val="1"/>
        <cfvo type="num" val="1"/>
      </iconSet>
    </cfRule>
  </conditionalFormatting>
  <conditionalFormatting sqref="E4 E7 E11">
    <cfRule type="cellIs" dxfId="8" priority="57" operator="greaterThan">
      <formula>1</formula>
    </cfRule>
    <cfRule type="iconSet" priority="58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93" bestFit="1" customWidth="1"/>
    <col min="2" max="3" width="9.5546875" style="93" customWidth="1"/>
    <col min="4" max="4" width="2.21875" style="93" customWidth="1"/>
    <col min="5" max="8" width="9.5546875" style="93" customWidth="1"/>
    <col min="9" max="16384" width="8.88671875" style="93"/>
  </cols>
  <sheetData>
    <row r="1" spans="1:8" ht="18.600000000000001" customHeight="1" thickBot="1" x14ac:dyDescent="0.4">
      <c r="A1" s="227" t="s">
        <v>58</v>
      </c>
      <c r="B1" s="227"/>
      <c r="C1" s="227"/>
      <c r="D1" s="227"/>
      <c r="E1" s="227"/>
      <c r="F1" s="227"/>
      <c r="G1" s="228"/>
      <c r="H1" s="228"/>
    </row>
    <row r="2" spans="1:8" ht="14.4" customHeight="1" thickBot="1" x14ac:dyDescent="0.35">
      <c r="A2" s="162" t="s">
        <v>170</v>
      </c>
      <c r="B2" s="74"/>
      <c r="C2" s="74"/>
      <c r="D2" s="74"/>
      <c r="E2" s="74"/>
      <c r="F2" s="74"/>
    </row>
    <row r="3" spans="1:8" ht="14.4" customHeight="1" x14ac:dyDescent="0.3">
      <c r="A3" s="229"/>
      <c r="B3" s="70">
        <v>2013</v>
      </c>
      <c r="C3" s="40">
        <v>2014</v>
      </c>
      <c r="D3" s="7"/>
      <c r="E3" s="233">
        <v>2015</v>
      </c>
      <c r="F3" s="234"/>
      <c r="G3" s="234"/>
      <c r="H3" s="235"/>
    </row>
    <row r="4" spans="1:8" ht="14.4" customHeight="1" thickBot="1" x14ac:dyDescent="0.35">
      <c r="A4" s="230"/>
      <c r="B4" s="231" t="s">
        <v>42</v>
      </c>
      <c r="C4" s="232"/>
      <c r="D4" s="7"/>
      <c r="E4" s="91" t="s">
        <v>42</v>
      </c>
      <c r="F4" s="72" t="s">
        <v>43</v>
      </c>
      <c r="G4" s="72" t="s">
        <v>41</v>
      </c>
      <c r="H4" s="73" t="s">
        <v>44</v>
      </c>
    </row>
    <row r="5" spans="1:8" ht="14.4" customHeight="1" x14ac:dyDescent="0.3">
      <c r="A5" s="75" t="str">
        <f>HYPERLINK("#'Léky Žádanky'!A1","Léky (Kč)")</f>
        <v>Léky (Kč)</v>
      </c>
      <c r="B5" s="27">
        <v>0</v>
      </c>
      <c r="C5" s="29">
        <v>0</v>
      </c>
      <c r="D5" s="8"/>
      <c r="E5" s="80">
        <v>0</v>
      </c>
      <c r="F5" s="28">
        <v>0</v>
      </c>
      <c r="G5" s="79">
        <f>E5-F5</f>
        <v>0</v>
      </c>
      <c r="H5" s="85" t="str">
        <f>IF(F5&lt;0.00000001,"",E5/F5)</f>
        <v/>
      </c>
    </row>
    <row r="6" spans="1:8" ht="14.4" customHeight="1" x14ac:dyDescent="0.3">
      <c r="A6" s="75" t="str">
        <f>HYPERLINK("#'Materiál Žádanky'!A1","Materiál - SZM (Kč)")</f>
        <v>Materiál - SZM (Kč)</v>
      </c>
      <c r="B6" s="10">
        <v>0</v>
      </c>
      <c r="C6" s="31">
        <v>0</v>
      </c>
      <c r="D6" s="8"/>
      <c r="E6" s="81">
        <v>0</v>
      </c>
      <c r="F6" s="30">
        <v>0</v>
      </c>
      <c r="G6" s="82">
        <f>E6-F6</f>
        <v>0</v>
      </c>
      <c r="H6" s="86" t="str">
        <f>IF(F6&lt;0.00000001,"",E6/F6)</f>
        <v/>
      </c>
    </row>
    <row r="7" spans="1:8" ht="14.4" customHeight="1" x14ac:dyDescent="0.3">
      <c r="A7" s="75" t="str">
        <f>HYPERLINK("#'Osobní náklady'!A1","Osobní náklady (Kč) *")</f>
        <v>Osobní náklady (Kč) *</v>
      </c>
      <c r="B7" s="10">
        <v>500.17381</v>
      </c>
      <c r="C7" s="31">
        <v>550.91091000000097</v>
      </c>
      <c r="D7" s="8"/>
      <c r="E7" s="81">
        <v>580.38141000000098</v>
      </c>
      <c r="F7" s="30">
        <v>608.83331415655834</v>
      </c>
      <c r="G7" s="82">
        <f>E7-F7</f>
        <v>-28.451904156557362</v>
      </c>
      <c r="H7" s="86">
        <f>IF(F7&lt;0.00000001,"",E7/F7)</f>
        <v>0.95326815485454675</v>
      </c>
    </row>
    <row r="8" spans="1:8" ht="14.4" customHeight="1" thickBot="1" x14ac:dyDescent="0.35">
      <c r="A8" s="1" t="s">
        <v>45</v>
      </c>
      <c r="B8" s="11">
        <v>40.45299</v>
      </c>
      <c r="C8" s="33">
        <v>37.460350000000062</v>
      </c>
      <c r="D8" s="8"/>
      <c r="E8" s="83">
        <v>33.934560000000033</v>
      </c>
      <c r="F8" s="32">
        <v>32.045523495010002</v>
      </c>
      <c r="G8" s="84">
        <f>E8-F8</f>
        <v>1.8890365049900311</v>
      </c>
      <c r="H8" s="87">
        <f>IF(F8&lt;0.00000001,"",E8/F8)</f>
        <v>1.058948530058627</v>
      </c>
    </row>
    <row r="9" spans="1:8" ht="14.4" customHeight="1" thickBot="1" x14ac:dyDescent="0.35">
      <c r="A9" s="2" t="s">
        <v>46</v>
      </c>
      <c r="B9" s="3">
        <v>540.6268</v>
      </c>
      <c r="C9" s="35">
        <v>588.37126000000103</v>
      </c>
      <c r="D9" s="8"/>
      <c r="E9" s="3">
        <v>614.31597000000102</v>
      </c>
      <c r="F9" s="34">
        <v>640.87883765156835</v>
      </c>
      <c r="G9" s="34">
        <f>E9-F9</f>
        <v>-26.562867651567331</v>
      </c>
      <c r="H9" s="88">
        <f>IF(F9&lt;0.00000001,"",E9/F9)</f>
        <v>0.95855243442129545</v>
      </c>
    </row>
    <row r="10" spans="1:8" ht="14.4" customHeight="1" thickBot="1" x14ac:dyDescent="0.35">
      <c r="A10" s="12"/>
      <c r="B10" s="12"/>
      <c r="C10" s="71"/>
      <c r="D10" s="8"/>
      <c r="E10" s="12"/>
      <c r="F10" s="13"/>
    </row>
    <row r="11" spans="1:8" ht="14.4" customHeight="1" x14ac:dyDescent="0.3">
      <c r="A11" s="96" t="str">
        <f>HYPERLINK("#'ZV Vykáz.-A'!A1","Ambulance *")</f>
        <v>Ambulance *</v>
      </c>
      <c r="B11" s="9">
        <f>IF(ISERROR(VLOOKUP("Celkem:",#REF!,2,0)),0,VLOOKUP("Celkem:",#REF!,2,0)/1000)</f>
        <v>0</v>
      </c>
      <c r="C11" s="29">
        <f>IF(ISERROR(VLOOKUP("Celkem:",#REF!,4,0)),0,VLOOKUP("Celkem:",#REF!,4,0)/1000)</f>
        <v>0</v>
      </c>
      <c r="D11" s="8"/>
      <c r="E11" s="80">
        <f>IF(ISERROR(VLOOKUP("Celkem:",#REF!,6,0)),0,VLOOKUP("Celkem:",#REF!,6,0)/1000)</f>
        <v>0</v>
      </c>
      <c r="F11" s="28">
        <f>B11</f>
        <v>0</v>
      </c>
      <c r="G11" s="79">
        <f>E11-F11</f>
        <v>0</v>
      </c>
      <c r="H11" s="85" t="str">
        <f>IF(F11&lt;0.00000001,"",E11/F11)</f>
        <v/>
      </c>
    </row>
    <row r="12" spans="1:8" ht="14.4" customHeight="1" thickBot="1" x14ac:dyDescent="0.35">
      <c r="A12" s="97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83">
        <f>IF(ISERROR(VLOOKUP("Celkem",#REF!,4,0)),0,VLOOKUP("Celkem",#REF!,4,0)*30)</f>
        <v>0</v>
      </c>
      <c r="F12" s="32">
        <f>B12</f>
        <v>0</v>
      </c>
      <c r="G12" s="84">
        <f>E12-F12</f>
        <v>0</v>
      </c>
      <c r="H12" s="87" t="str">
        <f>IF(F12&lt;0.00000001,"",E12/F12)</f>
        <v/>
      </c>
    </row>
    <row r="13" spans="1:8" ht="14.4" customHeight="1" thickBot="1" x14ac:dyDescent="0.35">
      <c r="A13" s="4" t="s">
        <v>47</v>
      </c>
      <c r="B13" s="5">
        <f>SUM(B11:B12)</f>
        <v>0</v>
      </c>
      <c r="C13" s="37">
        <f>SUM(C11:C12)</f>
        <v>0</v>
      </c>
      <c r="D13" s="8"/>
      <c r="E13" s="5">
        <f>SUM(E11:E12)</f>
        <v>0</v>
      </c>
      <c r="F13" s="36">
        <f>SUM(F11:F12)</f>
        <v>0</v>
      </c>
      <c r="G13" s="36">
        <f>E13-F13</f>
        <v>0</v>
      </c>
      <c r="H13" s="89" t="str">
        <f>IF(F13&lt;0.00000001,"",E13/F13)</f>
        <v/>
      </c>
    </row>
    <row r="14" spans="1:8" ht="14.4" customHeight="1" thickBot="1" x14ac:dyDescent="0.35">
      <c r="A14" s="12"/>
      <c r="B14" s="12"/>
      <c r="C14" s="71"/>
      <c r="D14" s="8"/>
      <c r="E14" s="12"/>
      <c r="F14" s="13"/>
    </row>
    <row r="15" spans="1:8" ht="14.4" customHeight="1" thickBot="1" x14ac:dyDescent="0.35">
      <c r="A15" s="98" t="str">
        <f>HYPERLINK("#'HI Graf'!A1","Hospodářský index (Výnosy / Náklady) *")</f>
        <v>Hospodářský index (Výnosy / Náklady) *</v>
      </c>
      <c r="B15" s="6">
        <f>IF(B9=0,"",B13/B9)</f>
        <v>0</v>
      </c>
      <c r="C15" s="39">
        <f>IF(C9=0,"",C13/C9)</f>
        <v>0</v>
      </c>
      <c r="D15" s="8"/>
      <c r="E15" s="6">
        <f>IF(E9=0,"",E13/E9)</f>
        <v>0</v>
      </c>
      <c r="F15" s="38">
        <f>IF(F9=0,"",F13/F9)</f>
        <v>0</v>
      </c>
      <c r="G15" s="38">
        <f>IF(ISERROR(F15-E15),"",E15-F15)</f>
        <v>0</v>
      </c>
      <c r="H15" s="90" t="str">
        <f>IF(ISERROR(F15-E15),"",IF(F15&lt;0.00000001,"",E15/F15))</f>
        <v/>
      </c>
    </row>
    <row r="17" spans="1:8" ht="14.4" customHeight="1" x14ac:dyDescent="0.3">
      <c r="A17" s="76" t="s">
        <v>68</v>
      </c>
    </row>
    <row r="18" spans="1:8" ht="14.4" customHeight="1" x14ac:dyDescent="0.3">
      <c r="A18" s="215" t="s">
        <v>106</v>
      </c>
      <c r="B18" s="216"/>
      <c r="C18" s="216"/>
      <c r="D18" s="216"/>
      <c r="E18" s="216"/>
      <c r="F18" s="216"/>
      <c r="G18" s="216"/>
      <c r="H18" s="216"/>
    </row>
    <row r="19" spans="1:8" x14ac:dyDescent="0.3">
      <c r="A19" s="214" t="s">
        <v>105</v>
      </c>
      <c r="B19" s="216"/>
      <c r="C19" s="216"/>
      <c r="D19" s="216"/>
      <c r="E19" s="216"/>
      <c r="F19" s="216"/>
      <c r="G19" s="216"/>
      <c r="H19" s="216"/>
    </row>
    <row r="20" spans="1:8" ht="14.4" customHeight="1" x14ac:dyDescent="0.3">
      <c r="A20" s="77" t="s">
        <v>148</v>
      </c>
    </row>
    <row r="21" spans="1:8" ht="14.4" customHeight="1" x14ac:dyDescent="0.3">
      <c r="A21" s="77" t="s">
        <v>69</v>
      </c>
    </row>
    <row r="22" spans="1:8" ht="14.4" customHeight="1" x14ac:dyDescent="0.3">
      <c r="A22" s="78" t="s">
        <v>70</v>
      </c>
    </row>
    <row r="23" spans="1:8" ht="14.4" customHeight="1" x14ac:dyDescent="0.3">
      <c r="A23" s="78" t="s">
        <v>71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7" priority="4" operator="greaterThan">
      <formula>0</formula>
    </cfRule>
  </conditionalFormatting>
  <conditionalFormatting sqref="G11:G13 G15">
    <cfRule type="cellIs" dxfId="6" priority="3" operator="lessThan">
      <formula>0</formula>
    </cfRule>
  </conditionalFormatting>
  <conditionalFormatting sqref="H5:H9">
    <cfRule type="cellIs" dxfId="5" priority="2" operator="greaterThan">
      <formula>1</formula>
    </cfRule>
  </conditionalFormatting>
  <conditionalFormatting sqref="H11:H13 H15">
    <cfRule type="cellIs" dxfId="4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93" bestFit="1" customWidth="1"/>
    <col min="2" max="2" width="12.77734375" style="93" bestFit="1" customWidth="1"/>
    <col min="3" max="3" width="13.6640625" style="93" bestFit="1" customWidth="1"/>
    <col min="4" max="15" width="7.77734375" style="93" bestFit="1" customWidth="1"/>
    <col min="16" max="16" width="8.88671875" style="93" customWidth="1"/>
    <col min="17" max="17" width="6.6640625" style="93" bestFit="1" customWidth="1"/>
    <col min="18" max="16384" width="8.88671875" style="93"/>
  </cols>
  <sheetData>
    <row r="1" spans="1:17" s="156" customFormat="1" ht="18.600000000000001" customHeight="1" thickBot="1" x14ac:dyDescent="0.4">
      <c r="A1" s="236" t="s">
        <v>172</v>
      </c>
      <c r="B1" s="236"/>
      <c r="C1" s="236"/>
      <c r="D1" s="236"/>
      <c r="E1" s="236"/>
      <c r="F1" s="236"/>
      <c r="G1" s="236"/>
      <c r="H1" s="227"/>
      <c r="I1" s="227"/>
      <c r="J1" s="227"/>
      <c r="K1" s="227"/>
      <c r="L1" s="227"/>
      <c r="M1" s="227"/>
      <c r="N1" s="227"/>
      <c r="O1" s="227"/>
      <c r="P1" s="227"/>
      <c r="Q1" s="227"/>
    </row>
    <row r="2" spans="1:17" s="156" customFormat="1" ht="14.4" customHeight="1" thickBot="1" x14ac:dyDescent="0.3">
      <c r="A2" s="162" t="s">
        <v>170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</row>
    <row r="3" spans="1:17" ht="14.4" customHeight="1" x14ac:dyDescent="0.3">
      <c r="A3" s="57"/>
      <c r="B3" s="237" t="s">
        <v>2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101"/>
      <c r="Q3" s="103"/>
    </row>
    <row r="4" spans="1:17" ht="14.4" customHeight="1" x14ac:dyDescent="0.3">
      <c r="A4" s="58"/>
      <c r="B4" s="20">
        <v>2015</v>
      </c>
      <c r="C4" s="102" t="s">
        <v>3</v>
      </c>
      <c r="D4" s="92" t="s">
        <v>149</v>
      </c>
      <c r="E4" s="92" t="s">
        <v>150</v>
      </c>
      <c r="F4" s="92" t="s">
        <v>151</v>
      </c>
      <c r="G4" s="92" t="s">
        <v>152</v>
      </c>
      <c r="H4" s="92" t="s">
        <v>153</v>
      </c>
      <c r="I4" s="92" t="s">
        <v>154</v>
      </c>
      <c r="J4" s="92" t="s">
        <v>155</v>
      </c>
      <c r="K4" s="92" t="s">
        <v>156</v>
      </c>
      <c r="L4" s="92" t="s">
        <v>157</v>
      </c>
      <c r="M4" s="92" t="s">
        <v>158</v>
      </c>
      <c r="N4" s="92" t="s">
        <v>159</v>
      </c>
      <c r="O4" s="92" t="s">
        <v>160</v>
      </c>
      <c r="P4" s="239" t="s">
        <v>0</v>
      </c>
      <c r="Q4" s="240"/>
    </row>
    <row r="5" spans="1:17" ht="14.4" customHeight="1" thickBot="1" x14ac:dyDescent="0.35">
      <c r="A5" s="59"/>
      <c r="B5" s="21" t="s">
        <v>4</v>
      </c>
      <c r="C5" s="22" t="s">
        <v>4</v>
      </c>
      <c r="D5" s="22" t="s">
        <v>5</v>
      </c>
      <c r="E5" s="22" t="s">
        <v>5</v>
      </c>
      <c r="F5" s="22" t="s">
        <v>5</v>
      </c>
      <c r="G5" s="22" t="s">
        <v>5</v>
      </c>
      <c r="H5" s="22" t="s">
        <v>5</v>
      </c>
      <c r="I5" s="22" t="s">
        <v>5</v>
      </c>
      <c r="J5" s="22" t="s">
        <v>5</v>
      </c>
      <c r="K5" s="22" t="s">
        <v>5</v>
      </c>
      <c r="L5" s="22" t="s">
        <v>5</v>
      </c>
      <c r="M5" s="22" t="s">
        <v>5</v>
      </c>
      <c r="N5" s="22" t="s">
        <v>5</v>
      </c>
      <c r="O5" s="22" t="s">
        <v>5</v>
      </c>
      <c r="P5" s="22" t="s">
        <v>5</v>
      </c>
      <c r="Q5" s="23" t="s">
        <v>6</v>
      </c>
    </row>
    <row r="6" spans="1:17" ht="14.4" customHeight="1" x14ac:dyDescent="0.3">
      <c r="A6" s="14" t="s">
        <v>7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66" t="s">
        <v>171</v>
      </c>
    </row>
    <row r="7" spans="1:17" ht="14.4" customHeight="1" x14ac:dyDescent="0.3">
      <c r="A7" s="15" t="s">
        <v>8</v>
      </c>
      <c r="B7" s="46">
        <v>0</v>
      </c>
      <c r="C7" s="47">
        <v>0</v>
      </c>
      <c r="D7" s="47">
        <v>0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0</v>
      </c>
      <c r="Q7" s="67" t="s">
        <v>171</v>
      </c>
    </row>
    <row r="8" spans="1:17" ht="14.4" customHeight="1" x14ac:dyDescent="0.3">
      <c r="A8" s="15" t="s">
        <v>9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67" t="s">
        <v>171</v>
      </c>
    </row>
    <row r="9" spans="1:17" ht="14.4" customHeight="1" x14ac:dyDescent="0.3">
      <c r="A9" s="15" t="s">
        <v>10</v>
      </c>
      <c r="B9" s="46">
        <v>0</v>
      </c>
      <c r="C9" s="47">
        <v>0</v>
      </c>
      <c r="D9" s="47">
        <v>0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0</v>
      </c>
      <c r="Q9" s="67" t="s">
        <v>171</v>
      </c>
    </row>
    <row r="10" spans="1:17" ht="14.4" customHeight="1" x14ac:dyDescent="0.3">
      <c r="A10" s="15" t="s">
        <v>11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67" t="s">
        <v>171</v>
      </c>
    </row>
    <row r="11" spans="1:17" ht="14.4" customHeight="1" x14ac:dyDescent="0.3">
      <c r="A11" s="15" t="s">
        <v>12</v>
      </c>
      <c r="B11" s="46">
        <v>15.306453100452</v>
      </c>
      <c r="C11" s="47">
        <v>1.2755377583709999</v>
      </c>
      <c r="D11" s="47">
        <v>2.2057000000000002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8">
        <v>2.2057000000000002</v>
      </c>
      <c r="Q11" s="67">
        <v>0.86461572208399995</v>
      </c>
    </row>
    <row r="12" spans="1:17" ht="14.4" customHeight="1" x14ac:dyDescent="0.3">
      <c r="A12" s="15" t="s">
        <v>13</v>
      </c>
      <c r="B12" s="46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0</v>
      </c>
      <c r="Q12" s="67" t="s">
        <v>171</v>
      </c>
    </row>
    <row r="13" spans="1:17" ht="14.4" customHeight="1" x14ac:dyDescent="0.3">
      <c r="A13" s="15" t="s">
        <v>14</v>
      </c>
      <c r="B13" s="46">
        <v>0</v>
      </c>
      <c r="C13" s="47">
        <v>0</v>
      </c>
      <c r="D13" s="47">
        <v>0.60499999999999998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0.60499999999999998</v>
      </c>
      <c r="Q13" s="67" t="s">
        <v>171</v>
      </c>
    </row>
    <row r="14" spans="1:17" ht="14.4" customHeight="1" x14ac:dyDescent="0.3">
      <c r="A14" s="15" t="s">
        <v>15</v>
      </c>
      <c r="B14" s="46">
        <v>93.560000608199999</v>
      </c>
      <c r="C14" s="47">
        <v>7.7966667173499999</v>
      </c>
      <c r="D14" s="47">
        <v>9.9849999999999994</v>
      </c>
      <c r="E14" s="47">
        <v>8.5180000000000007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8">
        <v>18.503</v>
      </c>
      <c r="Q14" s="67">
        <v>1.186596828541</v>
      </c>
    </row>
    <row r="15" spans="1:17" ht="14.4" customHeight="1" x14ac:dyDescent="0.3">
      <c r="A15" s="15" t="s">
        <v>16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67" t="s">
        <v>171</v>
      </c>
    </row>
    <row r="16" spans="1:17" ht="14.4" customHeight="1" x14ac:dyDescent="0.3">
      <c r="A16" s="15" t="s">
        <v>17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67" t="s">
        <v>171</v>
      </c>
    </row>
    <row r="17" spans="1:17" ht="14.4" customHeight="1" x14ac:dyDescent="0.3">
      <c r="A17" s="15" t="s">
        <v>18</v>
      </c>
      <c r="B17" s="46">
        <v>21.623146560443999</v>
      </c>
      <c r="C17" s="47">
        <v>1.8019288800369999</v>
      </c>
      <c r="D17" s="47">
        <v>0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0</v>
      </c>
      <c r="Q17" s="67">
        <v>0</v>
      </c>
    </row>
    <row r="18" spans="1:17" ht="14.4" customHeight="1" x14ac:dyDescent="0.3">
      <c r="A18" s="15" t="s">
        <v>19</v>
      </c>
      <c r="B18" s="46">
        <v>0</v>
      </c>
      <c r="C18" s="47">
        <v>0</v>
      </c>
      <c r="D18" s="47">
        <v>0</v>
      </c>
      <c r="E18" s="47">
        <v>0.61799999999999999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0.61799999999999999</v>
      </c>
      <c r="Q18" s="67" t="s">
        <v>171</v>
      </c>
    </row>
    <row r="19" spans="1:17" ht="14.4" customHeight="1" x14ac:dyDescent="0.3">
      <c r="A19" s="15" t="s">
        <v>20</v>
      </c>
      <c r="B19" s="46">
        <v>44.783541236422003</v>
      </c>
      <c r="C19" s="47">
        <v>3.7319617697009999</v>
      </c>
      <c r="D19" s="47">
        <v>4.5425700000000004</v>
      </c>
      <c r="E19" s="47">
        <v>4.65029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8">
        <v>9.1928599999999996</v>
      </c>
      <c r="Q19" s="67">
        <v>1.231639090549</v>
      </c>
    </row>
    <row r="20" spans="1:17" ht="14.4" customHeight="1" x14ac:dyDescent="0.3">
      <c r="A20" s="15" t="s">
        <v>21</v>
      </c>
      <c r="B20" s="46">
        <v>3652.9998849393501</v>
      </c>
      <c r="C20" s="47">
        <v>304.416657078279</v>
      </c>
      <c r="D20" s="47">
        <v>291.40825999999998</v>
      </c>
      <c r="E20" s="47">
        <v>288.973150000001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8">
        <v>580.38141000000098</v>
      </c>
      <c r="Q20" s="67">
        <v>0.95326815485399996</v>
      </c>
    </row>
    <row r="21" spans="1:17" ht="14.4" customHeight="1" x14ac:dyDescent="0.3">
      <c r="A21" s="16" t="s">
        <v>22</v>
      </c>
      <c r="B21" s="46">
        <v>16.99999946454</v>
      </c>
      <c r="C21" s="47">
        <v>1.4166666220449999</v>
      </c>
      <c r="D21" s="47">
        <v>1.405</v>
      </c>
      <c r="E21" s="47">
        <v>1.405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8">
        <v>2.81</v>
      </c>
      <c r="Q21" s="67">
        <v>0.99176473712000002</v>
      </c>
    </row>
    <row r="22" spans="1:17" ht="14.4" customHeight="1" x14ac:dyDescent="0.3">
      <c r="A22" s="15" t="s">
        <v>23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0</v>
      </c>
      <c r="Q22" s="67" t="s">
        <v>171</v>
      </c>
    </row>
    <row r="23" spans="1:17" ht="14.4" customHeight="1" x14ac:dyDescent="0.3">
      <c r="A23" s="16" t="s">
        <v>24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67" t="s">
        <v>171</v>
      </c>
    </row>
    <row r="24" spans="1:17" ht="14.4" customHeight="1" x14ac:dyDescent="0.3">
      <c r="A24" s="16" t="s">
        <v>25</v>
      </c>
      <c r="B24" s="46">
        <v>0</v>
      </c>
      <c r="C24" s="47">
        <v>5.6843418860808002E-14</v>
      </c>
      <c r="D24" s="47">
        <v>-5.6843418860808002E-14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8">
        <v>-5.6843418860808002E-14</v>
      </c>
      <c r="Q24" s="67"/>
    </row>
    <row r="25" spans="1:17" ht="14.4" customHeight="1" x14ac:dyDescent="0.3">
      <c r="A25" s="17" t="s">
        <v>26</v>
      </c>
      <c r="B25" s="49">
        <v>3845.2730259094101</v>
      </c>
      <c r="C25" s="50">
        <v>320.43941882578503</v>
      </c>
      <c r="D25" s="50">
        <v>310.15152999999998</v>
      </c>
      <c r="E25" s="50">
        <v>304.16444000000098</v>
      </c>
      <c r="F25" s="50">
        <v>0</v>
      </c>
      <c r="G25" s="50">
        <v>0</v>
      </c>
      <c r="H25" s="50">
        <v>0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1">
        <v>614.31597000000102</v>
      </c>
      <c r="Q25" s="68">
        <v>0.95855243442100002</v>
      </c>
    </row>
    <row r="26" spans="1:17" ht="14.4" customHeight="1" x14ac:dyDescent="0.3">
      <c r="A26" s="15" t="s">
        <v>27</v>
      </c>
      <c r="B26" s="46">
        <v>0</v>
      </c>
      <c r="C26" s="47">
        <v>0</v>
      </c>
      <c r="D26" s="47">
        <v>42.647559999999999</v>
      </c>
      <c r="E26" s="47">
        <v>43.642670000000003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8">
        <v>86.290229999999994</v>
      </c>
      <c r="Q26" s="67" t="s">
        <v>171</v>
      </c>
    </row>
    <row r="27" spans="1:17" ht="14.4" customHeight="1" x14ac:dyDescent="0.3">
      <c r="A27" s="18" t="s">
        <v>28</v>
      </c>
      <c r="B27" s="49">
        <v>3845.2730259094101</v>
      </c>
      <c r="C27" s="50">
        <v>320.43941882578503</v>
      </c>
      <c r="D27" s="50">
        <v>352.79908999999998</v>
      </c>
      <c r="E27" s="50">
        <v>347.80711000000099</v>
      </c>
      <c r="F27" s="50">
        <v>0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1">
        <v>700.60620000000097</v>
      </c>
      <c r="Q27" s="68">
        <v>1.09319602839</v>
      </c>
    </row>
    <row r="28" spans="1:17" ht="14.4" customHeight="1" x14ac:dyDescent="0.3">
      <c r="A28" s="16" t="s">
        <v>29</v>
      </c>
      <c r="B28" s="46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0</v>
      </c>
      <c r="Q28" s="67">
        <v>0</v>
      </c>
    </row>
    <row r="29" spans="1:17" ht="14.4" customHeight="1" x14ac:dyDescent="0.3">
      <c r="A29" s="16" t="s">
        <v>30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67" t="s">
        <v>171</v>
      </c>
    </row>
    <row r="30" spans="1:17" ht="14.4" customHeight="1" x14ac:dyDescent="0.3">
      <c r="A30" s="16" t="s">
        <v>31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67">
        <v>0</v>
      </c>
    </row>
    <row r="31" spans="1:17" ht="14.4" customHeight="1" thickBot="1" x14ac:dyDescent="0.35">
      <c r="A31" s="19" t="s">
        <v>32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69" t="s">
        <v>171</v>
      </c>
    </row>
    <row r="32" spans="1:17" ht="14.4" customHeight="1" x14ac:dyDescent="0.3"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</row>
    <row r="33" spans="1:17" ht="14.4" customHeight="1" x14ac:dyDescent="0.3">
      <c r="A33" s="76" t="s">
        <v>68</v>
      </c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</row>
    <row r="34" spans="1:17" ht="14.4" customHeight="1" x14ac:dyDescent="0.3">
      <c r="A34" s="99" t="s">
        <v>169</v>
      </c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</row>
    <row r="35" spans="1:17" ht="14.4" customHeight="1" x14ac:dyDescent="0.3">
      <c r="A35" s="100" t="s">
        <v>33</v>
      </c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91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93" customWidth="1"/>
    <col min="2" max="11" width="10" style="93" customWidth="1"/>
    <col min="12" max="16384" width="8.88671875" style="93"/>
  </cols>
  <sheetData>
    <row r="1" spans="1:11" s="55" customFormat="1" ht="18.600000000000001" customHeight="1" thickBot="1" x14ac:dyDescent="0.4">
      <c r="A1" s="236" t="s">
        <v>34</v>
      </c>
      <c r="B1" s="236"/>
      <c r="C1" s="236"/>
      <c r="D1" s="236"/>
      <c r="E1" s="236"/>
      <c r="F1" s="236"/>
      <c r="G1" s="236"/>
      <c r="H1" s="241"/>
      <c r="I1" s="241"/>
      <c r="J1" s="241"/>
      <c r="K1" s="241"/>
    </row>
    <row r="2" spans="1:11" s="55" customFormat="1" ht="14.4" customHeight="1" thickBot="1" x14ac:dyDescent="0.35">
      <c r="A2" s="162" t="s">
        <v>170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57"/>
      <c r="B3" s="237" t="s">
        <v>35</v>
      </c>
      <c r="C3" s="238"/>
      <c r="D3" s="238"/>
      <c r="E3" s="238"/>
      <c r="F3" s="244" t="s">
        <v>36</v>
      </c>
      <c r="G3" s="238"/>
      <c r="H3" s="238"/>
      <c r="I3" s="238"/>
      <c r="J3" s="238"/>
      <c r="K3" s="245"/>
    </row>
    <row r="4" spans="1:11" ht="14.4" customHeight="1" x14ac:dyDescent="0.3">
      <c r="A4" s="58"/>
      <c r="B4" s="242"/>
      <c r="C4" s="243"/>
      <c r="D4" s="243"/>
      <c r="E4" s="243"/>
      <c r="F4" s="246" t="s">
        <v>165</v>
      </c>
      <c r="G4" s="248" t="s">
        <v>37</v>
      </c>
      <c r="H4" s="104" t="s">
        <v>60</v>
      </c>
      <c r="I4" s="246" t="s">
        <v>38</v>
      </c>
      <c r="J4" s="248" t="s">
        <v>167</v>
      </c>
      <c r="K4" s="249" t="s">
        <v>168</v>
      </c>
    </row>
    <row r="5" spans="1:11" ht="42" thickBot="1" x14ac:dyDescent="0.35">
      <c r="A5" s="59"/>
      <c r="B5" s="24" t="s">
        <v>161</v>
      </c>
      <c r="C5" s="25" t="s">
        <v>162</v>
      </c>
      <c r="D5" s="26" t="s">
        <v>163</v>
      </c>
      <c r="E5" s="26" t="s">
        <v>164</v>
      </c>
      <c r="F5" s="247"/>
      <c r="G5" s="247"/>
      <c r="H5" s="25" t="s">
        <v>166</v>
      </c>
      <c r="I5" s="247"/>
      <c r="J5" s="247"/>
      <c r="K5" s="250"/>
    </row>
    <row r="6" spans="1:11" ht="14.4" customHeight="1" thickBot="1" x14ac:dyDescent="0.35">
      <c r="A6" s="273" t="s">
        <v>173</v>
      </c>
      <c r="B6" s="255">
        <v>3587.12789804879</v>
      </c>
      <c r="C6" s="255">
        <v>3798.5721699999999</v>
      </c>
      <c r="D6" s="256">
        <v>211.44427195120801</v>
      </c>
      <c r="E6" s="257">
        <v>1.0589452837919999</v>
      </c>
      <c r="F6" s="255">
        <v>3845.2730259094101</v>
      </c>
      <c r="G6" s="256">
        <v>640.87883765156903</v>
      </c>
      <c r="H6" s="258">
        <v>304.16444000000098</v>
      </c>
      <c r="I6" s="255">
        <v>614.31597000000102</v>
      </c>
      <c r="J6" s="256">
        <v>-26.562867651567998</v>
      </c>
      <c r="K6" s="259">
        <v>0.15975873906999999</v>
      </c>
    </row>
    <row r="7" spans="1:11" ht="14.4" customHeight="1" thickBot="1" x14ac:dyDescent="0.35">
      <c r="A7" s="274" t="s">
        <v>174</v>
      </c>
      <c r="B7" s="255">
        <v>124.970419157602</v>
      </c>
      <c r="C7" s="255">
        <v>107.61987999999999</v>
      </c>
      <c r="D7" s="256">
        <v>-17.350539157602</v>
      </c>
      <c r="E7" s="257">
        <v>0.86116283137500005</v>
      </c>
      <c r="F7" s="255">
        <v>108.866453708653</v>
      </c>
      <c r="G7" s="256">
        <v>18.144408951441999</v>
      </c>
      <c r="H7" s="258">
        <v>8.5180000000000007</v>
      </c>
      <c r="I7" s="255">
        <v>21.313700000000001</v>
      </c>
      <c r="J7" s="256">
        <v>3.1692910485570001</v>
      </c>
      <c r="K7" s="259">
        <v>0.19577839889000001</v>
      </c>
    </row>
    <row r="8" spans="1:11" ht="14.4" customHeight="1" thickBot="1" x14ac:dyDescent="0.35">
      <c r="A8" s="275" t="s">
        <v>175</v>
      </c>
      <c r="B8" s="255">
        <v>24.055341354585</v>
      </c>
      <c r="C8" s="255">
        <v>18.8386</v>
      </c>
      <c r="D8" s="256">
        <v>-5.2167413545850003</v>
      </c>
      <c r="E8" s="257">
        <v>0.78313584173700002</v>
      </c>
      <c r="F8" s="255">
        <v>15.306453100452</v>
      </c>
      <c r="G8" s="256">
        <v>2.5510755167419998</v>
      </c>
      <c r="H8" s="258">
        <v>0</v>
      </c>
      <c r="I8" s="255">
        <v>2.8107000000000002</v>
      </c>
      <c r="J8" s="256">
        <v>0.25962448325699999</v>
      </c>
      <c r="K8" s="259">
        <v>0.18362843315499999</v>
      </c>
    </row>
    <row r="9" spans="1:11" ht="14.4" customHeight="1" thickBot="1" x14ac:dyDescent="0.35">
      <c r="A9" s="276" t="s">
        <v>176</v>
      </c>
      <c r="B9" s="260">
        <v>21.175603374108999</v>
      </c>
      <c r="C9" s="260">
        <v>16.613890000000001</v>
      </c>
      <c r="D9" s="261">
        <v>-4.5617133741089999</v>
      </c>
      <c r="E9" s="262">
        <v>0.78457693537600004</v>
      </c>
      <c r="F9" s="260">
        <v>15.306453100452</v>
      </c>
      <c r="G9" s="261">
        <v>2.5510755167419998</v>
      </c>
      <c r="H9" s="263">
        <v>0</v>
      </c>
      <c r="I9" s="260">
        <v>2.2057000000000002</v>
      </c>
      <c r="J9" s="261">
        <v>-0.34537551674200001</v>
      </c>
      <c r="K9" s="264">
        <v>0.144102620347</v>
      </c>
    </row>
    <row r="10" spans="1:11" ht="14.4" customHeight="1" thickBot="1" x14ac:dyDescent="0.35">
      <c r="A10" s="277" t="s">
        <v>177</v>
      </c>
      <c r="B10" s="255">
        <v>0.26417114553299997</v>
      </c>
      <c r="C10" s="255">
        <v>0.15112999999999999</v>
      </c>
      <c r="D10" s="256">
        <v>-0.113041145533</v>
      </c>
      <c r="E10" s="257">
        <v>0.572091246735</v>
      </c>
      <c r="F10" s="255">
        <v>0</v>
      </c>
      <c r="G10" s="256">
        <v>0</v>
      </c>
      <c r="H10" s="258">
        <v>0</v>
      </c>
      <c r="I10" s="255">
        <v>0</v>
      </c>
      <c r="J10" s="256">
        <v>0</v>
      </c>
      <c r="K10" s="265" t="s">
        <v>171</v>
      </c>
    </row>
    <row r="11" spans="1:11" ht="14.4" customHeight="1" thickBot="1" x14ac:dyDescent="0.35">
      <c r="A11" s="277" t="s">
        <v>178</v>
      </c>
      <c r="B11" s="255">
        <v>0</v>
      </c>
      <c r="C11" s="255">
        <v>0.27316000000000001</v>
      </c>
      <c r="D11" s="256">
        <v>0.27316000000000001</v>
      </c>
      <c r="E11" s="266" t="s">
        <v>179</v>
      </c>
      <c r="F11" s="255">
        <v>0</v>
      </c>
      <c r="G11" s="256">
        <v>0</v>
      </c>
      <c r="H11" s="258">
        <v>0</v>
      </c>
      <c r="I11" s="255">
        <v>0</v>
      </c>
      <c r="J11" s="256">
        <v>0</v>
      </c>
      <c r="K11" s="259">
        <v>0</v>
      </c>
    </row>
    <row r="12" spans="1:11" ht="14.4" customHeight="1" thickBot="1" x14ac:dyDescent="0.35">
      <c r="A12" s="277" t="s">
        <v>180</v>
      </c>
      <c r="B12" s="255">
        <v>3.5997891137529998</v>
      </c>
      <c r="C12" s="255">
        <v>3.8624800000000001</v>
      </c>
      <c r="D12" s="256">
        <v>0.26269088624600001</v>
      </c>
      <c r="E12" s="257">
        <v>1.0729739654029999</v>
      </c>
      <c r="F12" s="255">
        <v>2.9999999055069999</v>
      </c>
      <c r="G12" s="256">
        <v>0.49999998425100001</v>
      </c>
      <c r="H12" s="258">
        <v>0</v>
      </c>
      <c r="I12" s="255">
        <v>2</v>
      </c>
      <c r="J12" s="256">
        <v>1.500000015748</v>
      </c>
      <c r="K12" s="259">
        <v>0.66666668766500004</v>
      </c>
    </row>
    <row r="13" spans="1:11" ht="14.4" customHeight="1" thickBot="1" x14ac:dyDescent="0.35">
      <c r="A13" s="277" t="s">
        <v>181</v>
      </c>
      <c r="B13" s="255">
        <v>0.99991897388999995</v>
      </c>
      <c r="C13" s="255">
        <v>0</v>
      </c>
      <c r="D13" s="256">
        <v>-0.99991897388999995</v>
      </c>
      <c r="E13" s="257">
        <v>0</v>
      </c>
      <c r="F13" s="255">
        <v>0.99999996850200001</v>
      </c>
      <c r="G13" s="256">
        <v>0.16666666141700001</v>
      </c>
      <c r="H13" s="258">
        <v>0</v>
      </c>
      <c r="I13" s="255">
        <v>0</v>
      </c>
      <c r="J13" s="256">
        <v>-0.16666666141700001</v>
      </c>
      <c r="K13" s="259">
        <v>0</v>
      </c>
    </row>
    <row r="14" spans="1:11" ht="14.4" customHeight="1" thickBot="1" x14ac:dyDescent="0.35">
      <c r="A14" s="277" t="s">
        <v>182</v>
      </c>
      <c r="B14" s="255">
        <v>15.146162037372999</v>
      </c>
      <c r="C14" s="255">
        <v>11.434290000000001</v>
      </c>
      <c r="D14" s="256">
        <v>-3.7118720373729999</v>
      </c>
      <c r="E14" s="257">
        <v>0.75492986089699998</v>
      </c>
      <c r="F14" s="255">
        <v>11.306453226442001</v>
      </c>
      <c r="G14" s="256">
        <v>1.884408871073</v>
      </c>
      <c r="H14" s="258">
        <v>0</v>
      </c>
      <c r="I14" s="255">
        <v>0.20569999999999999</v>
      </c>
      <c r="J14" s="256">
        <v>-1.678708871073</v>
      </c>
      <c r="K14" s="259">
        <v>1.8193150041999999E-2</v>
      </c>
    </row>
    <row r="15" spans="1:11" ht="14.4" customHeight="1" thickBot="1" x14ac:dyDescent="0.35">
      <c r="A15" s="277" t="s">
        <v>183</v>
      </c>
      <c r="B15" s="255">
        <v>1.1655621035579999</v>
      </c>
      <c r="C15" s="255">
        <v>0.89283000000000001</v>
      </c>
      <c r="D15" s="256">
        <v>-0.27273210355799998</v>
      </c>
      <c r="E15" s="257">
        <v>0.766008089379</v>
      </c>
      <c r="F15" s="255">
        <v>0</v>
      </c>
      <c r="G15" s="256">
        <v>0</v>
      </c>
      <c r="H15" s="258">
        <v>0</v>
      </c>
      <c r="I15" s="255">
        <v>0</v>
      </c>
      <c r="J15" s="256">
        <v>0</v>
      </c>
      <c r="K15" s="265" t="s">
        <v>171</v>
      </c>
    </row>
    <row r="16" spans="1:11" ht="14.4" customHeight="1" thickBot="1" x14ac:dyDescent="0.35">
      <c r="A16" s="276" t="s">
        <v>184</v>
      </c>
      <c r="B16" s="260">
        <v>1.0001864980149999</v>
      </c>
      <c r="C16" s="260">
        <v>0.24560000000000001</v>
      </c>
      <c r="D16" s="261">
        <v>-0.75458649801400002</v>
      </c>
      <c r="E16" s="262">
        <v>0.24555420462800001</v>
      </c>
      <c r="F16" s="260">
        <v>0</v>
      </c>
      <c r="G16" s="261">
        <v>0</v>
      </c>
      <c r="H16" s="263">
        <v>0</v>
      </c>
      <c r="I16" s="260">
        <v>0</v>
      </c>
      <c r="J16" s="261">
        <v>0</v>
      </c>
      <c r="K16" s="267" t="s">
        <v>171</v>
      </c>
    </row>
    <row r="17" spans="1:11" ht="14.4" customHeight="1" thickBot="1" x14ac:dyDescent="0.35">
      <c r="A17" s="277" t="s">
        <v>185</v>
      </c>
      <c r="B17" s="255">
        <v>1.0001864980149999</v>
      </c>
      <c r="C17" s="255">
        <v>0.24560000000000001</v>
      </c>
      <c r="D17" s="256">
        <v>-0.75458649801400002</v>
      </c>
      <c r="E17" s="257">
        <v>0.24555420462800001</v>
      </c>
      <c r="F17" s="255">
        <v>0</v>
      </c>
      <c r="G17" s="256">
        <v>0</v>
      </c>
      <c r="H17" s="258">
        <v>0</v>
      </c>
      <c r="I17" s="255">
        <v>0</v>
      </c>
      <c r="J17" s="256">
        <v>0</v>
      </c>
      <c r="K17" s="265" t="s">
        <v>171</v>
      </c>
    </row>
    <row r="18" spans="1:11" ht="14.4" customHeight="1" thickBot="1" x14ac:dyDescent="0.35">
      <c r="A18" s="276" t="s">
        <v>186</v>
      </c>
      <c r="B18" s="260">
        <v>1.8795514824599999</v>
      </c>
      <c r="C18" s="260">
        <v>1.9791099999999999</v>
      </c>
      <c r="D18" s="261">
        <v>9.9558517538999997E-2</v>
      </c>
      <c r="E18" s="262">
        <v>1.052969295317</v>
      </c>
      <c r="F18" s="260">
        <v>0</v>
      </c>
      <c r="G18" s="261">
        <v>0</v>
      </c>
      <c r="H18" s="263">
        <v>0</v>
      </c>
      <c r="I18" s="260">
        <v>0.60499999999999998</v>
      </c>
      <c r="J18" s="261">
        <v>0.60499999999999998</v>
      </c>
      <c r="K18" s="267" t="s">
        <v>171</v>
      </c>
    </row>
    <row r="19" spans="1:11" ht="14.4" customHeight="1" thickBot="1" x14ac:dyDescent="0.35">
      <c r="A19" s="277" t="s">
        <v>187</v>
      </c>
      <c r="B19" s="255">
        <v>1.8795514824599999</v>
      </c>
      <c r="C19" s="255">
        <v>1.9791099999999999</v>
      </c>
      <c r="D19" s="256">
        <v>9.9558517538999997E-2</v>
      </c>
      <c r="E19" s="257">
        <v>1.052969295317</v>
      </c>
      <c r="F19" s="255">
        <v>0</v>
      </c>
      <c r="G19" s="256">
        <v>0</v>
      </c>
      <c r="H19" s="258">
        <v>0</v>
      </c>
      <c r="I19" s="255">
        <v>0.60499999999999998</v>
      </c>
      <c r="J19" s="256">
        <v>0.60499999999999998</v>
      </c>
      <c r="K19" s="265" t="s">
        <v>171</v>
      </c>
    </row>
    <row r="20" spans="1:11" ht="14.4" customHeight="1" thickBot="1" x14ac:dyDescent="0.35">
      <c r="A20" s="275" t="s">
        <v>15</v>
      </c>
      <c r="B20" s="255">
        <v>100.915077803017</v>
      </c>
      <c r="C20" s="255">
        <v>88.781279999999995</v>
      </c>
      <c r="D20" s="256">
        <v>-12.133797803017</v>
      </c>
      <c r="E20" s="257">
        <v>0.87976229055900002</v>
      </c>
      <c r="F20" s="255">
        <v>93.560000608199999</v>
      </c>
      <c r="G20" s="256">
        <v>15.5933334347</v>
      </c>
      <c r="H20" s="258">
        <v>8.5180000000000007</v>
      </c>
      <c r="I20" s="255">
        <v>18.503</v>
      </c>
      <c r="J20" s="256">
        <v>2.9096665652990001</v>
      </c>
      <c r="K20" s="259">
        <v>0.19776613808999999</v>
      </c>
    </row>
    <row r="21" spans="1:11" ht="14.4" customHeight="1" thickBot="1" x14ac:dyDescent="0.35">
      <c r="A21" s="276" t="s">
        <v>188</v>
      </c>
      <c r="B21" s="260">
        <v>100.915077803017</v>
      </c>
      <c r="C21" s="260">
        <v>88.781279999999995</v>
      </c>
      <c r="D21" s="261">
        <v>-12.133797803017</v>
      </c>
      <c r="E21" s="262">
        <v>0.87976229055900002</v>
      </c>
      <c r="F21" s="260">
        <v>93.560000608199999</v>
      </c>
      <c r="G21" s="261">
        <v>15.5933334347</v>
      </c>
      <c r="H21" s="263">
        <v>8.5180000000000007</v>
      </c>
      <c r="I21" s="260">
        <v>18.503</v>
      </c>
      <c r="J21" s="261">
        <v>2.9096665652990001</v>
      </c>
      <c r="K21" s="264">
        <v>0.19776613808999999</v>
      </c>
    </row>
    <row r="22" spans="1:11" ht="14.4" customHeight="1" thickBot="1" x14ac:dyDescent="0.35">
      <c r="A22" s="277" t="s">
        <v>189</v>
      </c>
      <c r="B22" s="255">
        <v>37.438088696244002</v>
      </c>
      <c r="C22" s="255">
        <v>31.457999999999998</v>
      </c>
      <c r="D22" s="256">
        <v>-5.9800886962439996</v>
      </c>
      <c r="E22" s="257">
        <v>0.84026725443200001</v>
      </c>
      <c r="F22" s="255">
        <v>32.311707951845001</v>
      </c>
      <c r="G22" s="256">
        <v>5.3852846586399998</v>
      </c>
      <c r="H22" s="258">
        <v>2.5030000000000001</v>
      </c>
      <c r="I22" s="255">
        <v>5.2039999999999997</v>
      </c>
      <c r="J22" s="256">
        <v>-0.18128465864000001</v>
      </c>
      <c r="K22" s="259">
        <v>0.16105617219999999</v>
      </c>
    </row>
    <row r="23" spans="1:11" ht="14.4" customHeight="1" thickBot="1" x14ac:dyDescent="0.35">
      <c r="A23" s="277" t="s">
        <v>190</v>
      </c>
      <c r="B23" s="255">
        <v>35.000237086696998</v>
      </c>
      <c r="C23" s="255">
        <v>32.03</v>
      </c>
      <c r="D23" s="256">
        <v>-2.9702370866969998</v>
      </c>
      <c r="E23" s="257">
        <v>0.91513665809300004</v>
      </c>
      <c r="F23" s="255">
        <v>34.999998897584</v>
      </c>
      <c r="G23" s="256">
        <v>5.8333331495970002</v>
      </c>
      <c r="H23" s="258">
        <v>2.496</v>
      </c>
      <c r="I23" s="255">
        <v>5.585</v>
      </c>
      <c r="J23" s="256">
        <v>-0.24833314959700001</v>
      </c>
      <c r="K23" s="259">
        <v>0.15957143359699999</v>
      </c>
    </row>
    <row r="24" spans="1:11" ht="14.4" customHeight="1" thickBot="1" x14ac:dyDescent="0.35">
      <c r="A24" s="277" t="s">
        <v>191</v>
      </c>
      <c r="B24" s="255">
        <v>27.007397364374999</v>
      </c>
      <c r="C24" s="255">
        <v>25.055</v>
      </c>
      <c r="D24" s="256">
        <v>-1.9523973643750001</v>
      </c>
      <c r="E24" s="257">
        <v>0.92770879259299999</v>
      </c>
      <c r="F24" s="255">
        <v>25.999999181063</v>
      </c>
      <c r="G24" s="256">
        <v>4.3333331968430002</v>
      </c>
      <c r="H24" s="258">
        <v>3.5190000000000001</v>
      </c>
      <c r="I24" s="255">
        <v>7.7140000000000004</v>
      </c>
      <c r="J24" s="256">
        <v>3.3806668031560001</v>
      </c>
      <c r="K24" s="259">
        <v>0.296692317037</v>
      </c>
    </row>
    <row r="25" spans="1:11" ht="14.4" customHeight="1" thickBot="1" x14ac:dyDescent="0.35">
      <c r="A25" s="277" t="s">
        <v>192</v>
      </c>
      <c r="B25" s="255">
        <v>1.4693546556999999</v>
      </c>
      <c r="C25" s="255">
        <v>0.23827999999999999</v>
      </c>
      <c r="D25" s="256">
        <v>-1.2310746557000001</v>
      </c>
      <c r="E25" s="257">
        <v>0.16216643073500001</v>
      </c>
      <c r="F25" s="255">
        <v>0.248294577706</v>
      </c>
      <c r="G25" s="256">
        <v>4.1382429616999998E-2</v>
      </c>
      <c r="H25" s="258">
        <v>0</v>
      </c>
      <c r="I25" s="255">
        <v>0</v>
      </c>
      <c r="J25" s="256">
        <v>-4.1382429616999998E-2</v>
      </c>
      <c r="K25" s="259">
        <v>0</v>
      </c>
    </row>
    <row r="26" spans="1:11" ht="14.4" customHeight="1" thickBot="1" x14ac:dyDescent="0.35">
      <c r="A26" s="278" t="s">
        <v>193</v>
      </c>
      <c r="B26" s="260">
        <v>47.141345074725997</v>
      </c>
      <c r="C26" s="260">
        <v>52.640470000000001</v>
      </c>
      <c r="D26" s="261">
        <v>5.4991249252739998</v>
      </c>
      <c r="E26" s="262">
        <v>1.116651845986</v>
      </c>
      <c r="F26" s="260">
        <v>66.406687796865995</v>
      </c>
      <c r="G26" s="261">
        <v>11.067781299477</v>
      </c>
      <c r="H26" s="263">
        <v>5.2682900000000004</v>
      </c>
      <c r="I26" s="260">
        <v>9.8108599999999999</v>
      </c>
      <c r="J26" s="261">
        <v>-1.256921299477</v>
      </c>
      <c r="K26" s="264">
        <v>0.147739035411</v>
      </c>
    </row>
    <row r="27" spans="1:11" ht="14.4" customHeight="1" thickBot="1" x14ac:dyDescent="0.35">
      <c r="A27" s="275" t="s">
        <v>18</v>
      </c>
      <c r="B27" s="255">
        <v>8.9434891255009994</v>
      </c>
      <c r="C27" s="255">
        <v>8.8530899999999999</v>
      </c>
      <c r="D27" s="256">
        <v>-9.0399125501000002E-2</v>
      </c>
      <c r="E27" s="257">
        <v>0.98989218589799999</v>
      </c>
      <c r="F27" s="255">
        <v>21.623146560443999</v>
      </c>
      <c r="G27" s="256">
        <v>3.6038577600739998</v>
      </c>
      <c r="H27" s="258">
        <v>0</v>
      </c>
      <c r="I27" s="255">
        <v>0</v>
      </c>
      <c r="J27" s="256">
        <v>-3.6038577600739998</v>
      </c>
      <c r="K27" s="259">
        <v>0</v>
      </c>
    </row>
    <row r="28" spans="1:11" ht="14.4" customHeight="1" thickBot="1" x14ac:dyDescent="0.35">
      <c r="A28" s="279" t="s">
        <v>194</v>
      </c>
      <c r="B28" s="255">
        <v>8.9434891255009994</v>
      </c>
      <c r="C28" s="255">
        <v>8.8530899999999999</v>
      </c>
      <c r="D28" s="256">
        <v>-9.0399125501000002E-2</v>
      </c>
      <c r="E28" s="257">
        <v>0.98989218589799999</v>
      </c>
      <c r="F28" s="255">
        <v>21.623146560443999</v>
      </c>
      <c r="G28" s="256">
        <v>3.6038577600739998</v>
      </c>
      <c r="H28" s="258">
        <v>0</v>
      </c>
      <c r="I28" s="255">
        <v>0</v>
      </c>
      <c r="J28" s="256">
        <v>-3.6038577600739998</v>
      </c>
      <c r="K28" s="259">
        <v>0</v>
      </c>
    </row>
    <row r="29" spans="1:11" ht="14.4" customHeight="1" thickBot="1" x14ac:dyDescent="0.35">
      <c r="A29" s="277" t="s">
        <v>195</v>
      </c>
      <c r="B29" s="255">
        <v>0</v>
      </c>
      <c r="C29" s="255">
        <v>6.28</v>
      </c>
      <c r="D29" s="256">
        <v>6.28</v>
      </c>
      <c r="E29" s="266" t="s">
        <v>179</v>
      </c>
      <c r="F29" s="255">
        <v>8.0375081878210004</v>
      </c>
      <c r="G29" s="256">
        <v>1.3395846979699999</v>
      </c>
      <c r="H29" s="258">
        <v>0</v>
      </c>
      <c r="I29" s="255">
        <v>0</v>
      </c>
      <c r="J29" s="256">
        <v>-1.3395846979699999</v>
      </c>
      <c r="K29" s="259">
        <v>0</v>
      </c>
    </row>
    <row r="30" spans="1:11" ht="14.4" customHeight="1" thickBot="1" x14ac:dyDescent="0.35">
      <c r="A30" s="277" t="s">
        <v>196</v>
      </c>
      <c r="B30" s="255">
        <v>6.9999881818759997</v>
      </c>
      <c r="C30" s="255">
        <v>0.85304999999999997</v>
      </c>
      <c r="D30" s="256">
        <v>-6.1469381818760001</v>
      </c>
      <c r="E30" s="257">
        <v>0.121864491458</v>
      </c>
      <c r="F30" s="255">
        <v>11.999999622029</v>
      </c>
      <c r="G30" s="256">
        <v>1.999999937004</v>
      </c>
      <c r="H30" s="258">
        <v>0</v>
      </c>
      <c r="I30" s="255">
        <v>0</v>
      </c>
      <c r="J30" s="256">
        <v>-1.999999937004</v>
      </c>
      <c r="K30" s="259">
        <v>0</v>
      </c>
    </row>
    <row r="31" spans="1:11" ht="14.4" customHeight="1" thickBot="1" x14ac:dyDescent="0.35">
      <c r="A31" s="277" t="s">
        <v>197</v>
      </c>
      <c r="B31" s="255">
        <v>1.9435009436249999</v>
      </c>
      <c r="C31" s="255">
        <v>1.72004</v>
      </c>
      <c r="D31" s="256">
        <v>-0.22346094362499999</v>
      </c>
      <c r="E31" s="257">
        <v>0.88502143806</v>
      </c>
      <c r="F31" s="255">
        <v>1.5856387505930001</v>
      </c>
      <c r="G31" s="256">
        <v>0.26427312509799999</v>
      </c>
      <c r="H31" s="258">
        <v>0</v>
      </c>
      <c r="I31" s="255">
        <v>0</v>
      </c>
      <c r="J31" s="256">
        <v>-0.26427312509799999</v>
      </c>
      <c r="K31" s="259">
        <v>0</v>
      </c>
    </row>
    <row r="32" spans="1:11" ht="14.4" customHeight="1" thickBot="1" x14ac:dyDescent="0.35">
      <c r="A32" s="280" t="s">
        <v>19</v>
      </c>
      <c r="B32" s="260">
        <v>0</v>
      </c>
      <c r="C32" s="260">
        <v>0.78700000000000003</v>
      </c>
      <c r="D32" s="261">
        <v>0.78700000000000003</v>
      </c>
      <c r="E32" s="268" t="s">
        <v>171</v>
      </c>
      <c r="F32" s="260">
        <v>0</v>
      </c>
      <c r="G32" s="261">
        <v>0</v>
      </c>
      <c r="H32" s="263">
        <v>0.61799999999999999</v>
      </c>
      <c r="I32" s="260">
        <v>0.61799999999999999</v>
      </c>
      <c r="J32" s="261">
        <v>0.61799999999999999</v>
      </c>
      <c r="K32" s="267" t="s">
        <v>171</v>
      </c>
    </row>
    <row r="33" spans="1:11" ht="14.4" customHeight="1" thickBot="1" x14ac:dyDescent="0.35">
      <c r="A33" s="276" t="s">
        <v>198</v>
      </c>
      <c r="B33" s="260">
        <v>0</v>
      </c>
      <c r="C33" s="260">
        <v>0.78700000000000003</v>
      </c>
      <c r="D33" s="261">
        <v>0.78700000000000003</v>
      </c>
      <c r="E33" s="268" t="s">
        <v>171</v>
      </c>
      <c r="F33" s="260">
        <v>0</v>
      </c>
      <c r="G33" s="261">
        <v>0</v>
      </c>
      <c r="H33" s="263">
        <v>0.61799999999999999</v>
      </c>
      <c r="I33" s="260">
        <v>0.61799999999999999</v>
      </c>
      <c r="J33" s="261">
        <v>0.61799999999999999</v>
      </c>
      <c r="K33" s="267" t="s">
        <v>171</v>
      </c>
    </row>
    <row r="34" spans="1:11" ht="14.4" customHeight="1" thickBot="1" x14ac:dyDescent="0.35">
      <c r="A34" s="277" t="s">
        <v>199</v>
      </c>
      <c r="B34" s="255">
        <v>0</v>
      </c>
      <c r="C34" s="255">
        <v>0.78700000000000003</v>
      </c>
      <c r="D34" s="256">
        <v>0.78700000000000003</v>
      </c>
      <c r="E34" s="266" t="s">
        <v>171</v>
      </c>
      <c r="F34" s="255">
        <v>0</v>
      </c>
      <c r="G34" s="256">
        <v>0</v>
      </c>
      <c r="H34" s="258">
        <v>0.61799999999999999</v>
      </c>
      <c r="I34" s="255">
        <v>0.61799999999999999</v>
      </c>
      <c r="J34" s="256">
        <v>0.61799999999999999</v>
      </c>
      <c r="K34" s="265" t="s">
        <v>171</v>
      </c>
    </row>
    <row r="35" spans="1:11" ht="14.4" customHeight="1" thickBot="1" x14ac:dyDescent="0.35">
      <c r="A35" s="275" t="s">
        <v>20</v>
      </c>
      <c r="B35" s="255">
        <v>38.197855949224</v>
      </c>
      <c r="C35" s="255">
        <v>43.00038</v>
      </c>
      <c r="D35" s="256">
        <v>4.8025240507750002</v>
      </c>
      <c r="E35" s="257">
        <v>1.125727581599</v>
      </c>
      <c r="F35" s="255">
        <v>44.783541236422003</v>
      </c>
      <c r="G35" s="256">
        <v>7.4639235394029999</v>
      </c>
      <c r="H35" s="258">
        <v>4.65029</v>
      </c>
      <c r="I35" s="255">
        <v>9.1928599999999996</v>
      </c>
      <c r="J35" s="256">
        <v>1.728936460596</v>
      </c>
      <c r="K35" s="259">
        <v>0.205273181758</v>
      </c>
    </row>
    <row r="36" spans="1:11" ht="14.4" customHeight="1" thickBot="1" x14ac:dyDescent="0.35">
      <c r="A36" s="276" t="s">
        <v>200</v>
      </c>
      <c r="B36" s="260">
        <v>19.474133285687</v>
      </c>
      <c r="C36" s="260">
        <v>22.012419999999999</v>
      </c>
      <c r="D36" s="261">
        <v>2.538286714312</v>
      </c>
      <c r="E36" s="262">
        <v>1.130341447143</v>
      </c>
      <c r="F36" s="260">
        <v>22.455456364566999</v>
      </c>
      <c r="G36" s="261">
        <v>3.7425760607609999</v>
      </c>
      <c r="H36" s="263">
        <v>2.8620299999999999</v>
      </c>
      <c r="I36" s="260">
        <v>5.3463399999999996</v>
      </c>
      <c r="J36" s="261">
        <v>1.6037639392380001</v>
      </c>
      <c r="K36" s="264">
        <v>0.23808645494399999</v>
      </c>
    </row>
    <row r="37" spans="1:11" ht="14.4" customHeight="1" thickBot="1" x14ac:dyDescent="0.35">
      <c r="A37" s="277" t="s">
        <v>201</v>
      </c>
      <c r="B37" s="255">
        <v>6.5570348239509997</v>
      </c>
      <c r="C37" s="255">
        <v>6.7988</v>
      </c>
      <c r="D37" s="256">
        <v>0.24176517604799999</v>
      </c>
      <c r="E37" s="257">
        <v>1.036871113626</v>
      </c>
      <c r="F37" s="255">
        <v>6.4837612672110003</v>
      </c>
      <c r="G37" s="256">
        <v>1.0806268778679999</v>
      </c>
      <c r="H37" s="258">
        <v>1.2692000000000001</v>
      </c>
      <c r="I37" s="255">
        <v>1.2692000000000001</v>
      </c>
      <c r="J37" s="256">
        <v>0.188573122131</v>
      </c>
      <c r="K37" s="259">
        <v>0.19575057558299999</v>
      </c>
    </row>
    <row r="38" spans="1:11" ht="14.4" customHeight="1" thickBot="1" x14ac:dyDescent="0.35">
      <c r="A38" s="277" t="s">
        <v>202</v>
      </c>
      <c r="B38" s="255">
        <v>12.917098461736</v>
      </c>
      <c r="C38" s="255">
        <v>15.213620000000001</v>
      </c>
      <c r="D38" s="256">
        <v>2.2965215382630002</v>
      </c>
      <c r="E38" s="257">
        <v>1.1777892724950001</v>
      </c>
      <c r="F38" s="255">
        <v>15.971695097354999</v>
      </c>
      <c r="G38" s="256">
        <v>2.6619491828920001</v>
      </c>
      <c r="H38" s="258">
        <v>1.59283</v>
      </c>
      <c r="I38" s="255">
        <v>4.07714</v>
      </c>
      <c r="J38" s="256">
        <v>1.415190817107</v>
      </c>
      <c r="K38" s="259">
        <v>0.25527284205799999</v>
      </c>
    </row>
    <row r="39" spans="1:11" ht="14.4" customHeight="1" thickBot="1" x14ac:dyDescent="0.35">
      <c r="A39" s="276" t="s">
        <v>203</v>
      </c>
      <c r="B39" s="260">
        <v>1.1186753844199999</v>
      </c>
      <c r="C39" s="260">
        <v>1.08</v>
      </c>
      <c r="D39" s="261">
        <v>-3.867538442E-2</v>
      </c>
      <c r="E39" s="262">
        <v>0.96542751815299999</v>
      </c>
      <c r="F39" s="260">
        <v>0.99999996850200001</v>
      </c>
      <c r="G39" s="261">
        <v>0.16666666141700001</v>
      </c>
      <c r="H39" s="263">
        <v>0</v>
      </c>
      <c r="I39" s="260">
        <v>0.27</v>
      </c>
      <c r="J39" s="261">
        <v>0.103333338582</v>
      </c>
      <c r="K39" s="264">
        <v>0.27000000850400002</v>
      </c>
    </row>
    <row r="40" spans="1:11" ht="14.4" customHeight="1" thickBot="1" x14ac:dyDescent="0.35">
      <c r="A40" s="277" t="s">
        <v>204</v>
      </c>
      <c r="B40" s="255">
        <v>1.1186753844199999</v>
      </c>
      <c r="C40" s="255">
        <v>1.08</v>
      </c>
      <c r="D40" s="256">
        <v>-3.867538442E-2</v>
      </c>
      <c r="E40" s="257">
        <v>0.96542751815299999</v>
      </c>
      <c r="F40" s="255">
        <v>0.99999996850200001</v>
      </c>
      <c r="G40" s="256">
        <v>0.16666666141700001</v>
      </c>
      <c r="H40" s="258">
        <v>0</v>
      </c>
      <c r="I40" s="255">
        <v>0.27</v>
      </c>
      <c r="J40" s="256">
        <v>0.103333338582</v>
      </c>
      <c r="K40" s="259">
        <v>0.27000000850400002</v>
      </c>
    </row>
    <row r="41" spans="1:11" ht="14.4" customHeight="1" thickBot="1" x14ac:dyDescent="0.35">
      <c r="A41" s="276" t="s">
        <v>205</v>
      </c>
      <c r="B41" s="260">
        <v>16.475319081060999</v>
      </c>
      <c r="C41" s="260">
        <v>19.907959999999999</v>
      </c>
      <c r="D41" s="261">
        <v>3.4326409189380001</v>
      </c>
      <c r="E41" s="262">
        <v>1.2083504970100001</v>
      </c>
      <c r="F41" s="260">
        <v>21.328084903352998</v>
      </c>
      <c r="G41" s="261">
        <v>3.554680817225</v>
      </c>
      <c r="H41" s="263">
        <v>1.78826</v>
      </c>
      <c r="I41" s="260">
        <v>3.5765199999999999</v>
      </c>
      <c r="J41" s="261">
        <v>2.1839182774000002E-2</v>
      </c>
      <c r="K41" s="264">
        <v>0.167690630274</v>
      </c>
    </row>
    <row r="42" spans="1:11" ht="14.4" customHeight="1" thickBot="1" x14ac:dyDescent="0.35">
      <c r="A42" s="277" t="s">
        <v>206</v>
      </c>
      <c r="B42" s="255">
        <v>16.475319081060999</v>
      </c>
      <c r="C42" s="255">
        <v>19.907959999999999</v>
      </c>
      <c r="D42" s="256">
        <v>3.4326409189380001</v>
      </c>
      <c r="E42" s="257">
        <v>1.2083504970100001</v>
      </c>
      <c r="F42" s="255">
        <v>21.328084903352998</v>
      </c>
      <c r="G42" s="256">
        <v>3.554680817225</v>
      </c>
      <c r="H42" s="258">
        <v>1.78826</v>
      </c>
      <c r="I42" s="255">
        <v>3.5765199999999999</v>
      </c>
      <c r="J42" s="256">
        <v>2.1839182774000002E-2</v>
      </c>
      <c r="K42" s="259">
        <v>0.167690630274</v>
      </c>
    </row>
    <row r="43" spans="1:11" ht="14.4" customHeight="1" thickBot="1" x14ac:dyDescent="0.35">
      <c r="A43" s="274" t="s">
        <v>21</v>
      </c>
      <c r="B43" s="255">
        <v>3398.0168092227</v>
      </c>
      <c r="C43" s="255">
        <v>3620.5961000000002</v>
      </c>
      <c r="D43" s="256">
        <v>222.57929077730401</v>
      </c>
      <c r="E43" s="257">
        <v>1.0655027044509999</v>
      </c>
      <c r="F43" s="255">
        <v>3652.9998849393501</v>
      </c>
      <c r="G43" s="256">
        <v>608.83331415655903</v>
      </c>
      <c r="H43" s="258">
        <v>288.973150000001</v>
      </c>
      <c r="I43" s="255">
        <v>580.38141000000098</v>
      </c>
      <c r="J43" s="256">
        <v>-28.451904156558001</v>
      </c>
      <c r="K43" s="259">
        <v>0.15887802580900001</v>
      </c>
    </row>
    <row r="44" spans="1:11" ht="14.4" customHeight="1" thickBot="1" x14ac:dyDescent="0.35">
      <c r="A44" s="280" t="s">
        <v>207</v>
      </c>
      <c r="B44" s="260">
        <v>2518.99999999996</v>
      </c>
      <c r="C44" s="260">
        <v>2681.913</v>
      </c>
      <c r="D44" s="261">
        <v>162.913000000046</v>
      </c>
      <c r="E44" s="262">
        <v>1.0646736800309999</v>
      </c>
      <c r="F44" s="260">
        <v>2707.9999147045601</v>
      </c>
      <c r="G44" s="261">
        <v>451.33331911742698</v>
      </c>
      <c r="H44" s="263">
        <v>214.054000000001</v>
      </c>
      <c r="I44" s="260">
        <v>429.91199999999998</v>
      </c>
      <c r="J44" s="261">
        <v>-21.421319117425998</v>
      </c>
      <c r="K44" s="264">
        <v>0.15875628269600001</v>
      </c>
    </row>
    <row r="45" spans="1:11" ht="14.4" customHeight="1" thickBot="1" x14ac:dyDescent="0.35">
      <c r="A45" s="276" t="s">
        <v>208</v>
      </c>
      <c r="B45" s="260">
        <v>2509.99999999996</v>
      </c>
      <c r="C45" s="260">
        <v>2681.913</v>
      </c>
      <c r="D45" s="261">
        <v>171.913000000046</v>
      </c>
      <c r="E45" s="262">
        <v>1.0684912350589999</v>
      </c>
      <c r="F45" s="260">
        <v>2699.9999149565401</v>
      </c>
      <c r="G45" s="261">
        <v>449.99998582609101</v>
      </c>
      <c r="H45" s="263">
        <v>214.054000000001</v>
      </c>
      <c r="I45" s="260">
        <v>429.91199999999998</v>
      </c>
      <c r="J45" s="261">
        <v>-20.087985826090001</v>
      </c>
      <c r="K45" s="264">
        <v>0.15922667168099999</v>
      </c>
    </row>
    <row r="46" spans="1:11" ht="14.4" customHeight="1" thickBot="1" x14ac:dyDescent="0.35">
      <c r="A46" s="277" t="s">
        <v>209</v>
      </c>
      <c r="B46" s="255">
        <v>2509.99999999996</v>
      </c>
      <c r="C46" s="255">
        <v>2681.913</v>
      </c>
      <c r="D46" s="256">
        <v>171.913000000046</v>
      </c>
      <c r="E46" s="257">
        <v>1.0684912350589999</v>
      </c>
      <c r="F46" s="255">
        <v>2699.9999149565401</v>
      </c>
      <c r="G46" s="256">
        <v>449.99998582609101</v>
      </c>
      <c r="H46" s="258">
        <v>214.054000000001</v>
      </c>
      <c r="I46" s="255">
        <v>429.91199999999998</v>
      </c>
      <c r="J46" s="256">
        <v>-20.087985826090001</v>
      </c>
      <c r="K46" s="259">
        <v>0.15922667168099999</v>
      </c>
    </row>
    <row r="47" spans="1:11" ht="14.4" customHeight="1" thickBot="1" x14ac:dyDescent="0.35">
      <c r="A47" s="276" t="s">
        <v>210</v>
      </c>
      <c r="B47" s="260">
        <v>8.9999999999989999</v>
      </c>
      <c r="C47" s="260">
        <v>0</v>
      </c>
      <c r="D47" s="261">
        <v>-8.9999999999989999</v>
      </c>
      <c r="E47" s="262">
        <v>0</v>
      </c>
      <c r="F47" s="260">
        <v>7.9999997480190004</v>
      </c>
      <c r="G47" s="261">
        <v>1.3333332913360001</v>
      </c>
      <c r="H47" s="263">
        <v>0</v>
      </c>
      <c r="I47" s="260">
        <v>0</v>
      </c>
      <c r="J47" s="261">
        <v>-1.3333332913360001</v>
      </c>
      <c r="K47" s="264">
        <v>0</v>
      </c>
    </row>
    <row r="48" spans="1:11" ht="14.4" customHeight="1" thickBot="1" x14ac:dyDescent="0.35">
      <c r="A48" s="277" t="s">
        <v>211</v>
      </c>
      <c r="B48" s="255">
        <v>8.9999999999989999</v>
      </c>
      <c r="C48" s="255">
        <v>0</v>
      </c>
      <c r="D48" s="256">
        <v>-8.9999999999989999</v>
      </c>
      <c r="E48" s="257">
        <v>0</v>
      </c>
      <c r="F48" s="255">
        <v>7.9999997480190004</v>
      </c>
      <c r="G48" s="256">
        <v>1.3333332913360001</v>
      </c>
      <c r="H48" s="258">
        <v>0</v>
      </c>
      <c r="I48" s="255">
        <v>0</v>
      </c>
      <c r="J48" s="256">
        <v>-1.3333332913360001</v>
      </c>
      <c r="K48" s="259">
        <v>0</v>
      </c>
    </row>
    <row r="49" spans="1:11" ht="14.4" customHeight="1" thickBot="1" x14ac:dyDescent="0.35">
      <c r="A49" s="275" t="s">
        <v>212</v>
      </c>
      <c r="B49" s="255">
        <v>854.01680922274295</v>
      </c>
      <c r="C49" s="255">
        <v>911.85024999999996</v>
      </c>
      <c r="D49" s="256">
        <v>57.833440777257003</v>
      </c>
      <c r="E49" s="257">
        <v>1.067719323733</v>
      </c>
      <c r="F49" s="255">
        <v>917.99997108522405</v>
      </c>
      <c r="G49" s="256">
        <v>152.999995180871</v>
      </c>
      <c r="H49" s="258">
        <v>72.778499999999994</v>
      </c>
      <c r="I49" s="255">
        <v>146.16999999999999</v>
      </c>
      <c r="J49" s="256">
        <v>-6.8299951808700001</v>
      </c>
      <c r="K49" s="259">
        <v>0.15922658453499999</v>
      </c>
    </row>
    <row r="50" spans="1:11" ht="14.4" customHeight="1" thickBot="1" x14ac:dyDescent="0.35">
      <c r="A50" s="276" t="s">
        <v>213</v>
      </c>
      <c r="B50" s="260">
        <v>226.016809222756</v>
      </c>
      <c r="C50" s="260">
        <v>241.37200000000001</v>
      </c>
      <c r="D50" s="261">
        <v>15.355190777243999</v>
      </c>
      <c r="E50" s="262">
        <v>1.0679382689720001</v>
      </c>
      <c r="F50" s="260">
        <v>242.99999234608899</v>
      </c>
      <c r="G50" s="261">
        <v>40.499998724348004</v>
      </c>
      <c r="H50" s="263">
        <v>19.265000000000001</v>
      </c>
      <c r="I50" s="260">
        <v>38.692</v>
      </c>
      <c r="J50" s="261">
        <v>-1.807998724348</v>
      </c>
      <c r="K50" s="264">
        <v>0.15922634246299999</v>
      </c>
    </row>
    <row r="51" spans="1:11" ht="14.4" customHeight="1" thickBot="1" x14ac:dyDescent="0.35">
      <c r="A51" s="277" t="s">
        <v>214</v>
      </c>
      <c r="B51" s="255">
        <v>226.016809222756</v>
      </c>
      <c r="C51" s="255">
        <v>241.37200000000001</v>
      </c>
      <c r="D51" s="256">
        <v>15.355190777243999</v>
      </c>
      <c r="E51" s="257">
        <v>1.0679382689720001</v>
      </c>
      <c r="F51" s="255">
        <v>242.99999234608899</v>
      </c>
      <c r="G51" s="256">
        <v>40.499998724348004</v>
      </c>
      <c r="H51" s="258">
        <v>19.265000000000001</v>
      </c>
      <c r="I51" s="255">
        <v>38.692</v>
      </c>
      <c r="J51" s="256">
        <v>-1.807998724348</v>
      </c>
      <c r="K51" s="259">
        <v>0.15922634246299999</v>
      </c>
    </row>
    <row r="52" spans="1:11" ht="14.4" customHeight="1" thickBot="1" x14ac:dyDescent="0.35">
      <c r="A52" s="276" t="s">
        <v>215</v>
      </c>
      <c r="B52" s="260">
        <v>627.99999999998704</v>
      </c>
      <c r="C52" s="260">
        <v>670.47825</v>
      </c>
      <c r="D52" s="261">
        <v>42.478250000011997</v>
      </c>
      <c r="E52" s="262">
        <v>1.0676405254770001</v>
      </c>
      <c r="F52" s="260">
        <v>674.99997873913503</v>
      </c>
      <c r="G52" s="261">
        <v>112.49999645652299</v>
      </c>
      <c r="H52" s="263">
        <v>53.513500000000001</v>
      </c>
      <c r="I52" s="260">
        <v>107.47799999999999</v>
      </c>
      <c r="J52" s="261">
        <v>-5.0219964565220003</v>
      </c>
      <c r="K52" s="264">
        <v>0.15922667168099999</v>
      </c>
    </row>
    <row r="53" spans="1:11" ht="14.4" customHeight="1" thickBot="1" x14ac:dyDescent="0.35">
      <c r="A53" s="277" t="s">
        <v>216</v>
      </c>
      <c r="B53" s="255">
        <v>627.99999999998704</v>
      </c>
      <c r="C53" s="255">
        <v>670.47825</v>
      </c>
      <c r="D53" s="256">
        <v>42.478250000011997</v>
      </c>
      <c r="E53" s="257">
        <v>1.0676405254770001</v>
      </c>
      <c r="F53" s="255">
        <v>674.99997873913503</v>
      </c>
      <c r="G53" s="256">
        <v>112.49999645652299</v>
      </c>
      <c r="H53" s="258">
        <v>53.513500000000001</v>
      </c>
      <c r="I53" s="255">
        <v>107.47799999999999</v>
      </c>
      <c r="J53" s="256">
        <v>-5.0219964565220003</v>
      </c>
      <c r="K53" s="259">
        <v>0.15922667168099999</v>
      </c>
    </row>
    <row r="54" spans="1:11" ht="14.4" customHeight="1" thickBot="1" x14ac:dyDescent="0.35">
      <c r="A54" s="275" t="s">
        <v>217</v>
      </c>
      <c r="B54" s="255">
        <v>24.999999999999002</v>
      </c>
      <c r="C54" s="255">
        <v>26.832850000000001</v>
      </c>
      <c r="D54" s="256">
        <v>1.8328500000000001</v>
      </c>
      <c r="E54" s="257">
        <v>1.0733140000000001</v>
      </c>
      <c r="F54" s="255">
        <v>26.999999149564999</v>
      </c>
      <c r="G54" s="256">
        <v>4.4999998582599998</v>
      </c>
      <c r="H54" s="258">
        <v>2.1406499999999999</v>
      </c>
      <c r="I54" s="255">
        <v>4.29941</v>
      </c>
      <c r="J54" s="256">
        <v>-0.20058985826</v>
      </c>
      <c r="K54" s="259">
        <v>0.15923741242299999</v>
      </c>
    </row>
    <row r="55" spans="1:11" ht="14.4" customHeight="1" thickBot="1" x14ac:dyDescent="0.35">
      <c r="A55" s="276" t="s">
        <v>218</v>
      </c>
      <c r="B55" s="260">
        <v>24.999999999999002</v>
      </c>
      <c r="C55" s="260">
        <v>26.832850000000001</v>
      </c>
      <c r="D55" s="261">
        <v>1.8328500000000001</v>
      </c>
      <c r="E55" s="262">
        <v>1.0733140000000001</v>
      </c>
      <c r="F55" s="260">
        <v>26.999999149564999</v>
      </c>
      <c r="G55" s="261">
        <v>4.4999998582599998</v>
      </c>
      <c r="H55" s="263">
        <v>2.1406499999999999</v>
      </c>
      <c r="I55" s="260">
        <v>4.29941</v>
      </c>
      <c r="J55" s="261">
        <v>-0.20058985826</v>
      </c>
      <c r="K55" s="264">
        <v>0.15923741242299999</v>
      </c>
    </row>
    <row r="56" spans="1:11" ht="14.4" customHeight="1" thickBot="1" x14ac:dyDescent="0.35">
      <c r="A56" s="277" t="s">
        <v>219</v>
      </c>
      <c r="B56" s="255">
        <v>24.999999999999002</v>
      </c>
      <c r="C56" s="255">
        <v>26.832850000000001</v>
      </c>
      <c r="D56" s="256">
        <v>1.8328500000000001</v>
      </c>
      <c r="E56" s="257">
        <v>1.0733140000000001</v>
      </c>
      <c r="F56" s="255">
        <v>26.999999149564999</v>
      </c>
      <c r="G56" s="256">
        <v>4.4999998582599998</v>
      </c>
      <c r="H56" s="258">
        <v>2.1406499999999999</v>
      </c>
      <c r="I56" s="255">
        <v>4.29941</v>
      </c>
      <c r="J56" s="256">
        <v>-0.20058985826</v>
      </c>
      <c r="K56" s="259">
        <v>0.15923741242299999</v>
      </c>
    </row>
    <row r="57" spans="1:11" ht="14.4" customHeight="1" thickBot="1" x14ac:dyDescent="0.35">
      <c r="A57" s="274" t="s">
        <v>220</v>
      </c>
      <c r="B57" s="255">
        <v>0</v>
      </c>
      <c r="C57" s="255">
        <v>0.85572000000000004</v>
      </c>
      <c r="D57" s="256">
        <v>0.85572000000000004</v>
      </c>
      <c r="E57" s="266" t="s">
        <v>171</v>
      </c>
      <c r="F57" s="255">
        <v>0</v>
      </c>
      <c r="G57" s="256">
        <v>0</v>
      </c>
      <c r="H57" s="258">
        <v>0</v>
      </c>
      <c r="I57" s="255">
        <v>0</v>
      </c>
      <c r="J57" s="256">
        <v>0</v>
      </c>
      <c r="K57" s="265" t="s">
        <v>171</v>
      </c>
    </row>
    <row r="58" spans="1:11" ht="14.4" customHeight="1" thickBot="1" x14ac:dyDescent="0.35">
      <c r="A58" s="275" t="s">
        <v>221</v>
      </c>
      <c r="B58" s="255">
        <v>0</v>
      </c>
      <c r="C58" s="255">
        <v>0.85572000000000004</v>
      </c>
      <c r="D58" s="256">
        <v>0.85572000000000004</v>
      </c>
      <c r="E58" s="266" t="s">
        <v>171</v>
      </c>
      <c r="F58" s="255">
        <v>0</v>
      </c>
      <c r="G58" s="256">
        <v>0</v>
      </c>
      <c r="H58" s="258">
        <v>0</v>
      </c>
      <c r="I58" s="255">
        <v>0</v>
      </c>
      <c r="J58" s="256">
        <v>0</v>
      </c>
      <c r="K58" s="265" t="s">
        <v>171</v>
      </c>
    </row>
    <row r="59" spans="1:11" ht="14.4" customHeight="1" thickBot="1" x14ac:dyDescent="0.35">
      <c r="A59" s="276" t="s">
        <v>222</v>
      </c>
      <c r="B59" s="260">
        <v>0</v>
      </c>
      <c r="C59" s="260">
        <v>1.298</v>
      </c>
      <c r="D59" s="261">
        <v>1.298</v>
      </c>
      <c r="E59" s="268" t="s">
        <v>171</v>
      </c>
      <c r="F59" s="260">
        <v>0</v>
      </c>
      <c r="G59" s="261">
        <v>0</v>
      </c>
      <c r="H59" s="263">
        <v>0</v>
      </c>
      <c r="I59" s="260">
        <v>0</v>
      </c>
      <c r="J59" s="261">
        <v>0</v>
      </c>
      <c r="K59" s="267" t="s">
        <v>171</v>
      </c>
    </row>
    <row r="60" spans="1:11" ht="14.4" customHeight="1" thickBot="1" x14ac:dyDescent="0.35">
      <c r="A60" s="277" t="s">
        <v>223</v>
      </c>
      <c r="B60" s="255">
        <v>0</v>
      </c>
      <c r="C60" s="255">
        <v>1.198</v>
      </c>
      <c r="D60" s="256">
        <v>1.198</v>
      </c>
      <c r="E60" s="266" t="s">
        <v>171</v>
      </c>
      <c r="F60" s="255">
        <v>0</v>
      </c>
      <c r="G60" s="256">
        <v>0</v>
      </c>
      <c r="H60" s="258">
        <v>0</v>
      </c>
      <c r="I60" s="255">
        <v>0</v>
      </c>
      <c r="J60" s="256">
        <v>0</v>
      </c>
      <c r="K60" s="265" t="s">
        <v>171</v>
      </c>
    </row>
    <row r="61" spans="1:11" ht="14.4" customHeight="1" thickBot="1" x14ac:dyDescent="0.35">
      <c r="A61" s="277" t="s">
        <v>224</v>
      </c>
      <c r="B61" s="255">
        <v>0</v>
      </c>
      <c r="C61" s="255">
        <v>0.1</v>
      </c>
      <c r="D61" s="256">
        <v>0.1</v>
      </c>
      <c r="E61" s="266" t="s">
        <v>171</v>
      </c>
      <c r="F61" s="255">
        <v>0</v>
      </c>
      <c r="G61" s="256">
        <v>0</v>
      </c>
      <c r="H61" s="258">
        <v>0</v>
      </c>
      <c r="I61" s="255">
        <v>0</v>
      </c>
      <c r="J61" s="256">
        <v>0</v>
      </c>
      <c r="K61" s="265" t="s">
        <v>171</v>
      </c>
    </row>
    <row r="62" spans="1:11" ht="14.4" customHeight="1" thickBot="1" x14ac:dyDescent="0.35">
      <c r="A62" s="276" t="s">
        <v>225</v>
      </c>
      <c r="B62" s="260">
        <v>0</v>
      </c>
      <c r="C62" s="260">
        <v>-0.44228000000000001</v>
      </c>
      <c r="D62" s="261">
        <v>-0.44228000000000001</v>
      </c>
      <c r="E62" s="268" t="s">
        <v>179</v>
      </c>
      <c r="F62" s="260">
        <v>0</v>
      </c>
      <c r="G62" s="261">
        <v>0</v>
      </c>
      <c r="H62" s="263">
        <v>0</v>
      </c>
      <c r="I62" s="260">
        <v>0</v>
      </c>
      <c r="J62" s="261">
        <v>0</v>
      </c>
      <c r="K62" s="267" t="s">
        <v>171</v>
      </c>
    </row>
    <row r="63" spans="1:11" ht="14.4" customHeight="1" thickBot="1" x14ac:dyDescent="0.35">
      <c r="A63" s="277" t="s">
        <v>226</v>
      </c>
      <c r="B63" s="255">
        <v>0</v>
      </c>
      <c r="C63" s="255">
        <v>-0.44228000000000001</v>
      </c>
      <c r="D63" s="256">
        <v>-0.44228000000000001</v>
      </c>
      <c r="E63" s="266" t="s">
        <v>179</v>
      </c>
      <c r="F63" s="255">
        <v>0</v>
      </c>
      <c r="G63" s="256">
        <v>0</v>
      </c>
      <c r="H63" s="258">
        <v>0</v>
      </c>
      <c r="I63" s="255">
        <v>0</v>
      </c>
      <c r="J63" s="256">
        <v>0</v>
      </c>
      <c r="K63" s="265" t="s">
        <v>171</v>
      </c>
    </row>
    <row r="64" spans="1:11" ht="14.4" customHeight="1" thickBot="1" x14ac:dyDescent="0.35">
      <c r="A64" s="274" t="s">
        <v>227</v>
      </c>
      <c r="B64" s="255">
        <v>16.999324593766001</v>
      </c>
      <c r="C64" s="255">
        <v>16.86</v>
      </c>
      <c r="D64" s="256">
        <v>-0.13932459376600001</v>
      </c>
      <c r="E64" s="257">
        <v>0.99180411003900004</v>
      </c>
      <c r="F64" s="255">
        <v>16.99999946454</v>
      </c>
      <c r="G64" s="256">
        <v>2.8333332440899999</v>
      </c>
      <c r="H64" s="258">
        <v>1.405</v>
      </c>
      <c r="I64" s="255">
        <v>2.81</v>
      </c>
      <c r="J64" s="256">
        <v>-2.333324409E-2</v>
      </c>
      <c r="K64" s="259">
        <v>0.16529412285299999</v>
      </c>
    </row>
    <row r="65" spans="1:11" ht="14.4" customHeight="1" thickBot="1" x14ac:dyDescent="0.35">
      <c r="A65" s="275" t="s">
        <v>228</v>
      </c>
      <c r="B65" s="255">
        <v>16.999324593766001</v>
      </c>
      <c r="C65" s="255">
        <v>16.86</v>
      </c>
      <c r="D65" s="256">
        <v>-0.13932459376600001</v>
      </c>
      <c r="E65" s="257">
        <v>0.99180411003900004</v>
      </c>
      <c r="F65" s="255">
        <v>16.99999946454</v>
      </c>
      <c r="G65" s="256">
        <v>2.8333332440899999</v>
      </c>
      <c r="H65" s="258">
        <v>1.405</v>
      </c>
      <c r="I65" s="255">
        <v>2.81</v>
      </c>
      <c r="J65" s="256">
        <v>-2.333324409E-2</v>
      </c>
      <c r="K65" s="259">
        <v>0.16529412285299999</v>
      </c>
    </row>
    <row r="66" spans="1:11" ht="14.4" customHeight="1" thickBot="1" x14ac:dyDescent="0.35">
      <c r="A66" s="276" t="s">
        <v>229</v>
      </c>
      <c r="B66" s="260">
        <v>16.999324593766001</v>
      </c>
      <c r="C66" s="260">
        <v>16.86</v>
      </c>
      <c r="D66" s="261">
        <v>-0.13932459376600001</v>
      </c>
      <c r="E66" s="262">
        <v>0.99180411003900004</v>
      </c>
      <c r="F66" s="260">
        <v>16.99999946454</v>
      </c>
      <c r="G66" s="261">
        <v>2.8333332440899999</v>
      </c>
      <c r="H66" s="263">
        <v>1.405</v>
      </c>
      <c r="I66" s="260">
        <v>2.81</v>
      </c>
      <c r="J66" s="261">
        <v>-2.333324409E-2</v>
      </c>
      <c r="K66" s="264">
        <v>0.16529412285299999</v>
      </c>
    </row>
    <row r="67" spans="1:11" ht="14.4" customHeight="1" thickBot="1" x14ac:dyDescent="0.35">
      <c r="A67" s="277" t="s">
        <v>230</v>
      </c>
      <c r="B67" s="255">
        <v>16.999324593766001</v>
      </c>
      <c r="C67" s="255">
        <v>16.86</v>
      </c>
      <c r="D67" s="256">
        <v>-0.13932459376600001</v>
      </c>
      <c r="E67" s="257">
        <v>0.99180411003900004</v>
      </c>
      <c r="F67" s="255">
        <v>16.99999946454</v>
      </c>
      <c r="G67" s="256">
        <v>2.8333332440899999</v>
      </c>
      <c r="H67" s="258">
        <v>1.405</v>
      </c>
      <c r="I67" s="255">
        <v>2.81</v>
      </c>
      <c r="J67" s="256">
        <v>-2.333324409E-2</v>
      </c>
      <c r="K67" s="259">
        <v>0.16529412285299999</v>
      </c>
    </row>
    <row r="68" spans="1:11" ht="14.4" customHeight="1" thickBot="1" x14ac:dyDescent="0.35">
      <c r="A68" s="273" t="s">
        <v>231</v>
      </c>
      <c r="B68" s="255">
        <v>8.3385538358510001</v>
      </c>
      <c r="C68" s="255">
        <v>11.210039999999999</v>
      </c>
      <c r="D68" s="256">
        <v>2.8714861641480001</v>
      </c>
      <c r="E68" s="257">
        <v>1.344362610193</v>
      </c>
      <c r="F68" s="255">
        <v>10.274278299801001</v>
      </c>
      <c r="G68" s="256">
        <v>1.7123797166329999</v>
      </c>
      <c r="H68" s="258">
        <v>0</v>
      </c>
      <c r="I68" s="255">
        <v>2E-3</v>
      </c>
      <c r="J68" s="256">
        <v>-1.7103797166329999</v>
      </c>
      <c r="K68" s="259">
        <v>1.9466087399999999E-4</v>
      </c>
    </row>
    <row r="69" spans="1:11" ht="14.4" customHeight="1" thickBot="1" x14ac:dyDescent="0.35">
      <c r="A69" s="274" t="s">
        <v>232</v>
      </c>
      <c r="B69" s="255">
        <v>8.3385538358510001</v>
      </c>
      <c r="C69" s="255">
        <v>11.210039999999999</v>
      </c>
      <c r="D69" s="256">
        <v>2.8714861641480001</v>
      </c>
      <c r="E69" s="257">
        <v>1.344362610193</v>
      </c>
      <c r="F69" s="255">
        <v>10.274278299801001</v>
      </c>
      <c r="G69" s="256">
        <v>1.7123797166329999</v>
      </c>
      <c r="H69" s="258">
        <v>0</v>
      </c>
      <c r="I69" s="255">
        <v>2E-3</v>
      </c>
      <c r="J69" s="256">
        <v>-1.7103797166329999</v>
      </c>
      <c r="K69" s="259">
        <v>1.9466087399999999E-4</v>
      </c>
    </row>
    <row r="70" spans="1:11" ht="14.4" customHeight="1" thickBot="1" x14ac:dyDescent="0.35">
      <c r="A70" s="280" t="s">
        <v>233</v>
      </c>
      <c r="B70" s="260">
        <v>8.3385538358510001</v>
      </c>
      <c r="C70" s="260">
        <v>11.210039999999999</v>
      </c>
      <c r="D70" s="261">
        <v>2.8714861641480001</v>
      </c>
      <c r="E70" s="262">
        <v>1.344362610193</v>
      </c>
      <c r="F70" s="260">
        <v>10.274278299801001</v>
      </c>
      <c r="G70" s="261">
        <v>1.7123797166329999</v>
      </c>
      <c r="H70" s="263">
        <v>0</v>
      </c>
      <c r="I70" s="260">
        <v>2E-3</v>
      </c>
      <c r="J70" s="261">
        <v>-1.7103797166329999</v>
      </c>
      <c r="K70" s="264">
        <v>1.9466087399999999E-4</v>
      </c>
    </row>
    <row r="71" spans="1:11" ht="14.4" customHeight="1" thickBot="1" x14ac:dyDescent="0.35">
      <c r="A71" s="276" t="s">
        <v>234</v>
      </c>
      <c r="B71" s="260">
        <v>0</v>
      </c>
      <c r="C71" s="260">
        <v>1.9000000000000001E-4</v>
      </c>
      <c r="D71" s="261">
        <v>1.9000000000000001E-4</v>
      </c>
      <c r="E71" s="268" t="s">
        <v>171</v>
      </c>
      <c r="F71" s="260">
        <v>0</v>
      </c>
      <c r="G71" s="261">
        <v>0</v>
      </c>
      <c r="H71" s="263">
        <v>0</v>
      </c>
      <c r="I71" s="260">
        <v>0</v>
      </c>
      <c r="J71" s="261">
        <v>0</v>
      </c>
      <c r="K71" s="267" t="s">
        <v>171</v>
      </c>
    </row>
    <row r="72" spans="1:11" ht="14.4" customHeight="1" thickBot="1" x14ac:dyDescent="0.35">
      <c r="A72" s="277" t="s">
        <v>235</v>
      </c>
      <c r="B72" s="255">
        <v>0</v>
      </c>
      <c r="C72" s="255">
        <v>1.9000000000000001E-4</v>
      </c>
      <c r="D72" s="256">
        <v>1.9000000000000001E-4</v>
      </c>
      <c r="E72" s="266" t="s">
        <v>171</v>
      </c>
      <c r="F72" s="255">
        <v>0</v>
      </c>
      <c r="G72" s="256">
        <v>0</v>
      </c>
      <c r="H72" s="258">
        <v>0</v>
      </c>
      <c r="I72" s="255">
        <v>0</v>
      </c>
      <c r="J72" s="256">
        <v>0</v>
      </c>
      <c r="K72" s="265" t="s">
        <v>171</v>
      </c>
    </row>
    <row r="73" spans="1:11" ht="14.4" customHeight="1" thickBot="1" x14ac:dyDescent="0.35">
      <c r="A73" s="276" t="s">
        <v>236</v>
      </c>
      <c r="B73" s="260">
        <v>8.3385538358510001</v>
      </c>
      <c r="C73" s="260">
        <v>11.209849999999999</v>
      </c>
      <c r="D73" s="261">
        <v>2.8712961641480002</v>
      </c>
      <c r="E73" s="262">
        <v>1.344339824467</v>
      </c>
      <c r="F73" s="260">
        <v>10.274278299801001</v>
      </c>
      <c r="G73" s="261">
        <v>1.7123797166329999</v>
      </c>
      <c r="H73" s="263">
        <v>0</v>
      </c>
      <c r="I73" s="260">
        <v>2E-3</v>
      </c>
      <c r="J73" s="261">
        <v>-1.7103797166329999</v>
      </c>
      <c r="K73" s="264">
        <v>1.9466087399999999E-4</v>
      </c>
    </row>
    <row r="74" spans="1:11" ht="14.4" customHeight="1" thickBot="1" x14ac:dyDescent="0.35">
      <c r="A74" s="277" t="s">
        <v>237</v>
      </c>
      <c r="B74" s="255">
        <v>0</v>
      </c>
      <c r="C74" s="255">
        <v>5.2999999999999999E-2</v>
      </c>
      <c r="D74" s="256">
        <v>5.2999999999999999E-2</v>
      </c>
      <c r="E74" s="266" t="s">
        <v>171</v>
      </c>
      <c r="F74" s="255">
        <v>4.2793366185000001E-2</v>
      </c>
      <c r="G74" s="256">
        <v>7.1322276969999999E-3</v>
      </c>
      <c r="H74" s="258">
        <v>0</v>
      </c>
      <c r="I74" s="255">
        <v>2E-3</v>
      </c>
      <c r="J74" s="256">
        <v>-5.1322276969999999E-3</v>
      </c>
      <c r="K74" s="259">
        <v>4.6736215873000003E-2</v>
      </c>
    </row>
    <row r="75" spans="1:11" ht="14.4" customHeight="1" thickBot="1" x14ac:dyDescent="0.35">
      <c r="A75" s="277" t="s">
        <v>238</v>
      </c>
      <c r="B75" s="255">
        <v>8.3385538358510001</v>
      </c>
      <c r="C75" s="255">
        <v>11.15685</v>
      </c>
      <c r="D75" s="256">
        <v>2.8182961641480002</v>
      </c>
      <c r="E75" s="257">
        <v>1.33798380626</v>
      </c>
      <c r="F75" s="255">
        <v>10.231484933615</v>
      </c>
      <c r="G75" s="256">
        <v>1.705247488935</v>
      </c>
      <c r="H75" s="258">
        <v>0</v>
      </c>
      <c r="I75" s="255">
        <v>0</v>
      </c>
      <c r="J75" s="256">
        <v>-1.705247488935</v>
      </c>
      <c r="K75" s="259">
        <v>0</v>
      </c>
    </row>
    <row r="76" spans="1:11" ht="14.4" customHeight="1" thickBot="1" x14ac:dyDescent="0.35">
      <c r="A76" s="273" t="s">
        <v>239</v>
      </c>
      <c r="B76" s="255">
        <v>538</v>
      </c>
      <c r="C76" s="255">
        <v>543.37775999999997</v>
      </c>
      <c r="D76" s="256">
        <v>5.3777600000000003</v>
      </c>
      <c r="E76" s="257">
        <v>1.009995836431</v>
      </c>
      <c r="F76" s="255">
        <v>0</v>
      </c>
      <c r="G76" s="256">
        <v>0</v>
      </c>
      <c r="H76" s="258">
        <v>43.642670000000003</v>
      </c>
      <c r="I76" s="255">
        <v>86.290229999999994</v>
      </c>
      <c r="J76" s="256">
        <v>86.290229999999994</v>
      </c>
      <c r="K76" s="265" t="s">
        <v>171</v>
      </c>
    </row>
    <row r="77" spans="1:11" ht="14.4" customHeight="1" thickBot="1" x14ac:dyDescent="0.35">
      <c r="A77" s="278" t="s">
        <v>240</v>
      </c>
      <c r="B77" s="260">
        <v>538</v>
      </c>
      <c r="C77" s="260">
        <v>543.37775999999997</v>
      </c>
      <c r="D77" s="261">
        <v>5.3777600000000003</v>
      </c>
      <c r="E77" s="262">
        <v>1.009995836431</v>
      </c>
      <c r="F77" s="260">
        <v>0</v>
      </c>
      <c r="G77" s="261">
        <v>0</v>
      </c>
      <c r="H77" s="263">
        <v>43.642670000000003</v>
      </c>
      <c r="I77" s="260">
        <v>86.290229999999994</v>
      </c>
      <c r="J77" s="261">
        <v>86.290229999999994</v>
      </c>
      <c r="K77" s="267" t="s">
        <v>171</v>
      </c>
    </row>
    <row r="78" spans="1:11" ht="14.4" customHeight="1" thickBot="1" x14ac:dyDescent="0.35">
      <c r="A78" s="280" t="s">
        <v>27</v>
      </c>
      <c r="B78" s="260">
        <v>538</v>
      </c>
      <c r="C78" s="260">
        <v>543.37775999999997</v>
      </c>
      <c r="D78" s="261">
        <v>5.3777600000000003</v>
      </c>
      <c r="E78" s="262">
        <v>1.009995836431</v>
      </c>
      <c r="F78" s="260">
        <v>0</v>
      </c>
      <c r="G78" s="261">
        <v>0</v>
      </c>
      <c r="H78" s="263">
        <v>43.642670000000003</v>
      </c>
      <c r="I78" s="260">
        <v>86.290229999999994</v>
      </c>
      <c r="J78" s="261">
        <v>86.290229999999994</v>
      </c>
      <c r="K78" s="267" t="s">
        <v>171</v>
      </c>
    </row>
    <row r="79" spans="1:11" ht="14.4" customHeight="1" thickBot="1" x14ac:dyDescent="0.35">
      <c r="A79" s="276" t="s">
        <v>241</v>
      </c>
      <c r="B79" s="260">
        <v>0</v>
      </c>
      <c r="C79" s="260">
        <v>7.3499999999999996E-2</v>
      </c>
      <c r="D79" s="261">
        <v>7.3499999999999996E-2</v>
      </c>
      <c r="E79" s="268" t="s">
        <v>179</v>
      </c>
      <c r="F79" s="260">
        <v>0</v>
      </c>
      <c r="G79" s="261">
        <v>0</v>
      </c>
      <c r="H79" s="263">
        <v>0</v>
      </c>
      <c r="I79" s="260">
        <v>0</v>
      </c>
      <c r="J79" s="261">
        <v>0</v>
      </c>
      <c r="K79" s="264">
        <v>0</v>
      </c>
    </row>
    <row r="80" spans="1:11" ht="14.4" customHeight="1" thickBot="1" x14ac:dyDescent="0.35">
      <c r="A80" s="277" t="s">
        <v>242</v>
      </c>
      <c r="B80" s="255">
        <v>0</v>
      </c>
      <c r="C80" s="255">
        <v>7.3499999999999996E-2</v>
      </c>
      <c r="D80" s="256">
        <v>7.3499999999999996E-2</v>
      </c>
      <c r="E80" s="266" t="s">
        <v>179</v>
      </c>
      <c r="F80" s="255">
        <v>0</v>
      </c>
      <c r="G80" s="256">
        <v>0</v>
      </c>
      <c r="H80" s="258">
        <v>0</v>
      </c>
      <c r="I80" s="255">
        <v>0</v>
      </c>
      <c r="J80" s="256">
        <v>0</v>
      </c>
      <c r="K80" s="259">
        <v>0</v>
      </c>
    </row>
    <row r="81" spans="1:11" ht="14.4" customHeight="1" thickBot="1" x14ac:dyDescent="0.35">
      <c r="A81" s="276" t="s">
        <v>243</v>
      </c>
      <c r="B81" s="260">
        <v>14</v>
      </c>
      <c r="C81" s="260">
        <v>12.574920000000001</v>
      </c>
      <c r="D81" s="261">
        <v>-1.4250799999999999</v>
      </c>
      <c r="E81" s="262">
        <v>0.89820857142800004</v>
      </c>
      <c r="F81" s="260">
        <v>0</v>
      </c>
      <c r="G81" s="261">
        <v>0</v>
      </c>
      <c r="H81" s="263">
        <v>0.86387999999999998</v>
      </c>
      <c r="I81" s="260">
        <v>1.89886</v>
      </c>
      <c r="J81" s="261">
        <v>1.89886</v>
      </c>
      <c r="K81" s="267" t="s">
        <v>171</v>
      </c>
    </row>
    <row r="82" spans="1:11" ht="14.4" customHeight="1" thickBot="1" x14ac:dyDescent="0.35">
      <c r="A82" s="277" t="s">
        <v>244</v>
      </c>
      <c r="B82" s="255">
        <v>14</v>
      </c>
      <c r="C82" s="255">
        <v>12.574920000000001</v>
      </c>
      <c r="D82" s="256">
        <v>-1.4250799999999999</v>
      </c>
      <c r="E82" s="257">
        <v>0.89820857142800004</v>
      </c>
      <c r="F82" s="255">
        <v>0</v>
      </c>
      <c r="G82" s="256">
        <v>0</v>
      </c>
      <c r="H82" s="258">
        <v>0.86387999999999998</v>
      </c>
      <c r="I82" s="255">
        <v>1.89886</v>
      </c>
      <c r="J82" s="256">
        <v>1.89886</v>
      </c>
      <c r="K82" s="265" t="s">
        <v>171</v>
      </c>
    </row>
    <row r="83" spans="1:11" ht="14.4" customHeight="1" thickBot="1" x14ac:dyDescent="0.35">
      <c r="A83" s="276" t="s">
        <v>245</v>
      </c>
      <c r="B83" s="260">
        <v>0</v>
      </c>
      <c r="C83" s="260">
        <v>0.28000000000000003</v>
      </c>
      <c r="D83" s="261">
        <v>0.28000000000000003</v>
      </c>
      <c r="E83" s="268" t="s">
        <v>179</v>
      </c>
      <c r="F83" s="260">
        <v>0</v>
      </c>
      <c r="G83" s="261">
        <v>0</v>
      </c>
      <c r="H83" s="263">
        <v>0</v>
      </c>
      <c r="I83" s="260">
        <v>0</v>
      </c>
      <c r="J83" s="261">
        <v>0</v>
      </c>
      <c r="K83" s="267" t="s">
        <v>171</v>
      </c>
    </row>
    <row r="84" spans="1:11" ht="14.4" customHeight="1" thickBot="1" x14ac:dyDescent="0.35">
      <c r="A84" s="277" t="s">
        <v>246</v>
      </c>
      <c r="B84" s="255">
        <v>0</v>
      </c>
      <c r="C84" s="255">
        <v>0.28000000000000003</v>
      </c>
      <c r="D84" s="256">
        <v>0.28000000000000003</v>
      </c>
      <c r="E84" s="266" t="s">
        <v>179</v>
      </c>
      <c r="F84" s="255">
        <v>0</v>
      </c>
      <c r="G84" s="256">
        <v>0</v>
      </c>
      <c r="H84" s="258">
        <v>0</v>
      </c>
      <c r="I84" s="255">
        <v>0</v>
      </c>
      <c r="J84" s="256">
        <v>0</v>
      </c>
      <c r="K84" s="265" t="s">
        <v>171</v>
      </c>
    </row>
    <row r="85" spans="1:11" ht="14.4" customHeight="1" thickBot="1" x14ac:dyDescent="0.35">
      <c r="A85" s="276" t="s">
        <v>247</v>
      </c>
      <c r="B85" s="260">
        <v>136</v>
      </c>
      <c r="C85" s="260">
        <v>119.45874999999999</v>
      </c>
      <c r="D85" s="261">
        <v>-16.541250000000002</v>
      </c>
      <c r="E85" s="262">
        <v>0.87837316176400004</v>
      </c>
      <c r="F85" s="260">
        <v>0</v>
      </c>
      <c r="G85" s="261">
        <v>0</v>
      </c>
      <c r="H85" s="263">
        <v>9.2323199999999996</v>
      </c>
      <c r="I85" s="260">
        <v>23.312899999999999</v>
      </c>
      <c r="J85" s="261">
        <v>23.312899999999999</v>
      </c>
      <c r="K85" s="267" t="s">
        <v>171</v>
      </c>
    </row>
    <row r="86" spans="1:11" ht="14.4" customHeight="1" thickBot="1" x14ac:dyDescent="0.35">
      <c r="A86" s="277" t="s">
        <v>248</v>
      </c>
      <c r="B86" s="255">
        <v>135</v>
      </c>
      <c r="C86" s="255">
        <v>118.12345000000001</v>
      </c>
      <c r="D86" s="256">
        <v>-16.876550000000002</v>
      </c>
      <c r="E86" s="257">
        <v>0.87498851851799997</v>
      </c>
      <c r="F86" s="255">
        <v>0</v>
      </c>
      <c r="G86" s="256">
        <v>0</v>
      </c>
      <c r="H86" s="258">
        <v>9.2323199999999996</v>
      </c>
      <c r="I86" s="255">
        <v>23.312899999999999</v>
      </c>
      <c r="J86" s="256">
        <v>23.312899999999999</v>
      </c>
      <c r="K86" s="265" t="s">
        <v>171</v>
      </c>
    </row>
    <row r="87" spans="1:11" ht="14.4" customHeight="1" thickBot="1" x14ac:dyDescent="0.35">
      <c r="A87" s="277" t="s">
        <v>249</v>
      </c>
      <c r="B87" s="255">
        <v>1</v>
      </c>
      <c r="C87" s="255">
        <v>1.3352999999999999</v>
      </c>
      <c r="D87" s="256">
        <v>0.33529999999900001</v>
      </c>
      <c r="E87" s="257">
        <v>1.3352999999999999</v>
      </c>
      <c r="F87" s="255">
        <v>0</v>
      </c>
      <c r="G87" s="256">
        <v>0</v>
      </c>
      <c r="H87" s="258">
        <v>0</v>
      </c>
      <c r="I87" s="255">
        <v>0</v>
      </c>
      <c r="J87" s="256">
        <v>0</v>
      </c>
      <c r="K87" s="265" t="s">
        <v>171</v>
      </c>
    </row>
    <row r="88" spans="1:11" ht="14.4" customHeight="1" thickBot="1" x14ac:dyDescent="0.35">
      <c r="A88" s="276" t="s">
        <v>250</v>
      </c>
      <c r="B88" s="260">
        <v>384</v>
      </c>
      <c r="C88" s="260">
        <v>410.99059</v>
      </c>
      <c r="D88" s="261">
        <v>26.990590000000001</v>
      </c>
      <c r="E88" s="262">
        <v>1.070287994791</v>
      </c>
      <c r="F88" s="260">
        <v>0</v>
      </c>
      <c r="G88" s="261">
        <v>0</v>
      </c>
      <c r="H88" s="263">
        <v>33.546469999999999</v>
      </c>
      <c r="I88" s="260">
        <v>61.078470000000003</v>
      </c>
      <c r="J88" s="261">
        <v>61.078470000000003</v>
      </c>
      <c r="K88" s="267" t="s">
        <v>171</v>
      </c>
    </row>
    <row r="89" spans="1:11" ht="14.4" customHeight="1" thickBot="1" x14ac:dyDescent="0.35">
      <c r="A89" s="277" t="s">
        <v>251</v>
      </c>
      <c r="B89" s="255">
        <v>384</v>
      </c>
      <c r="C89" s="255">
        <v>410.99059</v>
      </c>
      <c r="D89" s="256">
        <v>26.990590000000001</v>
      </c>
      <c r="E89" s="257">
        <v>1.070287994791</v>
      </c>
      <c r="F89" s="255">
        <v>0</v>
      </c>
      <c r="G89" s="256">
        <v>0</v>
      </c>
      <c r="H89" s="258">
        <v>33.546469999999999</v>
      </c>
      <c r="I89" s="255">
        <v>61.078470000000003</v>
      </c>
      <c r="J89" s="256">
        <v>61.078470000000003</v>
      </c>
      <c r="K89" s="265" t="s">
        <v>171</v>
      </c>
    </row>
    <row r="90" spans="1:11" ht="14.4" customHeight="1" thickBot="1" x14ac:dyDescent="0.35">
      <c r="A90" s="281"/>
      <c r="B90" s="255">
        <v>-4116.7893442129398</v>
      </c>
      <c r="C90" s="255">
        <v>-4330.7398899999998</v>
      </c>
      <c r="D90" s="256">
        <v>-213.95054578705901</v>
      </c>
      <c r="E90" s="257">
        <v>1.0519702437739999</v>
      </c>
      <c r="F90" s="255">
        <v>-3834.9987476096098</v>
      </c>
      <c r="G90" s="256">
        <v>-639.16645793493501</v>
      </c>
      <c r="H90" s="258">
        <v>-347.80711000000099</v>
      </c>
      <c r="I90" s="255">
        <v>-700.60420000000101</v>
      </c>
      <c r="J90" s="256">
        <v>-61.437742065065002</v>
      </c>
      <c r="K90" s="259">
        <v>0.182686943623</v>
      </c>
    </row>
    <row r="91" spans="1:11" ht="14.4" customHeight="1" thickBot="1" x14ac:dyDescent="0.35">
      <c r="A91" s="282" t="s">
        <v>39</v>
      </c>
      <c r="B91" s="269">
        <v>-4116.7893442129398</v>
      </c>
      <c r="C91" s="269">
        <v>-4330.7398899999998</v>
      </c>
      <c r="D91" s="270">
        <v>-213.95054578706001</v>
      </c>
      <c r="E91" s="271">
        <v>-0.72457851002999996</v>
      </c>
      <c r="F91" s="269">
        <v>-3834.9987476096098</v>
      </c>
      <c r="G91" s="270">
        <v>-639.16645793493501</v>
      </c>
      <c r="H91" s="269">
        <v>-347.80711000000099</v>
      </c>
      <c r="I91" s="269">
        <v>-700.60420000000101</v>
      </c>
      <c r="J91" s="270">
        <v>-61.437742065065002</v>
      </c>
      <c r="K91" s="272">
        <v>0.182686943623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H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G1"/>
    </sheetView>
  </sheetViews>
  <sheetFormatPr defaultRowHeight="14.4" outlineLevelRow="1" x14ac:dyDescent="0.3"/>
  <cols>
    <col min="1" max="1" width="37.21875" customWidth="1"/>
    <col min="2" max="2" width="13.109375" customWidth="1"/>
    <col min="3" max="9" width="13.109375" hidden="1" customWidth="1"/>
    <col min="10" max="10" width="13.109375" customWidth="1"/>
    <col min="11" max="33" width="13.109375" hidden="1" customWidth="1"/>
  </cols>
  <sheetData>
    <row r="1" spans="1:34" ht="18.600000000000001" thickBot="1" x14ac:dyDescent="0.4">
      <c r="A1" s="252" t="s">
        <v>48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</row>
    <row r="2" spans="1:34" ht="15" thickBot="1" x14ac:dyDescent="0.35">
      <c r="A2" s="162" t="s">
        <v>170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</row>
    <row r="3" spans="1:34" x14ac:dyDescent="0.3">
      <c r="A3" s="181" t="s">
        <v>109</v>
      </c>
      <c r="B3" s="253" t="s">
        <v>90</v>
      </c>
      <c r="C3" s="164">
        <v>0</v>
      </c>
      <c r="D3" s="165">
        <v>101</v>
      </c>
      <c r="E3" s="165">
        <v>102</v>
      </c>
      <c r="F3" s="184">
        <v>305</v>
      </c>
      <c r="G3" s="184">
        <v>306</v>
      </c>
      <c r="H3" s="184">
        <v>408</v>
      </c>
      <c r="I3" s="184">
        <v>409</v>
      </c>
      <c r="J3" s="184">
        <v>410</v>
      </c>
      <c r="K3" s="184">
        <v>415</v>
      </c>
      <c r="L3" s="184">
        <v>416</v>
      </c>
      <c r="M3" s="184">
        <v>418</v>
      </c>
      <c r="N3" s="184">
        <v>419</v>
      </c>
      <c r="O3" s="184">
        <v>420</v>
      </c>
      <c r="P3" s="184">
        <v>421</v>
      </c>
      <c r="Q3" s="184">
        <v>522</v>
      </c>
      <c r="R3" s="184">
        <v>523</v>
      </c>
      <c r="S3" s="184">
        <v>524</v>
      </c>
      <c r="T3" s="184">
        <v>525</v>
      </c>
      <c r="U3" s="184">
        <v>526</v>
      </c>
      <c r="V3" s="184">
        <v>527</v>
      </c>
      <c r="W3" s="184">
        <v>528</v>
      </c>
      <c r="X3" s="184">
        <v>629</v>
      </c>
      <c r="Y3" s="184">
        <v>630</v>
      </c>
      <c r="Z3" s="184">
        <v>636</v>
      </c>
      <c r="AA3" s="184">
        <v>637</v>
      </c>
      <c r="AB3" s="184">
        <v>640</v>
      </c>
      <c r="AC3" s="184">
        <v>642</v>
      </c>
      <c r="AD3" s="184">
        <v>743</v>
      </c>
      <c r="AE3" s="165">
        <v>745</v>
      </c>
      <c r="AF3" s="165">
        <v>746</v>
      </c>
      <c r="AG3" s="292">
        <v>930</v>
      </c>
      <c r="AH3" s="308"/>
    </row>
    <row r="4" spans="1:34" ht="36.6" outlineLevel="1" thickBot="1" x14ac:dyDescent="0.35">
      <c r="A4" s="182">
        <v>2015</v>
      </c>
      <c r="B4" s="254"/>
      <c r="C4" s="166" t="s">
        <v>91</v>
      </c>
      <c r="D4" s="167" t="s">
        <v>92</v>
      </c>
      <c r="E4" s="167" t="s">
        <v>93</v>
      </c>
      <c r="F4" s="185" t="s">
        <v>121</v>
      </c>
      <c r="G4" s="185" t="s">
        <v>122</v>
      </c>
      <c r="H4" s="185" t="s">
        <v>123</v>
      </c>
      <c r="I4" s="185" t="s">
        <v>124</v>
      </c>
      <c r="J4" s="185" t="s">
        <v>125</v>
      </c>
      <c r="K4" s="185" t="s">
        <v>126</v>
      </c>
      <c r="L4" s="185" t="s">
        <v>127</v>
      </c>
      <c r="M4" s="185" t="s">
        <v>128</v>
      </c>
      <c r="N4" s="185" t="s">
        <v>129</v>
      </c>
      <c r="O4" s="185" t="s">
        <v>130</v>
      </c>
      <c r="P4" s="185" t="s">
        <v>131</v>
      </c>
      <c r="Q4" s="185" t="s">
        <v>132</v>
      </c>
      <c r="R4" s="185" t="s">
        <v>133</v>
      </c>
      <c r="S4" s="185" t="s">
        <v>134</v>
      </c>
      <c r="T4" s="185" t="s">
        <v>135</v>
      </c>
      <c r="U4" s="185" t="s">
        <v>136</v>
      </c>
      <c r="V4" s="185" t="s">
        <v>137</v>
      </c>
      <c r="W4" s="185" t="s">
        <v>146</v>
      </c>
      <c r="X4" s="185" t="s">
        <v>138</v>
      </c>
      <c r="Y4" s="185" t="s">
        <v>147</v>
      </c>
      <c r="Z4" s="185" t="s">
        <v>139</v>
      </c>
      <c r="AA4" s="185" t="s">
        <v>140</v>
      </c>
      <c r="AB4" s="185" t="s">
        <v>141</v>
      </c>
      <c r="AC4" s="185" t="s">
        <v>142</v>
      </c>
      <c r="AD4" s="185" t="s">
        <v>143</v>
      </c>
      <c r="AE4" s="167" t="s">
        <v>144</v>
      </c>
      <c r="AF4" s="167" t="s">
        <v>145</v>
      </c>
      <c r="AG4" s="293" t="s">
        <v>111</v>
      </c>
      <c r="AH4" s="308"/>
    </row>
    <row r="5" spans="1:34" x14ac:dyDescent="0.3">
      <c r="A5" s="168" t="s">
        <v>94</v>
      </c>
      <c r="B5" s="204"/>
      <c r="C5" s="205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  <c r="Y5" s="206"/>
      <c r="Z5" s="206"/>
      <c r="AA5" s="206"/>
      <c r="AB5" s="206"/>
      <c r="AC5" s="206"/>
      <c r="AD5" s="206"/>
      <c r="AE5" s="206"/>
      <c r="AF5" s="206"/>
      <c r="AG5" s="294"/>
      <c r="AH5" s="308"/>
    </row>
    <row r="6" spans="1:34" ht="15" collapsed="1" thickBot="1" x14ac:dyDescent="0.35">
      <c r="A6" s="169" t="s">
        <v>42</v>
      </c>
      <c r="B6" s="207">
        <f xml:space="preserve">
TRUNC(IF($A$4&lt;=12,SUMIFS('ON Data'!F:F,'ON Data'!$D:$D,$A$4,'ON Data'!$E:$E,1),SUMIFS('ON Data'!F:F,'ON Data'!$E:$E,1)/'ON Data'!$D$3),1)</f>
        <v>7</v>
      </c>
      <c r="C6" s="208">
        <f xml:space="preserve">
TRUNC(IF($A$4&lt;=12,SUMIFS('ON Data'!G:G,'ON Data'!$D:$D,$A$4,'ON Data'!$E:$E,1),SUMIFS('ON Data'!G:G,'ON Data'!$E:$E,1)/'ON Data'!$D$3),1)</f>
        <v>0</v>
      </c>
      <c r="D6" s="209">
        <f xml:space="preserve">
TRUNC(IF($A$4&lt;=12,SUMIFS('ON Data'!H:H,'ON Data'!$D:$D,$A$4,'ON Data'!$E:$E,1),SUMIFS('ON Data'!H:H,'ON Data'!$E:$E,1)/'ON Data'!$D$3),1)</f>
        <v>0</v>
      </c>
      <c r="E6" s="209">
        <f xml:space="preserve">
TRUNC(IF($A$4&lt;=12,SUMIFS('ON Data'!I:I,'ON Data'!$D:$D,$A$4,'ON Data'!$E:$E,1),SUMIFS('ON Data'!I:I,'ON Data'!$E:$E,1)/'ON Data'!$D$3),1)</f>
        <v>0</v>
      </c>
      <c r="F6" s="209">
        <f xml:space="preserve">
TRUNC(IF($A$4&lt;=12,SUMIFS('ON Data'!K:K,'ON Data'!$D:$D,$A$4,'ON Data'!$E:$E,1),SUMIFS('ON Data'!K:K,'ON Data'!$E:$E,1)/'ON Data'!$D$3),1)</f>
        <v>0</v>
      </c>
      <c r="G6" s="209">
        <f xml:space="preserve">
TRUNC(IF($A$4&lt;=12,SUMIFS('ON Data'!L:L,'ON Data'!$D:$D,$A$4,'ON Data'!$E:$E,1),SUMIFS('ON Data'!L:L,'ON Data'!$E:$E,1)/'ON Data'!$D$3),1)</f>
        <v>0</v>
      </c>
      <c r="H6" s="209">
        <f xml:space="preserve">
TRUNC(IF($A$4&lt;=12,SUMIFS('ON Data'!M:M,'ON Data'!$D:$D,$A$4,'ON Data'!$E:$E,1),SUMIFS('ON Data'!M:M,'ON Data'!$E:$E,1)/'ON Data'!$D$3),1)</f>
        <v>0</v>
      </c>
      <c r="I6" s="209">
        <f xml:space="preserve">
TRUNC(IF($A$4&lt;=12,SUMIFS('ON Data'!N:N,'ON Data'!$D:$D,$A$4,'ON Data'!$E:$E,1),SUMIFS('ON Data'!N:N,'ON Data'!$E:$E,1)/'ON Data'!$D$3),1)</f>
        <v>0</v>
      </c>
      <c r="J6" s="209">
        <f xml:space="preserve">
TRUNC(IF($A$4&lt;=12,SUMIFS('ON Data'!O:O,'ON Data'!$D:$D,$A$4,'ON Data'!$E:$E,1),SUMIFS('ON Data'!O:O,'ON Data'!$E:$E,1)/'ON Data'!$D$3),1)</f>
        <v>7</v>
      </c>
      <c r="K6" s="209">
        <f xml:space="preserve">
TRUNC(IF($A$4&lt;=12,SUMIFS('ON Data'!P:P,'ON Data'!$D:$D,$A$4,'ON Data'!$E:$E,1),SUMIFS('ON Data'!P:P,'ON Data'!$E:$E,1)/'ON Data'!$D$3),1)</f>
        <v>0</v>
      </c>
      <c r="L6" s="209">
        <f xml:space="preserve">
TRUNC(IF($A$4&lt;=12,SUMIFS('ON Data'!Q:Q,'ON Data'!$D:$D,$A$4,'ON Data'!$E:$E,1),SUMIFS('ON Data'!Q:Q,'ON Data'!$E:$E,1)/'ON Data'!$D$3),1)</f>
        <v>0</v>
      </c>
      <c r="M6" s="209">
        <f xml:space="preserve">
TRUNC(IF($A$4&lt;=12,SUMIFS('ON Data'!R:R,'ON Data'!$D:$D,$A$4,'ON Data'!$E:$E,1),SUMIFS('ON Data'!R:R,'ON Data'!$E:$E,1)/'ON Data'!$D$3),1)</f>
        <v>0</v>
      </c>
      <c r="N6" s="209">
        <f xml:space="preserve">
TRUNC(IF($A$4&lt;=12,SUMIFS('ON Data'!S:S,'ON Data'!$D:$D,$A$4,'ON Data'!$E:$E,1),SUMIFS('ON Data'!S:S,'ON Data'!$E:$E,1)/'ON Data'!$D$3),1)</f>
        <v>0</v>
      </c>
      <c r="O6" s="209">
        <f xml:space="preserve">
TRUNC(IF($A$4&lt;=12,SUMIFS('ON Data'!T:T,'ON Data'!$D:$D,$A$4,'ON Data'!$E:$E,1),SUMIFS('ON Data'!T:T,'ON Data'!$E:$E,1)/'ON Data'!$D$3),1)</f>
        <v>0</v>
      </c>
      <c r="P6" s="209">
        <f xml:space="preserve">
TRUNC(IF($A$4&lt;=12,SUMIFS('ON Data'!U:U,'ON Data'!$D:$D,$A$4,'ON Data'!$E:$E,1),SUMIFS('ON Data'!U:U,'ON Data'!$E:$E,1)/'ON Data'!$D$3),1)</f>
        <v>0</v>
      </c>
      <c r="Q6" s="209">
        <f xml:space="preserve">
TRUNC(IF($A$4&lt;=12,SUMIFS('ON Data'!V:V,'ON Data'!$D:$D,$A$4,'ON Data'!$E:$E,1),SUMIFS('ON Data'!V:V,'ON Data'!$E:$E,1)/'ON Data'!$D$3),1)</f>
        <v>0</v>
      </c>
      <c r="R6" s="209">
        <f xml:space="preserve">
TRUNC(IF($A$4&lt;=12,SUMIFS('ON Data'!W:W,'ON Data'!$D:$D,$A$4,'ON Data'!$E:$E,1),SUMIFS('ON Data'!W:W,'ON Data'!$E:$E,1)/'ON Data'!$D$3),1)</f>
        <v>0</v>
      </c>
      <c r="S6" s="209">
        <f xml:space="preserve">
TRUNC(IF($A$4&lt;=12,SUMIFS('ON Data'!X:X,'ON Data'!$D:$D,$A$4,'ON Data'!$E:$E,1),SUMIFS('ON Data'!X:X,'ON Data'!$E:$E,1)/'ON Data'!$D$3),1)</f>
        <v>0</v>
      </c>
      <c r="T6" s="209">
        <f xml:space="preserve">
TRUNC(IF($A$4&lt;=12,SUMIFS('ON Data'!Y:Y,'ON Data'!$D:$D,$A$4,'ON Data'!$E:$E,1),SUMIFS('ON Data'!Y:Y,'ON Data'!$E:$E,1)/'ON Data'!$D$3),1)</f>
        <v>0</v>
      </c>
      <c r="U6" s="209">
        <f xml:space="preserve">
TRUNC(IF($A$4&lt;=12,SUMIFS('ON Data'!Z:Z,'ON Data'!$D:$D,$A$4,'ON Data'!$E:$E,1),SUMIFS('ON Data'!Z:Z,'ON Data'!$E:$E,1)/'ON Data'!$D$3),1)</f>
        <v>0</v>
      </c>
      <c r="V6" s="209">
        <f xml:space="preserve">
TRUNC(IF($A$4&lt;=12,SUMIFS('ON Data'!AA:AA,'ON Data'!$D:$D,$A$4,'ON Data'!$E:$E,1),SUMIFS('ON Data'!AA:AA,'ON Data'!$E:$E,1)/'ON Data'!$D$3),1)</f>
        <v>0</v>
      </c>
      <c r="W6" s="209">
        <f xml:space="preserve">
TRUNC(IF($A$4&lt;=12,SUMIFS('ON Data'!AB:AB,'ON Data'!$D:$D,$A$4,'ON Data'!$E:$E,1),SUMIFS('ON Data'!AB:AB,'ON Data'!$E:$E,1)/'ON Data'!$D$3),1)</f>
        <v>0</v>
      </c>
      <c r="X6" s="209">
        <f xml:space="preserve">
TRUNC(IF($A$4&lt;=12,SUMIFS('ON Data'!AC:AC,'ON Data'!$D:$D,$A$4,'ON Data'!$E:$E,1),SUMIFS('ON Data'!AC:AC,'ON Data'!$E:$E,1)/'ON Data'!$D$3),1)</f>
        <v>0</v>
      </c>
      <c r="Y6" s="209">
        <f xml:space="preserve">
TRUNC(IF($A$4&lt;=12,SUMIFS('ON Data'!AD:AD,'ON Data'!$D:$D,$A$4,'ON Data'!$E:$E,1),SUMIFS('ON Data'!AD:AD,'ON Data'!$E:$E,1)/'ON Data'!$D$3),1)</f>
        <v>0</v>
      </c>
      <c r="Z6" s="209">
        <f xml:space="preserve">
TRUNC(IF($A$4&lt;=12,SUMIFS('ON Data'!AE:AE,'ON Data'!$D:$D,$A$4,'ON Data'!$E:$E,1),SUMIFS('ON Data'!AE:AE,'ON Data'!$E:$E,1)/'ON Data'!$D$3),1)</f>
        <v>0</v>
      </c>
      <c r="AA6" s="209">
        <f xml:space="preserve">
TRUNC(IF($A$4&lt;=12,SUMIFS('ON Data'!AF:AF,'ON Data'!$D:$D,$A$4,'ON Data'!$E:$E,1),SUMIFS('ON Data'!AF:AF,'ON Data'!$E:$E,1)/'ON Data'!$D$3),1)</f>
        <v>0</v>
      </c>
      <c r="AB6" s="209">
        <f xml:space="preserve">
TRUNC(IF($A$4&lt;=12,SUMIFS('ON Data'!AG:AG,'ON Data'!$D:$D,$A$4,'ON Data'!$E:$E,1),SUMIFS('ON Data'!AG:AG,'ON Data'!$E:$E,1)/'ON Data'!$D$3),1)</f>
        <v>0</v>
      </c>
      <c r="AC6" s="209">
        <f xml:space="preserve">
TRUNC(IF($A$4&lt;=12,SUMIFS('ON Data'!AH:AH,'ON Data'!$D:$D,$A$4,'ON Data'!$E:$E,1),SUMIFS('ON Data'!AH:AH,'ON Data'!$E:$E,1)/'ON Data'!$D$3),1)</f>
        <v>0</v>
      </c>
      <c r="AD6" s="209">
        <f xml:space="preserve">
TRUNC(IF($A$4&lt;=12,SUMIFS('ON Data'!AI:AI,'ON Data'!$D:$D,$A$4,'ON Data'!$E:$E,1),SUMIFS('ON Data'!AI:AI,'ON Data'!$E:$E,1)/'ON Data'!$D$3),1)</f>
        <v>0</v>
      </c>
      <c r="AE6" s="209">
        <f xml:space="preserve">
TRUNC(IF($A$4&lt;=12,SUMIFS('ON Data'!AJ:AJ,'ON Data'!$D:$D,$A$4,'ON Data'!$E:$E,1),SUMIFS('ON Data'!AJ:AJ,'ON Data'!$E:$E,1)/'ON Data'!$D$3),1)</f>
        <v>0</v>
      </c>
      <c r="AF6" s="209">
        <f xml:space="preserve">
TRUNC(IF($A$4&lt;=12,SUMIFS('ON Data'!AK:AK,'ON Data'!$D:$D,$A$4,'ON Data'!$E:$E,1),SUMIFS('ON Data'!AK:AK,'ON Data'!$E:$E,1)/'ON Data'!$D$3),1)</f>
        <v>0</v>
      </c>
      <c r="AG6" s="295">
        <f xml:space="preserve">
TRUNC(IF($A$4&lt;=12,SUMIFS('ON Data'!AM:AM,'ON Data'!$D:$D,$A$4,'ON Data'!$E:$E,1),SUMIFS('ON Data'!AM:AM,'ON Data'!$E:$E,1)/'ON Data'!$D$3),1)</f>
        <v>0</v>
      </c>
      <c r="AH6" s="308"/>
    </row>
    <row r="7" spans="1:34" ht="15" hidden="1" outlineLevel="1" thickBot="1" x14ac:dyDescent="0.35">
      <c r="A7" s="169" t="s">
        <v>49</v>
      </c>
      <c r="B7" s="207"/>
      <c r="C7" s="210"/>
      <c r="D7" s="209"/>
      <c r="E7" s="209"/>
      <c r="F7" s="209"/>
      <c r="G7" s="209"/>
      <c r="H7" s="209"/>
      <c r="I7" s="209"/>
      <c r="J7" s="209"/>
      <c r="K7" s="209"/>
      <c r="L7" s="209"/>
      <c r="M7" s="209"/>
      <c r="N7" s="209"/>
      <c r="O7" s="209"/>
      <c r="P7" s="209"/>
      <c r="Q7" s="209"/>
      <c r="R7" s="209"/>
      <c r="S7" s="209"/>
      <c r="T7" s="209"/>
      <c r="U7" s="209"/>
      <c r="V7" s="209"/>
      <c r="W7" s="209"/>
      <c r="X7" s="209"/>
      <c r="Y7" s="209"/>
      <c r="Z7" s="209"/>
      <c r="AA7" s="209"/>
      <c r="AB7" s="209"/>
      <c r="AC7" s="209"/>
      <c r="AD7" s="209"/>
      <c r="AE7" s="209"/>
      <c r="AF7" s="209"/>
      <c r="AG7" s="295"/>
      <c r="AH7" s="308"/>
    </row>
    <row r="8" spans="1:34" ht="15" hidden="1" outlineLevel="1" thickBot="1" x14ac:dyDescent="0.35">
      <c r="A8" s="169" t="s">
        <v>44</v>
      </c>
      <c r="B8" s="207"/>
      <c r="C8" s="210"/>
      <c r="D8" s="209"/>
      <c r="E8" s="209"/>
      <c r="F8" s="209"/>
      <c r="G8" s="209"/>
      <c r="H8" s="209"/>
      <c r="I8" s="209"/>
      <c r="J8" s="209"/>
      <c r="K8" s="209"/>
      <c r="L8" s="209"/>
      <c r="M8" s="209"/>
      <c r="N8" s="209"/>
      <c r="O8" s="209"/>
      <c r="P8" s="209"/>
      <c r="Q8" s="209"/>
      <c r="R8" s="209"/>
      <c r="S8" s="209"/>
      <c r="T8" s="209"/>
      <c r="U8" s="209"/>
      <c r="V8" s="209"/>
      <c r="W8" s="209"/>
      <c r="X8" s="209"/>
      <c r="Y8" s="209"/>
      <c r="Z8" s="209"/>
      <c r="AA8" s="209"/>
      <c r="AB8" s="209"/>
      <c r="AC8" s="209"/>
      <c r="AD8" s="209"/>
      <c r="AE8" s="209"/>
      <c r="AF8" s="209"/>
      <c r="AG8" s="295"/>
      <c r="AH8" s="308"/>
    </row>
    <row r="9" spans="1:34" ht="15" hidden="1" outlineLevel="1" thickBot="1" x14ac:dyDescent="0.35">
      <c r="A9" s="170" t="s">
        <v>41</v>
      </c>
      <c r="B9" s="211"/>
      <c r="C9" s="212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  <c r="AA9" s="213"/>
      <c r="AB9" s="213"/>
      <c r="AC9" s="213"/>
      <c r="AD9" s="213"/>
      <c r="AE9" s="213"/>
      <c r="AF9" s="213"/>
      <c r="AG9" s="296"/>
      <c r="AH9" s="308"/>
    </row>
    <row r="10" spans="1:34" x14ac:dyDescent="0.3">
      <c r="A10" s="171" t="s">
        <v>95</v>
      </c>
      <c r="B10" s="186"/>
      <c r="C10" s="187"/>
      <c r="D10" s="188"/>
      <c r="E10" s="188"/>
      <c r="F10" s="188"/>
      <c r="G10" s="188"/>
      <c r="H10" s="188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88"/>
      <c r="Y10" s="188"/>
      <c r="Z10" s="188"/>
      <c r="AA10" s="188"/>
      <c r="AB10" s="188"/>
      <c r="AC10" s="188"/>
      <c r="AD10" s="188"/>
      <c r="AE10" s="188"/>
      <c r="AF10" s="188"/>
      <c r="AG10" s="297"/>
      <c r="AH10" s="308"/>
    </row>
    <row r="11" spans="1:34" x14ac:dyDescent="0.3">
      <c r="A11" s="172" t="s">
        <v>96</v>
      </c>
      <c r="B11" s="189">
        <f xml:space="preserve">
IF($A$4&lt;=12,SUMIFS('ON Data'!F:F,'ON Data'!$D:$D,$A$4,'ON Data'!$E:$E,2),SUMIFS('ON Data'!F:F,'ON Data'!$E:$E,2))</f>
        <v>2184</v>
      </c>
      <c r="C11" s="190">
        <f xml:space="preserve">
IF($A$4&lt;=12,SUMIFS('ON Data'!G:G,'ON Data'!$D:$D,$A$4,'ON Data'!$E:$E,2),SUMIFS('ON Data'!G:G,'ON Data'!$E:$E,2))</f>
        <v>0</v>
      </c>
      <c r="D11" s="191">
        <f xml:space="preserve">
IF($A$4&lt;=12,SUMIFS('ON Data'!H:H,'ON Data'!$D:$D,$A$4,'ON Data'!$E:$E,2),SUMIFS('ON Data'!H:H,'ON Data'!$E:$E,2))</f>
        <v>0</v>
      </c>
      <c r="E11" s="191">
        <f xml:space="preserve">
IF($A$4&lt;=12,SUMIFS('ON Data'!I:I,'ON Data'!$D:$D,$A$4,'ON Data'!$E:$E,2),SUMIFS('ON Data'!I:I,'ON Data'!$E:$E,2))</f>
        <v>0</v>
      </c>
      <c r="F11" s="191">
        <f xml:space="preserve">
IF($A$4&lt;=12,SUMIFS('ON Data'!K:K,'ON Data'!$D:$D,$A$4,'ON Data'!$E:$E,2),SUMIFS('ON Data'!K:K,'ON Data'!$E:$E,2))</f>
        <v>0</v>
      </c>
      <c r="G11" s="191">
        <f xml:space="preserve">
IF($A$4&lt;=12,SUMIFS('ON Data'!L:L,'ON Data'!$D:$D,$A$4,'ON Data'!$E:$E,2),SUMIFS('ON Data'!L:L,'ON Data'!$E:$E,2))</f>
        <v>0</v>
      </c>
      <c r="H11" s="191">
        <f xml:space="preserve">
IF($A$4&lt;=12,SUMIFS('ON Data'!M:M,'ON Data'!$D:$D,$A$4,'ON Data'!$E:$E,2),SUMIFS('ON Data'!M:M,'ON Data'!$E:$E,2))</f>
        <v>0</v>
      </c>
      <c r="I11" s="191">
        <f xml:space="preserve">
IF($A$4&lt;=12,SUMIFS('ON Data'!N:N,'ON Data'!$D:$D,$A$4,'ON Data'!$E:$E,2),SUMIFS('ON Data'!N:N,'ON Data'!$E:$E,2))</f>
        <v>0</v>
      </c>
      <c r="J11" s="191">
        <f xml:space="preserve">
IF($A$4&lt;=12,SUMIFS('ON Data'!O:O,'ON Data'!$D:$D,$A$4,'ON Data'!$E:$E,2),SUMIFS('ON Data'!O:O,'ON Data'!$E:$E,2))</f>
        <v>2184</v>
      </c>
      <c r="K11" s="191">
        <f xml:space="preserve">
IF($A$4&lt;=12,SUMIFS('ON Data'!P:P,'ON Data'!$D:$D,$A$4,'ON Data'!$E:$E,2),SUMIFS('ON Data'!P:P,'ON Data'!$E:$E,2))</f>
        <v>0</v>
      </c>
      <c r="L11" s="191">
        <f xml:space="preserve">
IF($A$4&lt;=12,SUMIFS('ON Data'!Q:Q,'ON Data'!$D:$D,$A$4,'ON Data'!$E:$E,2),SUMIFS('ON Data'!Q:Q,'ON Data'!$E:$E,2))</f>
        <v>0</v>
      </c>
      <c r="M11" s="191">
        <f xml:space="preserve">
IF($A$4&lt;=12,SUMIFS('ON Data'!R:R,'ON Data'!$D:$D,$A$4,'ON Data'!$E:$E,2),SUMIFS('ON Data'!R:R,'ON Data'!$E:$E,2))</f>
        <v>0</v>
      </c>
      <c r="N11" s="191">
        <f xml:space="preserve">
IF($A$4&lt;=12,SUMIFS('ON Data'!S:S,'ON Data'!$D:$D,$A$4,'ON Data'!$E:$E,2),SUMIFS('ON Data'!S:S,'ON Data'!$E:$E,2))</f>
        <v>0</v>
      </c>
      <c r="O11" s="191">
        <f xml:space="preserve">
IF($A$4&lt;=12,SUMIFS('ON Data'!T:T,'ON Data'!$D:$D,$A$4,'ON Data'!$E:$E,2),SUMIFS('ON Data'!T:T,'ON Data'!$E:$E,2))</f>
        <v>0</v>
      </c>
      <c r="P11" s="191">
        <f xml:space="preserve">
IF($A$4&lt;=12,SUMIFS('ON Data'!U:U,'ON Data'!$D:$D,$A$4,'ON Data'!$E:$E,2),SUMIFS('ON Data'!U:U,'ON Data'!$E:$E,2))</f>
        <v>0</v>
      </c>
      <c r="Q11" s="191">
        <f xml:space="preserve">
IF($A$4&lt;=12,SUMIFS('ON Data'!V:V,'ON Data'!$D:$D,$A$4,'ON Data'!$E:$E,2),SUMIFS('ON Data'!V:V,'ON Data'!$E:$E,2))</f>
        <v>0</v>
      </c>
      <c r="R11" s="191">
        <f xml:space="preserve">
IF($A$4&lt;=12,SUMIFS('ON Data'!W:W,'ON Data'!$D:$D,$A$4,'ON Data'!$E:$E,2),SUMIFS('ON Data'!W:W,'ON Data'!$E:$E,2))</f>
        <v>0</v>
      </c>
      <c r="S11" s="191">
        <f xml:space="preserve">
IF($A$4&lt;=12,SUMIFS('ON Data'!X:X,'ON Data'!$D:$D,$A$4,'ON Data'!$E:$E,2),SUMIFS('ON Data'!X:X,'ON Data'!$E:$E,2))</f>
        <v>0</v>
      </c>
      <c r="T11" s="191">
        <f xml:space="preserve">
IF($A$4&lt;=12,SUMIFS('ON Data'!Y:Y,'ON Data'!$D:$D,$A$4,'ON Data'!$E:$E,2),SUMIFS('ON Data'!Y:Y,'ON Data'!$E:$E,2))</f>
        <v>0</v>
      </c>
      <c r="U11" s="191">
        <f xml:space="preserve">
IF($A$4&lt;=12,SUMIFS('ON Data'!Z:Z,'ON Data'!$D:$D,$A$4,'ON Data'!$E:$E,2),SUMIFS('ON Data'!Z:Z,'ON Data'!$E:$E,2))</f>
        <v>0</v>
      </c>
      <c r="V11" s="191">
        <f xml:space="preserve">
IF($A$4&lt;=12,SUMIFS('ON Data'!AA:AA,'ON Data'!$D:$D,$A$4,'ON Data'!$E:$E,2),SUMIFS('ON Data'!AA:AA,'ON Data'!$E:$E,2))</f>
        <v>0</v>
      </c>
      <c r="W11" s="191">
        <f xml:space="preserve">
IF($A$4&lt;=12,SUMIFS('ON Data'!AB:AB,'ON Data'!$D:$D,$A$4,'ON Data'!$E:$E,2),SUMIFS('ON Data'!AB:AB,'ON Data'!$E:$E,2))</f>
        <v>0</v>
      </c>
      <c r="X11" s="191">
        <f xml:space="preserve">
IF($A$4&lt;=12,SUMIFS('ON Data'!AC:AC,'ON Data'!$D:$D,$A$4,'ON Data'!$E:$E,2),SUMIFS('ON Data'!AC:AC,'ON Data'!$E:$E,2))</f>
        <v>0</v>
      </c>
      <c r="Y11" s="191">
        <f xml:space="preserve">
IF($A$4&lt;=12,SUMIFS('ON Data'!AD:AD,'ON Data'!$D:$D,$A$4,'ON Data'!$E:$E,2),SUMIFS('ON Data'!AD:AD,'ON Data'!$E:$E,2))</f>
        <v>0</v>
      </c>
      <c r="Z11" s="191">
        <f xml:space="preserve">
IF($A$4&lt;=12,SUMIFS('ON Data'!AE:AE,'ON Data'!$D:$D,$A$4,'ON Data'!$E:$E,2),SUMIFS('ON Data'!AE:AE,'ON Data'!$E:$E,2))</f>
        <v>0</v>
      </c>
      <c r="AA11" s="191">
        <f xml:space="preserve">
IF($A$4&lt;=12,SUMIFS('ON Data'!AF:AF,'ON Data'!$D:$D,$A$4,'ON Data'!$E:$E,2),SUMIFS('ON Data'!AF:AF,'ON Data'!$E:$E,2))</f>
        <v>0</v>
      </c>
      <c r="AB11" s="191">
        <f xml:space="preserve">
IF($A$4&lt;=12,SUMIFS('ON Data'!AG:AG,'ON Data'!$D:$D,$A$4,'ON Data'!$E:$E,2),SUMIFS('ON Data'!AG:AG,'ON Data'!$E:$E,2))</f>
        <v>0</v>
      </c>
      <c r="AC11" s="191">
        <f xml:space="preserve">
IF($A$4&lt;=12,SUMIFS('ON Data'!AH:AH,'ON Data'!$D:$D,$A$4,'ON Data'!$E:$E,2),SUMIFS('ON Data'!AH:AH,'ON Data'!$E:$E,2))</f>
        <v>0</v>
      </c>
      <c r="AD11" s="191">
        <f xml:space="preserve">
IF($A$4&lt;=12,SUMIFS('ON Data'!AI:AI,'ON Data'!$D:$D,$A$4,'ON Data'!$E:$E,2),SUMIFS('ON Data'!AI:AI,'ON Data'!$E:$E,2))</f>
        <v>0</v>
      </c>
      <c r="AE11" s="191">
        <f xml:space="preserve">
IF($A$4&lt;=12,SUMIFS('ON Data'!AJ:AJ,'ON Data'!$D:$D,$A$4,'ON Data'!$E:$E,2),SUMIFS('ON Data'!AJ:AJ,'ON Data'!$E:$E,2))</f>
        <v>0</v>
      </c>
      <c r="AF11" s="191">
        <f xml:space="preserve">
IF($A$4&lt;=12,SUMIFS('ON Data'!AK:AK,'ON Data'!$D:$D,$A$4,'ON Data'!$E:$E,2),SUMIFS('ON Data'!AK:AK,'ON Data'!$E:$E,2))</f>
        <v>0</v>
      </c>
      <c r="AG11" s="298">
        <f xml:space="preserve">
IF($A$4&lt;=12,SUMIFS('ON Data'!AM:AM,'ON Data'!$D:$D,$A$4,'ON Data'!$E:$E,2),SUMIFS('ON Data'!AM:AM,'ON Data'!$E:$E,2))</f>
        <v>0</v>
      </c>
      <c r="AH11" s="308"/>
    </row>
    <row r="12" spans="1:34" x14ac:dyDescent="0.3">
      <c r="A12" s="172" t="s">
        <v>97</v>
      </c>
      <c r="B12" s="189">
        <f xml:space="preserve">
IF($A$4&lt;=12,SUMIFS('ON Data'!F:F,'ON Data'!$D:$D,$A$4,'ON Data'!$E:$E,3),SUMIFS('ON Data'!F:F,'ON Data'!$E:$E,3))</f>
        <v>0</v>
      </c>
      <c r="C12" s="190">
        <f xml:space="preserve">
IF($A$4&lt;=12,SUMIFS('ON Data'!G:G,'ON Data'!$D:$D,$A$4,'ON Data'!$E:$E,3),SUMIFS('ON Data'!G:G,'ON Data'!$E:$E,3))</f>
        <v>0</v>
      </c>
      <c r="D12" s="191">
        <f xml:space="preserve">
IF($A$4&lt;=12,SUMIFS('ON Data'!H:H,'ON Data'!$D:$D,$A$4,'ON Data'!$E:$E,3),SUMIFS('ON Data'!H:H,'ON Data'!$E:$E,3))</f>
        <v>0</v>
      </c>
      <c r="E12" s="191">
        <f xml:space="preserve">
IF($A$4&lt;=12,SUMIFS('ON Data'!I:I,'ON Data'!$D:$D,$A$4,'ON Data'!$E:$E,3),SUMIFS('ON Data'!I:I,'ON Data'!$E:$E,3))</f>
        <v>0</v>
      </c>
      <c r="F12" s="191">
        <f xml:space="preserve">
IF($A$4&lt;=12,SUMIFS('ON Data'!K:K,'ON Data'!$D:$D,$A$4,'ON Data'!$E:$E,3),SUMIFS('ON Data'!K:K,'ON Data'!$E:$E,3))</f>
        <v>0</v>
      </c>
      <c r="G12" s="191">
        <f xml:space="preserve">
IF($A$4&lt;=12,SUMIFS('ON Data'!L:L,'ON Data'!$D:$D,$A$4,'ON Data'!$E:$E,3),SUMIFS('ON Data'!L:L,'ON Data'!$E:$E,3))</f>
        <v>0</v>
      </c>
      <c r="H12" s="191">
        <f xml:space="preserve">
IF($A$4&lt;=12,SUMIFS('ON Data'!M:M,'ON Data'!$D:$D,$A$4,'ON Data'!$E:$E,3),SUMIFS('ON Data'!M:M,'ON Data'!$E:$E,3))</f>
        <v>0</v>
      </c>
      <c r="I12" s="191">
        <f xml:space="preserve">
IF($A$4&lt;=12,SUMIFS('ON Data'!N:N,'ON Data'!$D:$D,$A$4,'ON Data'!$E:$E,3),SUMIFS('ON Data'!N:N,'ON Data'!$E:$E,3))</f>
        <v>0</v>
      </c>
      <c r="J12" s="191">
        <f xml:space="preserve">
IF($A$4&lt;=12,SUMIFS('ON Data'!O:O,'ON Data'!$D:$D,$A$4,'ON Data'!$E:$E,3),SUMIFS('ON Data'!O:O,'ON Data'!$E:$E,3))</f>
        <v>0</v>
      </c>
      <c r="K12" s="191">
        <f xml:space="preserve">
IF($A$4&lt;=12,SUMIFS('ON Data'!P:P,'ON Data'!$D:$D,$A$4,'ON Data'!$E:$E,3),SUMIFS('ON Data'!P:P,'ON Data'!$E:$E,3))</f>
        <v>0</v>
      </c>
      <c r="L12" s="191">
        <f xml:space="preserve">
IF($A$4&lt;=12,SUMIFS('ON Data'!Q:Q,'ON Data'!$D:$D,$A$4,'ON Data'!$E:$E,3),SUMIFS('ON Data'!Q:Q,'ON Data'!$E:$E,3))</f>
        <v>0</v>
      </c>
      <c r="M12" s="191">
        <f xml:space="preserve">
IF($A$4&lt;=12,SUMIFS('ON Data'!R:R,'ON Data'!$D:$D,$A$4,'ON Data'!$E:$E,3),SUMIFS('ON Data'!R:R,'ON Data'!$E:$E,3))</f>
        <v>0</v>
      </c>
      <c r="N12" s="191">
        <f xml:space="preserve">
IF($A$4&lt;=12,SUMIFS('ON Data'!S:S,'ON Data'!$D:$D,$A$4,'ON Data'!$E:$E,3),SUMIFS('ON Data'!S:S,'ON Data'!$E:$E,3))</f>
        <v>0</v>
      </c>
      <c r="O12" s="191">
        <f xml:space="preserve">
IF($A$4&lt;=12,SUMIFS('ON Data'!T:T,'ON Data'!$D:$D,$A$4,'ON Data'!$E:$E,3),SUMIFS('ON Data'!T:T,'ON Data'!$E:$E,3))</f>
        <v>0</v>
      </c>
      <c r="P12" s="191">
        <f xml:space="preserve">
IF($A$4&lt;=12,SUMIFS('ON Data'!U:U,'ON Data'!$D:$D,$A$4,'ON Data'!$E:$E,3),SUMIFS('ON Data'!U:U,'ON Data'!$E:$E,3))</f>
        <v>0</v>
      </c>
      <c r="Q12" s="191">
        <f xml:space="preserve">
IF($A$4&lt;=12,SUMIFS('ON Data'!V:V,'ON Data'!$D:$D,$A$4,'ON Data'!$E:$E,3),SUMIFS('ON Data'!V:V,'ON Data'!$E:$E,3))</f>
        <v>0</v>
      </c>
      <c r="R12" s="191">
        <f xml:space="preserve">
IF($A$4&lt;=12,SUMIFS('ON Data'!W:W,'ON Data'!$D:$D,$A$4,'ON Data'!$E:$E,3),SUMIFS('ON Data'!W:W,'ON Data'!$E:$E,3))</f>
        <v>0</v>
      </c>
      <c r="S12" s="191">
        <f xml:space="preserve">
IF($A$4&lt;=12,SUMIFS('ON Data'!X:X,'ON Data'!$D:$D,$A$4,'ON Data'!$E:$E,3),SUMIFS('ON Data'!X:X,'ON Data'!$E:$E,3))</f>
        <v>0</v>
      </c>
      <c r="T12" s="191">
        <f xml:space="preserve">
IF($A$4&lt;=12,SUMIFS('ON Data'!Y:Y,'ON Data'!$D:$D,$A$4,'ON Data'!$E:$E,3),SUMIFS('ON Data'!Y:Y,'ON Data'!$E:$E,3))</f>
        <v>0</v>
      </c>
      <c r="U12" s="191">
        <f xml:space="preserve">
IF($A$4&lt;=12,SUMIFS('ON Data'!Z:Z,'ON Data'!$D:$D,$A$4,'ON Data'!$E:$E,3),SUMIFS('ON Data'!Z:Z,'ON Data'!$E:$E,3))</f>
        <v>0</v>
      </c>
      <c r="V12" s="191">
        <f xml:space="preserve">
IF($A$4&lt;=12,SUMIFS('ON Data'!AA:AA,'ON Data'!$D:$D,$A$4,'ON Data'!$E:$E,3),SUMIFS('ON Data'!AA:AA,'ON Data'!$E:$E,3))</f>
        <v>0</v>
      </c>
      <c r="W12" s="191">
        <f xml:space="preserve">
IF($A$4&lt;=12,SUMIFS('ON Data'!AB:AB,'ON Data'!$D:$D,$A$4,'ON Data'!$E:$E,3),SUMIFS('ON Data'!AB:AB,'ON Data'!$E:$E,3))</f>
        <v>0</v>
      </c>
      <c r="X12" s="191">
        <f xml:space="preserve">
IF($A$4&lt;=12,SUMIFS('ON Data'!AC:AC,'ON Data'!$D:$D,$A$4,'ON Data'!$E:$E,3),SUMIFS('ON Data'!AC:AC,'ON Data'!$E:$E,3))</f>
        <v>0</v>
      </c>
      <c r="Y12" s="191">
        <f xml:space="preserve">
IF($A$4&lt;=12,SUMIFS('ON Data'!AD:AD,'ON Data'!$D:$D,$A$4,'ON Data'!$E:$E,3),SUMIFS('ON Data'!AD:AD,'ON Data'!$E:$E,3))</f>
        <v>0</v>
      </c>
      <c r="Z12" s="191">
        <f xml:space="preserve">
IF($A$4&lt;=12,SUMIFS('ON Data'!AE:AE,'ON Data'!$D:$D,$A$4,'ON Data'!$E:$E,3),SUMIFS('ON Data'!AE:AE,'ON Data'!$E:$E,3))</f>
        <v>0</v>
      </c>
      <c r="AA12" s="191">
        <f xml:space="preserve">
IF($A$4&lt;=12,SUMIFS('ON Data'!AF:AF,'ON Data'!$D:$D,$A$4,'ON Data'!$E:$E,3),SUMIFS('ON Data'!AF:AF,'ON Data'!$E:$E,3))</f>
        <v>0</v>
      </c>
      <c r="AB12" s="191">
        <f xml:space="preserve">
IF($A$4&lt;=12,SUMIFS('ON Data'!AG:AG,'ON Data'!$D:$D,$A$4,'ON Data'!$E:$E,3),SUMIFS('ON Data'!AG:AG,'ON Data'!$E:$E,3))</f>
        <v>0</v>
      </c>
      <c r="AC12" s="191">
        <f xml:space="preserve">
IF($A$4&lt;=12,SUMIFS('ON Data'!AH:AH,'ON Data'!$D:$D,$A$4,'ON Data'!$E:$E,3),SUMIFS('ON Data'!AH:AH,'ON Data'!$E:$E,3))</f>
        <v>0</v>
      </c>
      <c r="AD12" s="191">
        <f xml:space="preserve">
IF($A$4&lt;=12,SUMIFS('ON Data'!AI:AI,'ON Data'!$D:$D,$A$4,'ON Data'!$E:$E,3),SUMIFS('ON Data'!AI:AI,'ON Data'!$E:$E,3))</f>
        <v>0</v>
      </c>
      <c r="AE12" s="191">
        <f xml:space="preserve">
IF($A$4&lt;=12,SUMIFS('ON Data'!AJ:AJ,'ON Data'!$D:$D,$A$4,'ON Data'!$E:$E,3),SUMIFS('ON Data'!AJ:AJ,'ON Data'!$E:$E,3))</f>
        <v>0</v>
      </c>
      <c r="AF12" s="191">
        <f xml:space="preserve">
IF($A$4&lt;=12,SUMIFS('ON Data'!AK:AK,'ON Data'!$D:$D,$A$4,'ON Data'!$E:$E,3),SUMIFS('ON Data'!AK:AK,'ON Data'!$E:$E,3))</f>
        <v>0</v>
      </c>
      <c r="AG12" s="298">
        <f xml:space="preserve">
IF($A$4&lt;=12,SUMIFS('ON Data'!AM:AM,'ON Data'!$D:$D,$A$4,'ON Data'!$E:$E,3),SUMIFS('ON Data'!AM:AM,'ON Data'!$E:$E,3))</f>
        <v>0</v>
      </c>
      <c r="AH12" s="308"/>
    </row>
    <row r="13" spans="1:34" x14ac:dyDescent="0.3">
      <c r="A13" s="172" t="s">
        <v>104</v>
      </c>
      <c r="B13" s="189">
        <f xml:space="preserve">
IF($A$4&lt;=12,SUMIFS('ON Data'!F:F,'ON Data'!$D:$D,$A$4,'ON Data'!$E:$E,4),SUMIFS('ON Data'!F:F,'ON Data'!$E:$E,4))</f>
        <v>6</v>
      </c>
      <c r="C13" s="190">
        <f xml:space="preserve">
IF($A$4&lt;=12,SUMIFS('ON Data'!G:G,'ON Data'!$D:$D,$A$4,'ON Data'!$E:$E,4),SUMIFS('ON Data'!G:G,'ON Data'!$E:$E,4))</f>
        <v>0</v>
      </c>
      <c r="D13" s="191">
        <f xml:space="preserve">
IF($A$4&lt;=12,SUMIFS('ON Data'!H:H,'ON Data'!$D:$D,$A$4,'ON Data'!$E:$E,4),SUMIFS('ON Data'!H:H,'ON Data'!$E:$E,4))</f>
        <v>0</v>
      </c>
      <c r="E13" s="191">
        <f xml:space="preserve">
IF($A$4&lt;=12,SUMIFS('ON Data'!I:I,'ON Data'!$D:$D,$A$4,'ON Data'!$E:$E,4),SUMIFS('ON Data'!I:I,'ON Data'!$E:$E,4))</f>
        <v>0</v>
      </c>
      <c r="F13" s="191">
        <f xml:space="preserve">
IF($A$4&lt;=12,SUMIFS('ON Data'!K:K,'ON Data'!$D:$D,$A$4,'ON Data'!$E:$E,4),SUMIFS('ON Data'!K:K,'ON Data'!$E:$E,4))</f>
        <v>0</v>
      </c>
      <c r="G13" s="191">
        <f xml:space="preserve">
IF($A$4&lt;=12,SUMIFS('ON Data'!L:L,'ON Data'!$D:$D,$A$4,'ON Data'!$E:$E,4),SUMIFS('ON Data'!L:L,'ON Data'!$E:$E,4))</f>
        <v>0</v>
      </c>
      <c r="H13" s="191">
        <f xml:space="preserve">
IF($A$4&lt;=12,SUMIFS('ON Data'!M:M,'ON Data'!$D:$D,$A$4,'ON Data'!$E:$E,4),SUMIFS('ON Data'!M:M,'ON Data'!$E:$E,4))</f>
        <v>0</v>
      </c>
      <c r="I13" s="191">
        <f xml:space="preserve">
IF($A$4&lt;=12,SUMIFS('ON Data'!N:N,'ON Data'!$D:$D,$A$4,'ON Data'!$E:$E,4),SUMIFS('ON Data'!N:N,'ON Data'!$E:$E,4))</f>
        <v>0</v>
      </c>
      <c r="J13" s="191">
        <f xml:space="preserve">
IF($A$4&lt;=12,SUMIFS('ON Data'!O:O,'ON Data'!$D:$D,$A$4,'ON Data'!$E:$E,4),SUMIFS('ON Data'!O:O,'ON Data'!$E:$E,4))</f>
        <v>6</v>
      </c>
      <c r="K13" s="191">
        <f xml:space="preserve">
IF($A$4&lt;=12,SUMIFS('ON Data'!P:P,'ON Data'!$D:$D,$A$4,'ON Data'!$E:$E,4),SUMIFS('ON Data'!P:P,'ON Data'!$E:$E,4))</f>
        <v>0</v>
      </c>
      <c r="L13" s="191">
        <f xml:space="preserve">
IF($A$4&lt;=12,SUMIFS('ON Data'!Q:Q,'ON Data'!$D:$D,$A$4,'ON Data'!$E:$E,4),SUMIFS('ON Data'!Q:Q,'ON Data'!$E:$E,4))</f>
        <v>0</v>
      </c>
      <c r="M13" s="191">
        <f xml:space="preserve">
IF($A$4&lt;=12,SUMIFS('ON Data'!R:R,'ON Data'!$D:$D,$A$4,'ON Data'!$E:$E,4),SUMIFS('ON Data'!R:R,'ON Data'!$E:$E,4))</f>
        <v>0</v>
      </c>
      <c r="N13" s="191">
        <f xml:space="preserve">
IF($A$4&lt;=12,SUMIFS('ON Data'!S:S,'ON Data'!$D:$D,$A$4,'ON Data'!$E:$E,4),SUMIFS('ON Data'!S:S,'ON Data'!$E:$E,4))</f>
        <v>0</v>
      </c>
      <c r="O13" s="191">
        <f xml:space="preserve">
IF($A$4&lt;=12,SUMIFS('ON Data'!T:T,'ON Data'!$D:$D,$A$4,'ON Data'!$E:$E,4),SUMIFS('ON Data'!T:T,'ON Data'!$E:$E,4))</f>
        <v>0</v>
      </c>
      <c r="P13" s="191">
        <f xml:space="preserve">
IF($A$4&lt;=12,SUMIFS('ON Data'!U:U,'ON Data'!$D:$D,$A$4,'ON Data'!$E:$E,4),SUMIFS('ON Data'!U:U,'ON Data'!$E:$E,4))</f>
        <v>0</v>
      </c>
      <c r="Q13" s="191">
        <f xml:space="preserve">
IF($A$4&lt;=12,SUMIFS('ON Data'!V:V,'ON Data'!$D:$D,$A$4,'ON Data'!$E:$E,4),SUMIFS('ON Data'!V:V,'ON Data'!$E:$E,4))</f>
        <v>0</v>
      </c>
      <c r="R13" s="191">
        <f xml:space="preserve">
IF($A$4&lt;=12,SUMIFS('ON Data'!W:W,'ON Data'!$D:$D,$A$4,'ON Data'!$E:$E,4),SUMIFS('ON Data'!W:W,'ON Data'!$E:$E,4))</f>
        <v>0</v>
      </c>
      <c r="S13" s="191">
        <f xml:space="preserve">
IF($A$4&lt;=12,SUMIFS('ON Data'!X:X,'ON Data'!$D:$D,$A$4,'ON Data'!$E:$E,4),SUMIFS('ON Data'!X:X,'ON Data'!$E:$E,4))</f>
        <v>0</v>
      </c>
      <c r="T13" s="191">
        <f xml:space="preserve">
IF($A$4&lt;=12,SUMIFS('ON Data'!Y:Y,'ON Data'!$D:$D,$A$4,'ON Data'!$E:$E,4),SUMIFS('ON Data'!Y:Y,'ON Data'!$E:$E,4))</f>
        <v>0</v>
      </c>
      <c r="U13" s="191">
        <f xml:space="preserve">
IF($A$4&lt;=12,SUMIFS('ON Data'!Z:Z,'ON Data'!$D:$D,$A$4,'ON Data'!$E:$E,4),SUMIFS('ON Data'!Z:Z,'ON Data'!$E:$E,4))</f>
        <v>0</v>
      </c>
      <c r="V13" s="191">
        <f xml:space="preserve">
IF($A$4&lt;=12,SUMIFS('ON Data'!AA:AA,'ON Data'!$D:$D,$A$4,'ON Data'!$E:$E,4),SUMIFS('ON Data'!AA:AA,'ON Data'!$E:$E,4))</f>
        <v>0</v>
      </c>
      <c r="W13" s="191">
        <f xml:space="preserve">
IF($A$4&lt;=12,SUMIFS('ON Data'!AB:AB,'ON Data'!$D:$D,$A$4,'ON Data'!$E:$E,4),SUMIFS('ON Data'!AB:AB,'ON Data'!$E:$E,4))</f>
        <v>0</v>
      </c>
      <c r="X13" s="191">
        <f xml:space="preserve">
IF($A$4&lt;=12,SUMIFS('ON Data'!AC:AC,'ON Data'!$D:$D,$A$4,'ON Data'!$E:$E,4),SUMIFS('ON Data'!AC:AC,'ON Data'!$E:$E,4))</f>
        <v>0</v>
      </c>
      <c r="Y13" s="191">
        <f xml:space="preserve">
IF($A$4&lt;=12,SUMIFS('ON Data'!AD:AD,'ON Data'!$D:$D,$A$4,'ON Data'!$E:$E,4),SUMIFS('ON Data'!AD:AD,'ON Data'!$E:$E,4))</f>
        <v>0</v>
      </c>
      <c r="Z13" s="191">
        <f xml:space="preserve">
IF($A$4&lt;=12,SUMIFS('ON Data'!AE:AE,'ON Data'!$D:$D,$A$4,'ON Data'!$E:$E,4),SUMIFS('ON Data'!AE:AE,'ON Data'!$E:$E,4))</f>
        <v>0</v>
      </c>
      <c r="AA13" s="191">
        <f xml:space="preserve">
IF($A$4&lt;=12,SUMIFS('ON Data'!AF:AF,'ON Data'!$D:$D,$A$4,'ON Data'!$E:$E,4),SUMIFS('ON Data'!AF:AF,'ON Data'!$E:$E,4))</f>
        <v>0</v>
      </c>
      <c r="AB13" s="191">
        <f xml:space="preserve">
IF($A$4&lt;=12,SUMIFS('ON Data'!AG:AG,'ON Data'!$D:$D,$A$4,'ON Data'!$E:$E,4),SUMIFS('ON Data'!AG:AG,'ON Data'!$E:$E,4))</f>
        <v>0</v>
      </c>
      <c r="AC13" s="191">
        <f xml:space="preserve">
IF($A$4&lt;=12,SUMIFS('ON Data'!AH:AH,'ON Data'!$D:$D,$A$4,'ON Data'!$E:$E,4),SUMIFS('ON Data'!AH:AH,'ON Data'!$E:$E,4))</f>
        <v>0</v>
      </c>
      <c r="AD13" s="191">
        <f xml:space="preserve">
IF($A$4&lt;=12,SUMIFS('ON Data'!AI:AI,'ON Data'!$D:$D,$A$4,'ON Data'!$E:$E,4),SUMIFS('ON Data'!AI:AI,'ON Data'!$E:$E,4))</f>
        <v>0</v>
      </c>
      <c r="AE13" s="191">
        <f xml:space="preserve">
IF($A$4&lt;=12,SUMIFS('ON Data'!AJ:AJ,'ON Data'!$D:$D,$A$4,'ON Data'!$E:$E,4),SUMIFS('ON Data'!AJ:AJ,'ON Data'!$E:$E,4))</f>
        <v>0</v>
      </c>
      <c r="AF13" s="191">
        <f xml:space="preserve">
IF($A$4&lt;=12,SUMIFS('ON Data'!AK:AK,'ON Data'!$D:$D,$A$4,'ON Data'!$E:$E,4),SUMIFS('ON Data'!AK:AK,'ON Data'!$E:$E,4))</f>
        <v>0</v>
      </c>
      <c r="AG13" s="298">
        <f xml:space="preserve">
IF($A$4&lt;=12,SUMIFS('ON Data'!AM:AM,'ON Data'!$D:$D,$A$4,'ON Data'!$E:$E,4),SUMIFS('ON Data'!AM:AM,'ON Data'!$E:$E,4))</f>
        <v>0</v>
      </c>
      <c r="AH13" s="308"/>
    </row>
    <row r="14" spans="1:34" ht="15" thickBot="1" x14ac:dyDescent="0.35">
      <c r="A14" s="173" t="s">
        <v>98</v>
      </c>
      <c r="B14" s="192">
        <f xml:space="preserve">
IF($A$4&lt;=12,SUMIFS('ON Data'!F:F,'ON Data'!$D:$D,$A$4,'ON Data'!$E:$E,5),SUMIFS('ON Data'!F:F,'ON Data'!$E:$E,5))</f>
        <v>0</v>
      </c>
      <c r="C14" s="193">
        <f xml:space="preserve">
IF($A$4&lt;=12,SUMIFS('ON Data'!G:G,'ON Data'!$D:$D,$A$4,'ON Data'!$E:$E,5),SUMIFS('ON Data'!G:G,'ON Data'!$E:$E,5))</f>
        <v>0</v>
      </c>
      <c r="D14" s="194">
        <f xml:space="preserve">
IF($A$4&lt;=12,SUMIFS('ON Data'!H:H,'ON Data'!$D:$D,$A$4,'ON Data'!$E:$E,5),SUMIFS('ON Data'!H:H,'ON Data'!$E:$E,5))</f>
        <v>0</v>
      </c>
      <c r="E14" s="194">
        <f xml:space="preserve">
IF($A$4&lt;=12,SUMIFS('ON Data'!I:I,'ON Data'!$D:$D,$A$4,'ON Data'!$E:$E,5),SUMIFS('ON Data'!I:I,'ON Data'!$E:$E,5))</f>
        <v>0</v>
      </c>
      <c r="F14" s="194">
        <f xml:space="preserve">
IF($A$4&lt;=12,SUMIFS('ON Data'!K:K,'ON Data'!$D:$D,$A$4,'ON Data'!$E:$E,5),SUMIFS('ON Data'!K:K,'ON Data'!$E:$E,5))</f>
        <v>0</v>
      </c>
      <c r="G14" s="194">
        <f xml:space="preserve">
IF($A$4&lt;=12,SUMIFS('ON Data'!L:L,'ON Data'!$D:$D,$A$4,'ON Data'!$E:$E,5),SUMIFS('ON Data'!L:L,'ON Data'!$E:$E,5))</f>
        <v>0</v>
      </c>
      <c r="H14" s="194">
        <f xml:space="preserve">
IF($A$4&lt;=12,SUMIFS('ON Data'!M:M,'ON Data'!$D:$D,$A$4,'ON Data'!$E:$E,5),SUMIFS('ON Data'!M:M,'ON Data'!$E:$E,5))</f>
        <v>0</v>
      </c>
      <c r="I14" s="194">
        <f xml:space="preserve">
IF($A$4&lt;=12,SUMIFS('ON Data'!N:N,'ON Data'!$D:$D,$A$4,'ON Data'!$E:$E,5),SUMIFS('ON Data'!N:N,'ON Data'!$E:$E,5))</f>
        <v>0</v>
      </c>
      <c r="J14" s="194">
        <f xml:space="preserve">
IF($A$4&lt;=12,SUMIFS('ON Data'!O:O,'ON Data'!$D:$D,$A$4,'ON Data'!$E:$E,5),SUMIFS('ON Data'!O:O,'ON Data'!$E:$E,5))</f>
        <v>0</v>
      </c>
      <c r="K14" s="194">
        <f xml:space="preserve">
IF($A$4&lt;=12,SUMIFS('ON Data'!P:P,'ON Data'!$D:$D,$A$4,'ON Data'!$E:$E,5),SUMIFS('ON Data'!P:P,'ON Data'!$E:$E,5))</f>
        <v>0</v>
      </c>
      <c r="L14" s="194">
        <f xml:space="preserve">
IF($A$4&lt;=12,SUMIFS('ON Data'!Q:Q,'ON Data'!$D:$D,$A$4,'ON Data'!$E:$E,5),SUMIFS('ON Data'!Q:Q,'ON Data'!$E:$E,5))</f>
        <v>0</v>
      </c>
      <c r="M14" s="194">
        <f xml:space="preserve">
IF($A$4&lt;=12,SUMIFS('ON Data'!R:R,'ON Data'!$D:$D,$A$4,'ON Data'!$E:$E,5),SUMIFS('ON Data'!R:R,'ON Data'!$E:$E,5))</f>
        <v>0</v>
      </c>
      <c r="N14" s="194">
        <f xml:space="preserve">
IF($A$4&lt;=12,SUMIFS('ON Data'!S:S,'ON Data'!$D:$D,$A$4,'ON Data'!$E:$E,5),SUMIFS('ON Data'!S:S,'ON Data'!$E:$E,5))</f>
        <v>0</v>
      </c>
      <c r="O14" s="194">
        <f xml:space="preserve">
IF($A$4&lt;=12,SUMIFS('ON Data'!T:T,'ON Data'!$D:$D,$A$4,'ON Data'!$E:$E,5),SUMIFS('ON Data'!T:T,'ON Data'!$E:$E,5))</f>
        <v>0</v>
      </c>
      <c r="P14" s="194">
        <f xml:space="preserve">
IF($A$4&lt;=12,SUMIFS('ON Data'!U:U,'ON Data'!$D:$D,$A$4,'ON Data'!$E:$E,5),SUMIFS('ON Data'!U:U,'ON Data'!$E:$E,5))</f>
        <v>0</v>
      </c>
      <c r="Q14" s="194">
        <f xml:space="preserve">
IF($A$4&lt;=12,SUMIFS('ON Data'!V:V,'ON Data'!$D:$D,$A$4,'ON Data'!$E:$E,5),SUMIFS('ON Data'!V:V,'ON Data'!$E:$E,5))</f>
        <v>0</v>
      </c>
      <c r="R14" s="194">
        <f xml:space="preserve">
IF($A$4&lt;=12,SUMIFS('ON Data'!W:W,'ON Data'!$D:$D,$A$4,'ON Data'!$E:$E,5),SUMIFS('ON Data'!W:W,'ON Data'!$E:$E,5))</f>
        <v>0</v>
      </c>
      <c r="S14" s="194">
        <f xml:space="preserve">
IF($A$4&lt;=12,SUMIFS('ON Data'!X:X,'ON Data'!$D:$D,$A$4,'ON Data'!$E:$E,5),SUMIFS('ON Data'!X:X,'ON Data'!$E:$E,5))</f>
        <v>0</v>
      </c>
      <c r="T14" s="194">
        <f xml:space="preserve">
IF($A$4&lt;=12,SUMIFS('ON Data'!Y:Y,'ON Data'!$D:$D,$A$4,'ON Data'!$E:$E,5),SUMIFS('ON Data'!Y:Y,'ON Data'!$E:$E,5))</f>
        <v>0</v>
      </c>
      <c r="U14" s="194">
        <f xml:space="preserve">
IF($A$4&lt;=12,SUMIFS('ON Data'!Z:Z,'ON Data'!$D:$D,$A$4,'ON Data'!$E:$E,5),SUMIFS('ON Data'!Z:Z,'ON Data'!$E:$E,5))</f>
        <v>0</v>
      </c>
      <c r="V14" s="194">
        <f xml:space="preserve">
IF($A$4&lt;=12,SUMIFS('ON Data'!AA:AA,'ON Data'!$D:$D,$A$4,'ON Data'!$E:$E,5),SUMIFS('ON Data'!AA:AA,'ON Data'!$E:$E,5))</f>
        <v>0</v>
      </c>
      <c r="W14" s="194">
        <f xml:space="preserve">
IF($A$4&lt;=12,SUMIFS('ON Data'!AB:AB,'ON Data'!$D:$D,$A$4,'ON Data'!$E:$E,5),SUMIFS('ON Data'!AB:AB,'ON Data'!$E:$E,5))</f>
        <v>0</v>
      </c>
      <c r="X14" s="194">
        <f xml:space="preserve">
IF($A$4&lt;=12,SUMIFS('ON Data'!AC:AC,'ON Data'!$D:$D,$A$4,'ON Data'!$E:$E,5),SUMIFS('ON Data'!AC:AC,'ON Data'!$E:$E,5))</f>
        <v>0</v>
      </c>
      <c r="Y14" s="194">
        <f xml:space="preserve">
IF($A$4&lt;=12,SUMIFS('ON Data'!AD:AD,'ON Data'!$D:$D,$A$4,'ON Data'!$E:$E,5),SUMIFS('ON Data'!AD:AD,'ON Data'!$E:$E,5))</f>
        <v>0</v>
      </c>
      <c r="Z14" s="194">
        <f xml:space="preserve">
IF($A$4&lt;=12,SUMIFS('ON Data'!AE:AE,'ON Data'!$D:$D,$A$4,'ON Data'!$E:$E,5),SUMIFS('ON Data'!AE:AE,'ON Data'!$E:$E,5))</f>
        <v>0</v>
      </c>
      <c r="AA14" s="194">
        <f xml:space="preserve">
IF($A$4&lt;=12,SUMIFS('ON Data'!AF:AF,'ON Data'!$D:$D,$A$4,'ON Data'!$E:$E,5),SUMIFS('ON Data'!AF:AF,'ON Data'!$E:$E,5))</f>
        <v>0</v>
      </c>
      <c r="AB14" s="194">
        <f xml:space="preserve">
IF($A$4&lt;=12,SUMIFS('ON Data'!AG:AG,'ON Data'!$D:$D,$A$4,'ON Data'!$E:$E,5),SUMIFS('ON Data'!AG:AG,'ON Data'!$E:$E,5))</f>
        <v>0</v>
      </c>
      <c r="AC14" s="194">
        <f xml:space="preserve">
IF($A$4&lt;=12,SUMIFS('ON Data'!AH:AH,'ON Data'!$D:$D,$A$4,'ON Data'!$E:$E,5),SUMIFS('ON Data'!AH:AH,'ON Data'!$E:$E,5))</f>
        <v>0</v>
      </c>
      <c r="AD14" s="194">
        <f xml:space="preserve">
IF($A$4&lt;=12,SUMIFS('ON Data'!AI:AI,'ON Data'!$D:$D,$A$4,'ON Data'!$E:$E,5),SUMIFS('ON Data'!AI:AI,'ON Data'!$E:$E,5))</f>
        <v>0</v>
      </c>
      <c r="AE14" s="194">
        <f xml:space="preserve">
IF($A$4&lt;=12,SUMIFS('ON Data'!AJ:AJ,'ON Data'!$D:$D,$A$4,'ON Data'!$E:$E,5),SUMIFS('ON Data'!AJ:AJ,'ON Data'!$E:$E,5))</f>
        <v>0</v>
      </c>
      <c r="AF14" s="194">
        <f xml:space="preserve">
IF($A$4&lt;=12,SUMIFS('ON Data'!AK:AK,'ON Data'!$D:$D,$A$4,'ON Data'!$E:$E,5),SUMIFS('ON Data'!AK:AK,'ON Data'!$E:$E,5))</f>
        <v>0</v>
      </c>
      <c r="AG14" s="299">
        <f xml:space="preserve">
IF($A$4&lt;=12,SUMIFS('ON Data'!AM:AM,'ON Data'!$D:$D,$A$4,'ON Data'!$E:$E,5),SUMIFS('ON Data'!AM:AM,'ON Data'!$E:$E,5))</f>
        <v>0</v>
      </c>
      <c r="AH14" s="308"/>
    </row>
    <row r="15" spans="1:34" x14ac:dyDescent="0.3">
      <c r="A15" s="122" t="s">
        <v>108</v>
      </c>
      <c r="B15" s="195"/>
      <c r="C15" s="196"/>
      <c r="D15" s="197"/>
      <c r="E15" s="197"/>
      <c r="F15" s="197"/>
      <c r="G15" s="197"/>
      <c r="H15" s="197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7"/>
      <c r="Y15" s="197"/>
      <c r="Z15" s="197"/>
      <c r="AA15" s="197"/>
      <c r="AB15" s="197"/>
      <c r="AC15" s="197"/>
      <c r="AD15" s="197"/>
      <c r="AE15" s="197"/>
      <c r="AF15" s="197"/>
      <c r="AG15" s="300"/>
      <c r="AH15" s="308"/>
    </row>
    <row r="16" spans="1:34" x14ac:dyDescent="0.3">
      <c r="A16" s="174" t="s">
        <v>99</v>
      </c>
      <c r="B16" s="189">
        <f xml:space="preserve">
IF($A$4&lt;=12,SUMIFS('ON Data'!F:F,'ON Data'!$D:$D,$A$4,'ON Data'!$E:$E,7),SUMIFS('ON Data'!F:F,'ON Data'!$E:$E,7))</f>
        <v>0</v>
      </c>
      <c r="C16" s="190">
        <f xml:space="preserve">
IF($A$4&lt;=12,SUMIFS('ON Data'!G:G,'ON Data'!$D:$D,$A$4,'ON Data'!$E:$E,7),SUMIFS('ON Data'!G:G,'ON Data'!$E:$E,7))</f>
        <v>0</v>
      </c>
      <c r="D16" s="191">
        <f xml:space="preserve">
IF($A$4&lt;=12,SUMIFS('ON Data'!H:H,'ON Data'!$D:$D,$A$4,'ON Data'!$E:$E,7),SUMIFS('ON Data'!H:H,'ON Data'!$E:$E,7))</f>
        <v>0</v>
      </c>
      <c r="E16" s="191">
        <f xml:space="preserve">
IF($A$4&lt;=12,SUMIFS('ON Data'!I:I,'ON Data'!$D:$D,$A$4,'ON Data'!$E:$E,7),SUMIFS('ON Data'!I:I,'ON Data'!$E:$E,7))</f>
        <v>0</v>
      </c>
      <c r="F16" s="191">
        <f xml:space="preserve">
IF($A$4&lt;=12,SUMIFS('ON Data'!K:K,'ON Data'!$D:$D,$A$4,'ON Data'!$E:$E,7),SUMIFS('ON Data'!K:K,'ON Data'!$E:$E,7))</f>
        <v>0</v>
      </c>
      <c r="G16" s="191">
        <f xml:space="preserve">
IF($A$4&lt;=12,SUMIFS('ON Data'!L:L,'ON Data'!$D:$D,$A$4,'ON Data'!$E:$E,7),SUMIFS('ON Data'!L:L,'ON Data'!$E:$E,7))</f>
        <v>0</v>
      </c>
      <c r="H16" s="191">
        <f xml:space="preserve">
IF($A$4&lt;=12,SUMIFS('ON Data'!M:M,'ON Data'!$D:$D,$A$4,'ON Data'!$E:$E,7),SUMIFS('ON Data'!M:M,'ON Data'!$E:$E,7))</f>
        <v>0</v>
      </c>
      <c r="I16" s="191">
        <f xml:space="preserve">
IF($A$4&lt;=12,SUMIFS('ON Data'!N:N,'ON Data'!$D:$D,$A$4,'ON Data'!$E:$E,7),SUMIFS('ON Data'!N:N,'ON Data'!$E:$E,7))</f>
        <v>0</v>
      </c>
      <c r="J16" s="191">
        <f xml:space="preserve">
IF($A$4&lt;=12,SUMIFS('ON Data'!O:O,'ON Data'!$D:$D,$A$4,'ON Data'!$E:$E,7),SUMIFS('ON Data'!O:O,'ON Data'!$E:$E,7))</f>
        <v>0</v>
      </c>
      <c r="K16" s="191">
        <f xml:space="preserve">
IF($A$4&lt;=12,SUMIFS('ON Data'!P:P,'ON Data'!$D:$D,$A$4,'ON Data'!$E:$E,7),SUMIFS('ON Data'!P:P,'ON Data'!$E:$E,7))</f>
        <v>0</v>
      </c>
      <c r="L16" s="191">
        <f xml:space="preserve">
IF($A$4&lt;=12,SUMIFS('ON Data'!Q:Q,'ON Data'!$D:$D,$A$4,'ON Data'!$E:$E,7),SUMIFS('ON Data'!Q:Q,'ON Data'!$E:$E,7))</f>
        <v>0</v>
      </c>
      <c r="M16" s="191">
        <f xml:space="preserve">
IF($A$4&lt;=12,SUMIFS('ON Data'!R:R,'ON Data'!$D:$D,$A$4,'ON Data'!$E:$E,7),SUMIFS('ON Data'!R:R,'ON Data'!$E:$E,7))</f>
        <v>0</v>
      </c>
      <c r="N16" s="191">
        <f xml:space="preserve">
IF($A$4&lt;=12,SUMIFS('ON Data'!S:S,'ON Data'!$D:$D,$A$4,'ON Data'!$E:$E,7),SUMIFS('ON Data'!S:S,'ON Data'!$E:$E,7))</f>
        <v>0</v>
      </c>
      <c r="O16" s="191">
        <f xml:space="preserve">
IF($A$4&lt;=12,SUMIFS('ON Data'!T:T,'ON Data'!$D:$D,$A$4,'ON Data'!$E:$E,7),SUMIFS('ON Data'!T:T,'ON Data'!$E:$E,7))</f>
        <v>0</v>
      </c>
      <c r="P16" s="191">
        <f xml:space="preserve">
IF($A$4&lt;=12,SUMIFS('ON Data'!U:U,'ON Data'!$D:$D,$A$4,'ON Data'!$E:$E,7),SUMIFS('ON Data'!U:U,'ON Data'!$E:$E,7))</f>
        <v>0</v>
      </c>
      <c r="Q16" s="191">
        <f xml:space="preserve">
IF($A$4&lt;=12,SUMIFS('ON Data'!V:V,'ON Data'!$D:$D,$A$4,'ON Data'!$E:$E,7),SUMIFS('ON Data'!V:V,'ON Data'!$E:$E,7))</f>
        <v>0</v>
      </c>
      <c r="R16" s="191">
        <f xml:space="preserve">
IF($A$4&lt;=12,SUMIFS('ON Data'!W:W,'ON Data'!$D:$D,$A$4,'ON Data'!$E:$E,7),SUMIFS('ON Data'!W:W,'ON Data'!$E:$E,7))</f>
        <v>0</v>
      </c>
      <c r="S16" s="191">
        <f xml:space="preserve">
IF($A$4&lt;=12,SUMIFS('ON Data'!X:X,'ON Data'!$D:$D,$A$4,'ON Data'!$E:$E,7),SUMIFS('ON Data'!X:X,'ON Data'!$E:$E,7))</f>
        <v>0</v>
      </c>
      <c r="T16" s="191">
        <f xml:space="preserve">
IF($A$4&lt;=12,SUMIFS('ON Data'!Y:Y,'ON Data'!$D:$D,$A$4,'ON Data'!$E:$E,7),SUMIFS('ON Data'!Y:Y,'ON Data'!$E:$E,7))</f>
        <v>0</v>
      </c>
      <c r="U16" s="191">
        <f xml:space="preserve">
IF($A$4&lt;=12,SUMIFS('ON Data'!Z:Z,'ON Data'!$D:$D,$A$4,'ON Data'!$E:$E,7),SUMIFS('ON Data'!Z:Z,'ON Data'!$E:$E,7))</f>
        <v>0</v>
      </c>
      <c r="V16" s="191">
        <f xml:space="preserve">
IF($A$4&lt;=12,SUMIFS('ON Data'!AA:AA,'ON Data'!$D:$D,$A$4,'ON Data'!$E:$E,7),SUMIFS('ON Data'!AA:AA,'ON Data'!$E:$E,7))</f>
        <v>0</v>
      </c>
      <c r="W16" s="191">
        <f xml:space="preserve">
IF($A$4&lt;=12,SUMIFS('ON Data'!AB:AB,'ON Data'!$D:$D,$A$4,'ON Data'!$E:$E,7),SUMIFS('ON Data'!AB:AB,'ON Data'!$E:$E,7))</f>
        <v>0</v>
      </c>
      <c r="X16" s="191">
        <f xml:space="preserve">
IF($A$4&lt;=12,SUMIFS('ON Data'!AC:AC,'ON Data'!$D:$D,$A$4,'ON Data'!$E:$E,7),SUMIFS('ON Data'!AC:AC,'ON Data'!$E:$E,7))</f>
        <v>0</v>
      </c>
      <c r="Y16" s="191">
        <f xml:space="preserve">
IF($A$4&lt;=12,SUMIFS('ON Data'!AD:AD,'ON Data'!$D:$D,$A$4,'ON Data'!$E:$E,7),SUMIFS('ON Data'!AD:AD,'ON Data'!$E:$E,7))</f>
        <v>0</v>
      </c>
      <c r="Z16" s="191">
        <f xml:space="preserve">
IF($A$4&lt;=12,SUMIFS('ON Data'!AE:AE,'ON Data'!$D:$D,$A$4,'ON Data'!$E:$E,7),SUMIFS('ON Data'!AE:AE,'ON Data'!$E:$E,7))</f>
        <v>0</v>
      </c>
      <c r="AA16" s="191">
        <f xml:space="preserve">
IF($A$4&lt;=12,SUMIFS('ON Data'!AF:AF,'ON Data'!$D:$D,$A$4,'ON Data'!$E:$E,7),SUMIFS('ON Data'!AF:AF,'ON Data'!$E:$E,7))</f>
        <v>0</v>
      </c>
      <c r="AB16" s="191">
        <f xml:space="preserve">
IF($A$4&lt;=12,SUMIFS('ON Data'!AG:AG,'ON Data'!$D:$D,$A$4,'ON Data'!$E:$E,7),SUMIFS('ON Data'!AG:AG,'ON Data'!$E:$E,7))</f>
        <v>0</v>
      </c>
      <c r="AC16" s="191">
        <f xml:space="preserve">
IF($A$4&lt;=12,SUMIFS('ON Data'!AH:AH,'ON Data'!$D:$D,$A$4,'ON Data'!$E:$E,7),SUMIFS('ON Data'!AH:AH,'ON Data'!$E:$E,7))</f>
        <v>0</v>
      </c>
      <c r="AD16" s="191">
        <f xml:space="preserve">
IF($A$4&lt;=12,SUMIFS('ON Data'!AI:AI,'ON Data'!$D:$D,$A$4,'ON Data'!$E:$E,7),SUMIFS('ON Data'!AI:AI,'ON Data'!$E:$E,7))</f>
        <v>0</v>
      </c>
      <c r="AE16" s="191">
        <f xml:space="preserve">
IF($A$4&lt;=12,SUMIFS('ON Data'!AJ:AJ,'ON Data'!$D:$D,$A$4,'ON Data'!$E:$E,7),SUMIFS('ON Data'!AJ:AJ,'ON Data'!$E:$E,7))</f>
        <v>0</v>
      </c>
      <c r="AF16" s="191">
        <f xml:space="preserve">
IF($A$4&lt;=12,SUMIFS('ON Data'!AK:AK,'ON Data'!$D:$D,$A$4,'ON Data'!$E:$E,7),SUMIFS('ON Data'!AK:AK,'ON Data'!$E:$E,7))</f>
        <v>0</v>
      </c>
      <c r="AG16" s="298">
        <f xml:space="preserve">
IF($A$4&lt;=12,SUMIFS('ON Data'!AM:AM,'ON Data'!$D:$D,$A$4,'ON Data'!$E:$E,7),SUMIFS('ON Data'!AM:AM,'ON Data'!$E:$E,7))</f>
        <v>0</v>
      </c>
      <c r="AH16" s="308"/>
    </row>
    <row r="17" spans="1:34" x14ac:dyDescent="0.3">
      <c r="A17" s="174" t="s">
        <v>100</v>
      </c>
      <c r="B17" s="189">
        <f xml:space="preserve">
IF($A$4&lt;=12,SUMIFS('ON Data'!F:F,'ON Data'!$D:$D,$A$4,'ON Data'!$E:$E,8),SUMIFS('ON Data'!F:F,'ON Data'!$E:$E,8))</f>
        <v>0</v>
      </c>
      <c r="C17" s="190">
        <f xml:space="preserve">
IF($A$4&lt;=12,SUMIFS('ON Data'!G:G,'ON Data'!$D:$D,$A$4,'ON Data'!$E:$E,8),SUMIFS('ON Data'!G:G,'ON Data'!$E:$E,8))</f>
        <v>0</v>
      </c>
      <c r="D17" s="191">
        <f xml:space="preserve">
IF($A$4&lt;=12,SUMIFS('ON Data'!H:H,'ON Data'!$D:$D,$A$4,'ON Data'!$E:$E,8),SUMIFS('ON Data'!H:H,'ON Data'!$E:$E,8))</f>
        <v>0</v>
      </c>
      <c r="E17" s="191">
        <f xml:space="preserve">
IF($A$4&lt;=12,SUMIFS('ON Data'!I:I,'ON Data'!$D:$D,$A$4,'ON Data'!$E:$E,8),SUMIFS('ON Data'!I:I,'ON Data'!$E:$E,8))</f>
        <v>0</v>
      </c>
      <c r="F17" s="191">
        <f xml:space="preserve">
IF($A$4&lt;=12,SUMIFS('ON Data'!K:K,'ON Data'!$D:$D,$A$4,'ON Data'!$E:$E,8),SUMIFS('ON Data'!K:K,'ON Data'!$E:$E,8))</f>
        <v>0</v>
      </c>
      <c r="G17" s="191">
        <f xml:space="preserve">
IF($A$4&lt;=12,SUMIFS('ON Data'!L:L,'ON Data'!$D:$D,$A$4,'ON Data'!$E:$E,8),SUMIFS('ON Data'!L:L,'ON Data'!$E:$E,8))</f>
        <v>0</v>
      </c>
      <c r="H17" s="191">
        <f xml:space="preserve">
IF($A$4&lt;=12,SUMIFS('ON Data'!M:M,'ON Data'!$D:$D,$A$4,'ON Data'!$E:$E,8),SUMIFS('ON Data'!M:M,'ON Data'!$E:$E,8))</f>
        <v>0</v>
      </c>
      <c r="I17" s="191">
        <f xml:space="preserve">
IF($A$4&lt;=12,SUMIFS('ON Data'!N:N,'ON Data'!$D:$D,$A$4,'ON Data'!$E:$E,8),SUMIFS('ON Data'!N:N,'ON Data'!$E:$E,8))</f>
        <v>0</v>
      </c>
      <c r="J17" s="191">
        <f xml:space="preserve">
IF($A$4&lt;=12,SUMIFS('ON Data'!O:O,'ON Data'!$D:$D,$A$4,'ON Data'!$E:$E,8),SUMIFS('ON Data'!O:O,'ON Data'!$E:$E,8))</f>
        <v>0</v>
      </c>
      <c r="K17" s="191">
        <f xml:space="preserve">
IF($A$4&lt;=12,SUMIFS('ON Data'!P:P,'ON Data'!$D:$D,$A$4,'ON Data'!$E:$E,8),SUMIFS('ON Data'!P:P,'ON Data'!$E:$E,8))</f>
        <v>0</v>
      </c>
      <c r="L17" s="191">
        <f xml:space="preserve">
IF($A$4&lt;=12,SUMIFS('ON Data'!Q:Q,'ON Data'!$D:$D,$A$4,'ON Data'!$E:$E,8),SUMIFS('ON Data'!Q:Q,'ON Data'!$E:$E,8))</f>
        <v>0</v>
      </c>
      <c r="M17" s="191">
        <f xml:space="preserve">
IF($A$4&lt;=12,SUMIFS('ON Data'!R:R,'ON Data'!$D:$D,$A$4,'ON Data'!$E:$E,8),SUMIFS('ON Data'!R:R,'ON Data'!$E:$E,8))</f>
        <v>0</v>
      </c>
      <c r="N17" s="191">
        <f xml:space="preserve">
IF($A$4&lt;=12,SUMIFS('ON Data'!S:S,'ON Data'!$D:$D,$A$4,'ON Data'!$E:$E,8),SUMIFS('ON Data'!S:S,'ON Data'!$E:$E,8))</f>
        <v>0</v>
      </c>
      <c r="O17" s="191">
        <f xml:space="preserve">
IF($A$4&lt;=12,SUMIFS('ON Data'!T:T,'ON Data'!$D:$D,$A$4,'ON Data'!$E:$E,8),SUMIFS('ON Data'!T:T,'ON Data'!$E:$E,8))</f>
        <v>0</v>
      </c>
      <c r="P17" s="191">
        <f xml:space="preserve">
IF($A$4&lt;=12,SUMIFS('ON Data'!U:U,'ON Data'!$D:$D,$A$4,'ON Data'!$E:$E,8),SUMIFS('ON Data'!U:U,'ON Data'!$E:$E,8))</f>
        <v>0</v>
      </c>
      <c r="Q17" s="191">
        <f xml:space="preserve">
IF($A$4&lt;=12,SUMIFS('ON Data'!V:V,'ON Data'!$D:$D,$A$4,'ON Data'!$E:$E,8),SUMIFS('ON Data'!V:V,'ON Data'!$E:$E,8))</f>
        <v>0</v>
      </c>
      <c r="R17" s="191">
        <f xml:space="preserve">
IF($A$4&lt;=12,SUMIFS('ON Data'!W:W,'ON Data'!$D:$D,$A$4,'ON Data'!$E:$E,8),SUMIFS('ON Data'!W:W,'ON Data'!$E:$E,8))</f>
        <v>0</v>
      </c>
      <c r="S17" s="191">
        <f xml:space="preserve">
IF($A$4&lt;=12,SUMIFS('ON Data'!X:X,'ON Data'!$D:$D,$A$4,'ON Data'!$E:$E,8),SUMIFS('ON Data'!X:X,'ON Data'!$E:$E,8))</f>
        <v>0</v>
      </c>
      <c r="T17" s="191">
        <f xml:space="preserve">
IF($A$4&lt;=12,SUMIFS('ON Data'!Y:Y,'ON Data'!$D:$D,$A$4,'ON Data'!$E:$E,8),SUMIFS('ON Data'!Y:Y,'ON Data'!$E:$E,8))</f>
        <v>0</v>
      </c>
      <c r="U17" s="191">
        <f xml:space="preserve">
IF($A$4&lt;=12,SUMIFS('ON Data'!Z:Z,'ON Data'!$D:$D,$A$4,'ON Data'!$E:$E,8),SUMIFS('ON Data'!Z:Z,'ON Data'!$E:$E,8))</f>
        <v>0</v>
      </c>
      <c r="V17" s="191">
        <f xml:space="preserve">
IF($A$4&lt;=12,SUMIFS('ON Data'!AA:AA,'ON Data'!$D:$D,$A$4,'ON Data'!$E:$E,8),SUMIFS('ON Data'!AA:AA,'ON Data'!$E:$E,8))</f>
        <v>0</v>
      </c>
      <c r="W17" s="191">
        <f xml:space="preserve">
IF($A$4&lt;=12,SUMIFS('ON Data'!AB:AB,'ON Data'!$D:$D,$A$4,'ON Data'!$E:$E,8),SUMIFS('ON Data'!AB:AB,'ON Data'!$E:$E,8))</f>
        <v>0</v>
      </c>
      <c r="X17" s="191">
        <f xml:space="preserve">
IF($A$4&lt;=12,SUMIFS('ON Data'!AC:AC,'ON Data'!$D:$D,$A$4,'ON Data'!$E:$E,8),SUMIFS('ON Data'!AC:AC,'ON Data'!$E:$E,8))</f>
        <v>0</v>
      </c>
      <c r="Y17" s="191">
        <f xml:space="preserve">
IF($A$4&lt;=12,SUMIFS('ON Data'!AD:AD,'ON Data'!$D:$D,$A$4,'ON Data'!$E:$E,8),SUMIFS('ON Data'!AD:AD,'ON Data'!$E:$E,8))</f>
        <v>0</v>
      </c>
      <c r="Z17" s="191">
        <f xml:space="preserve">
IF($A$4&lt;=12,SUMIFS('ON Data'!AE:AE,'ON Data'!$D:$D,$A$4,'ON Data'!$E:$E,8),SUMIFS('ON Data'!AE:AE,'ON Data'!$E:$E,8))</f>
        <v>0</v>
      </c>
      <c r="AA17" s="191">
        <f xml:space="preserve">
IF($A$4&lt;=12,SUMIFS('ON Data'!AF:AF,'ON Data'!$D:$D,$A$4,'ON Data'!$E:$E,8),SUMIFS('ON Data'!AF:AF,'ON Data'!$E:$E,8))</f>
        <v>0</v>
      </c>
      <c r="AB17" s="191">
        <f xml:space="preserve">
IF($A$4&lt;=12,SUMIFS('ON Data'!AG:AG,'ON Data'!$D:$D,$A$4,'ON Data'!$E:$E,8),SUMIFS('ON Data'!AG:AG,'ON Data'!$E:$E,8))</f>
        <v>0</v>
      </c>
      <c r="AC17" s="191">
        <f xml:space="preserve">
IF($A$4&lt;=12,SUMIFS('ON Data'!AH:AH,'ON Data'!$D:$D,$A$4,'ON Data'!$E:$E,8),SUMIFS('ON Data'!AH:AH,'ON Data'!$E:$E,8))</f>
        <v>0</v>
      </c>
      <c r="AD17" s="191">
        <f xml:space="preserve">
IF($A$4&lt;=12,SUMIFS('ON Data'!AI:AI,'ON Data'!$D:$D,$A$4,'ON Data'!$E:$E,8),SUMIFS('ON Data'!AI:AI,'ON Data'!$E:$E,8))</f>
        <v>0</v>
      </c>
      <c r="AE17" s="191">
        <f xml:space="preserve">
IF($A$4&lt;=12,SUMIFS('ON Data'!AJ:AJ,'ON Data'!$D:$D,$A$4,'ON Data'!$E:$E,8),SUMIFS('ON Data'!AJ:AJ,'ON Data'!$E:$E,8))</f>
        <v>0</v>
      </c>
      <c r="AF17" s="191">
        <f xml:space="preserve">
IF($A$4&lt;=12,SUMIFS('ON Data'!AK:AK,'ON Data'!$D:$D,$A$4,'ON Data'!$E:$E,8),SUMIFS('ON Data'!AK:AK,'ON Data'!$E:$E,8))</f>
        <v>0</v>
      </c>
      <c r="AG17" s="298">
        <f xml:space="preserve">
IF($A$4&lt;=12,SUMIFS('ON Data'!AM:AM,'ON Data'!$D:$D,$A$4,'ON Data'!$E:$E,8),SUMIFS('ON Data'!AM:AM,'ON Data'!$E:$E,8))</f>
        <v>0</v>
      </c>
      <c r="AH17" s="308"/>
    </row>
    <row r="18" spans="1:34" x14ac:dyDescent="0.3">
      <c r="A18" s="174" t="s">
        <v>101</v>
      </c>
      <c r="B18" s="189">
        <f xml:space="preserve">
B19-B16-B17</f>
        <v>0</v>
      </c>
      <c r="C18" s="190">
        <f t="shared" ref="C18" si="0" xml:space="preserve">
C19-C16-C17</f>
        <v>0</v>
      </c>
      <c r="D18" s="191">
        <f t="shared" ref="D18:AG18" si="1" xml:space="preserve">
D19-D16-D17</f>
        <v>0</v>
      </c>
      <c r="E18" s="191">
        <f t="shared" si="1"/>
        <v>0</v>
      </c>
      <c r="F18" s="191">
        <f t="shared" si="1"/>
        <v>0</v>
      </c>
      <c r="G18" s="191">
        <f t="shared" si="1"/>
        <v>0</v>
      </c>
      <c r="H18" s="191">
        <f t="shared" si="1"/>
        <v>0</v>
      </c>
      <c r="I18" s="191">
        <f t="shared" si="1"/>
        <v>0</v>
      </c>
      <c r="J18" s="191">
        <f t="shared" si="1"/>
        <v>0</v>
      </c>
      <c r="K18" s="191">
        <f t="shared" si="1"/>
        <v>0</v>
      </c>
      <c r="L18" s="191">
        <f t="shared" si="1"/>
        <v>0</v>
      </c>
      <c r="M18" s="191">
        <f t="shared" si="1"/>
        <v>0</v>
      </c>
      <c r="N18" s="191">
        <f t="shared" si="1"/>
        <v>0</v>
      </c>
      <c r="O18" s="191">
        <f t="shared" si="1"/>
        <v>0</v>
      </c>
      <c r="P18" s="191">
        <f t="shared" si="1"/>
        <v>0</v>
      </c>
      <c r="Q18" s="191">
        <f t="shared" si="1"/>
        <v>0</v>
      </c>
      <c r="R18" s="191">
        <f t="shared" si="1"/>
        <v>0</v>
      </c>
      <c r="S18" s="191">
        <f t="shared" si="1"/>
        <v>0</v>
      </c>
      <c r="T18" s="191">
        <f t="shared" si="1"/>
        <v>0</v>
      </c>
      <c r="U18" s="191">
        <f t="shared" si="1"/>
        <v>0</v>
      </c>
      <c r="V18" s="191">
        <f t="shared" si="1"/>
        <v>0</v>
      </c>
      <c r="W18" s="191">
        <f t="shared" si="1"/>
        <v>0</v>
      </c>
      <c r="X18" s="191">
        <f t="shared" si="1"/>
        <v>0</v>
      </c>
      <c r="Y18" s="191">
        <f t="shared" si="1"/>
        <v>0</v>
      </c>
      <c r="Z18" s="191">
        <f t="shared" si="1"/>
        <v>0</v>
      </c>
      <c r="AA18" s="191">
        <f t="shared" si="1"/>
        <v>0</v>
      </c>
      <c r="AB18" s="191">
        <f t="shared" si="1"/>
        <v>0</v>
      </c>
      <c r="AC18" s="191">
        <f t="shared" si="1"/>
        <v>0</v>
      </c>
      <c r="AD18" s="191">
        <f t="shared" si="1"/>
        <v>0</v>
      </c>
      <c r="AE18" s="191">
        <f t="shared" si="1"/>
        <v>0</v>
      </c>
      <c r="AF18" s="191">
        <f t="shared" si="1"/>
        <v>0</v>
      </c>
      <c r="AG18" s="298">
        <f t="shared" si="1"/>
        <v>0</v>
      </c>
      <c r="AH18" s="308"/>
    </row>
    <row r="19" spans="1:34" ht="15" thickBot="1" x14ac:dyDescent="0.35">
      <c r="A19" s="175" t="s">
        <v>102</v>
      </c>
      <c r="B19" s="198">
        <f xml:space="preserve">
IF($A$4&lt;=12,SUMIFS('ON Data'!F:F,'ON Data'!$D:$D,$A$4,'ON Data'!$E:$E,9),SUMIFS('ON Data'!F:F,'ON Data'!$E:$E,9))</f>
        <v>0</v>
      </c>
      <c r="C19" s="199">
        <f xml:space="preserve">
IF($A$4&lt;=12,SUMIFS('ON Data'!G:G,'ON Data'!$D:$D,$A$4,'ON Data'!$E:$E,9),SUMIFS('ON Data'!G:G,'ON Data'!$E:$E,9))</f>
        <v>0</v>
      </c>
      <c r="D19" s="200">
        <f xml:space="preserve">
IF($A$4&lt;=12,SUMIFS('ON Data'!H:H,'ON Data'!$D:$D,$A$4,'ON Data'!$E:$E,9),SUMIFS('ON Data'!H:H,'ON Data'!$E:$E,9))</f>
        <v>0</v>
      </c>
      <c r="E19" s="200">
        <f xml:space="preserve">
IF($A$4&lt;=12,SUMIFS('ON Data'!I:I,'ON Data'!$D:$D,$A$4,'ON Data'!$E:$E,9),SUMIFS('ON Data'!I:I,'ON Data'!$E:$E,9))</f>
        <v>0</v>
      </c>
      <c r="F19" s="200">
        <f xml:space="preserve">
IF($A$4&lt;=12,SUMIFS('ON Data'!K:K,'ON Data'!$D:$D,$A$4,'ON Data'!$E:$E,9),SUMIFS('ON Data'!K:K,'ON Data'!$E:$E,9))</f>
        <v>0</v>
      </c>
      <c r="G19" s="200">
        <f xml:space="preserve">
IF($A$4&lt;=12,SUMIFS('ON Data'!L:L,'ON Data'!$D:$D,$A$4,'ON Data'!$E:$E,9),SUMIFS('ON Data'!L:L,'ON Data'!$E:$E,9))</f>
        <v>0</v>
      </c>
      <c r="H19" s="200">
        <f xml:space="preserve">
IF($A$4&lt;=12,SUMIFS('ON Data'!M:M,'ON Data'!$D:$D,$A$4,'ON Data'!$E:$E,9),SUMIFS('ON Data'!M:M,'ON Data'!$E:$E,9))</f>
        <v>0</v>
      </c>
      <c r="I19" s="200">
        <f xml:space="preserve">
IF($A$4&lt;=12,SUMIFS('ON Data'!N:N,'ON Data'!$D:$D,$A$4,'ON Data'!$E:$E,9),SUMIFS('ON Data'!N:N,'ON Data'!$E:$E,9))</f>
        <v>0</v>
      </c>
      <c r="J19" s="200">
        <f xml:space="preserve">
IF($A$4&lt;=12,SUMIFS('ON Data'!O:O,'ON Data'!$D:$D,$A$4,'ON Data'!$E:$E,9),SUMIFS('ON Data'!O:O,'ON Data'!$E:$E,9))</f>
        <v>0</v>
      </c>
      <c r="K19" s="200">
        <f xml:space="preserve">
IF($A$4&lt;=12,SUMIFS('ON Data'!P:P,'ON Data'!$D:$D,$A$4,'ON Data'!$E:$E,9),SUMIFS('ON Data'!P:P,'ON Data'!$E:$E,9))</f>
        <v>0</v>
      </c>
      <c r="L19" s="200">
        <f xml:space="preserve">
IF($A$4&lt;=12,SUMIFS('ON Data'!Q:Q,'ON Data'!$D:$D,$A$4,'ON Data'!$E:$E,9),SUMIFS('ON Data'!Q:Q,'ON Data'!$E:$E,9))</f>
        <v>0</v>
      </c>
      <c r="M19" s="200">
        <f xml:space="preserve">
IF($A$4&lt;=12,SUMIFS('ON Data'!R:R,'ON Data'!$D:$D,$A$4,'ON Data'!$E:$E,9),SUMIFS('ON Data'!R:R,'ON Data'!$E:$E,9))</f>
        <v>0</v>
      </c>
      <c r="N19" s="200">
        <f xml:space="preserve">
IF($A$4&lt;=12,SUMIFS('ON Data'!S:S,'ON Data'!$D:$D,$A$4,'ON Data'!$E:$E,9),SUMIFS('ON Data'!S:S,'ON Data'!$E:$E,9))</f>
        <v>0</v>
      </c>
      <c r="O19" s="200">
        <f xml:space="preserve">
IF($A$4&lt;=12,SUMIFS('ON Data'!T:T,'ON Data'!$D:$D,$A$4,'ON Data'!$E:$E,9),SUMIFS('ON Data'!T:T,'ON Data'!$E:$E,9))</f>
        <v>0</v>
      </c>
      <c r="P19" s="200">
        <f xml:space="preserve">
IF($A$4&lt;=12,SUMIFS('ON Data'!U:U,'ON Data'!$D:$D,$A$4,'ON Data'!$E:$E,9),SUMIFS('ON Data'!U:U,'ON Data'!$E:$E,9))</f>
        <v>0</v>
      </c>
      <c r="Q19" s="200">
        <f xml:space="preserve">
IF($A$4&lt;=12,SUMIFS('ON Data'!V:V,'ON Data'!$D:$D,$A$4,'ON Data'!$E:$E,9),SUMIFS('ON Data'!V:V,'ON Data'!$E:$E,9))</f>
        <v>0</v>
      </c>
      <c r="R19" s="200">
        <f xml:space="preserve">
IF($A$4&lt;=12,SUMIFS('ON Data'!W:W,'ON Data'!$D:$D,$A$4,'ON Data'!$E:$E,9),SUMIFS('ON Data'!W:W,'ON Data'!$E:$E,9))</f>
        <v>0</v>
      </c>
      <c r="S19" s="200">
        <f xml:space="preserve">
IF($A$4&lt;=12,SUMIFS('ON Data'!X:X,'ON Data'!$D:$D,$A$4,'ON Data'!$E:$E,9),SUMIFS('ON Data'!X:X,'ON Data'!$E:$E,9))</f>
        <v>0</v>
      </c>
      <c r="T19" s="200">
        <f xml:space="preserve">
IF($A$4&lt;=12,SUMIFS('ON Data'!Y:Y,'ON Data'!$D:$D,$A$4,'ON Data'!$E:$E,9),SUMIFS('ON Data'!Y:Y,'ON Data'!$E:$E,9))</f>
        <v>0</v>
      </c>
      <c r="U19" s="200">
        <f xml:space="preserve">
IF($A$4&lt;=12,SUMIFS('ON Data'!Z:Z,'ON Data'!$D:$D,$A$4,'ON Data'!$E:$E,9),SUMIFS('ON Data'!Z:Z,'ON Data'!$E:$E,9))</f>
        <v>0</v>
      </c>
      <c r="V19" s="200">
        <f xml:space="preserve">
IF($A$4&lt;=12,SUMIFS('ON Data'!AA:AA,'ON Data'!$D:$D,$A$4,'ON Data'!$E:$E,9),SUMIFS('ON Data'!AA:AA,'ON Data'!$E:$E,9))</f>
        <v>0</v>
      </c>
      <c r="W19" s="200">
        <f xml:space="preserve">
IF($A$4&lt;=12,SUMIFS('ON Data'!AB:AB,'ON Data'!$D:$D,$A$4,'ON Data'!$E:$E,9),SUMIFS('ON Data'!AB:AB,'ON Data'!$E:$E,9))</f>
        <v>0</v>
      </c>
      <c r="X19" s="200">
        <f xml:space="preserve">
IF($A$4&lt;=12,SUMIFS('ON Data'!AC:AC,'ON Data'!$D:$D,$A$4,'ON Data'!$E:$E,9),SUMIFS('ON Data'!AC:AC,'ON Data'!$E:$E,9))</f>
        <v>0</v>
      </c>
      <c r="Y19" s="200">
        <f xml:space="preserve">
IF($A$4&lt;=12,SUMIFS('ON Data'!AD:AD,'ON Data'!$D:$D,$A$4,'ON Data'!$E:$E,9),SUMIFS('ON Data'!AD:AD,'ON Data'!$E:$E,9))</f>
        <v>0</v>
      </c>
      <c r="Z19" s="200">
        <f xml:space="preserve">
IF($A$4&lt;=12,SUMIFS('ON Data'!AE:AE,'ON Data'!$D:$D,$A$4,'ON Data'!$E:$E,9),SUMIFS('ON Data'!AE:AE,'ON Data'!$E:$E,9))</f>
        <v>0</v>
      </c>
      <c r="AA19" s="200">
        <f xml:space="preserve">
IF($A$4&lt;=12,SUMIFS('ON Data'!AF:AF,'ON Data'!$D:$D,$A$4,'ON Data'!$E:$E,9),SUMIFS('ON Data'!AF:AF,'ON Data'!$E:$E,9))</f>
        <v>0</v>
      </c>
      <c r="AB19" s="200">
        <f xml:space="preserve">
IF($A$4&lt;=12,SUMIFS('ON Data'!AG:AG,'ON Data'!$D:$D,$A$4,'ON Data'!$E:$E,9),SUMIFS('ON Data'!AG:AG,'ON Data'!$E:$E,9))</f>
        <v>0</v>
      </c>
      <c r="AC19" s="200">
        <f xml:space="preserve">
IF($A$4&lt;=12,SUMIFS('ON Data'!AH:AH,'ON Data'!$D:$D,$A$4,'ON Data'!$E:$E,9),SUMIFS('ON Data'!AH:AH,'ON Data'!$E:$E,9))</f>
        <v>0</v>
      </c>
      <c r="AD19" s="200">
        <f xml:space="preserve">
IF($A$4&lt;=12,SUMIFS('ON Data'!AI:AI,'ON Data'!$D:$D,$A$4,'ON Data'!$E:$E,9),SUMIFS('ON Data'!AI:AI,'ON Data'!$E:$E,9))</f>
        <v>0</v>
      </c>
      <c r="AE19" s="200">
        <f xml:space="preserve">
IF($A$4&lt;=12,SUMIFS('ON Data'!AJ:AJ,'ON Data'!$D:$D,$A$4,'ON Data'!$E:$E,9),SUMIFS('ON Data'!AJ:AJ,'ON Data'!$E:$E,9))</f>
        <v>0</v>
      </c>
      <c r="AF19" s="200">
        <f xml:space="preserve">
IF($A$4&lt;=12,SUMIFS('ON Data'!AK:AK,'ON Data'!$D:$D,$A$4,'ON Data'!$E:$E,9),SUMIFS('ON Data'!AK:AK,'ON Data'!$E:$E,9))</f>
        <v>0</v>
      </c>
      <c r="AG19" s="301">
        <f xml:space="preserve">
IF($A$4&lt;=12,SUMIFS('ON Data'!AM:AM,'ON Data'!$D:$D,$A$4,'ON Data'!$E:$E,9),SUMIFS('ON Data'!AM:AM,'ON Data'!$E:$E,9))</f>
        <v>0</v>
      </c>
      <c r="AH19" s="308"/>
    </row>
    <row r="20" spans="1:34" ht="15" collapsed="1" thickBot="1" x14ac:dyDescent="0.35">
      <c r="A20" s="176" t="s">
        <v>42</v>
      </c>
      <c r="B20" s="201">
        <f xml:space="preserve">
IF($A$4&lt;=12,SUMIFS('ON Data'!F:F,'ON Data'!$D:$D,$A$4,'ON Data'!$E:$E,6),SUMIFS('ON Data'!F:F,'ON Data'!$E:$E,6))</f>
        <v>429912</v>
      </c>
      <c r="C20" s="202">
        <f xml:space="preserve">
IF($A$4&lt;=12,SUMIFS('ON Data'!G:G,'ON Data'!$D:$D,$A$4,'ON Data'!$E:$E,6),SUMIFS('ON Data'!G:G,'ON Data'!$E:$E,6))</f>
        <v>0</v>
      </c>
      <c r="D20" s="203">
        <f xml:space="preserve">
IF($A$4&lt;=12,SUMIFS('ON Data'!H:H,'ON Data'!$D:$D,$A$4,'ON Data'!$E:$E,6),SUMIFS('ON Data'!H:H,'ON Data'!$E:$E,6))</f>
        <v>0</v>
      </c>
      <c r="E20" s="203">
        <f xml:space="preserve">
IF($A$4&lt;=12,SUMIFS('ON Data'!I:I,'ON Data'!$D:$D,$A$4,'ON Data'!$E:$E,6),SUMIFS('ON Data'!I:I,'ON Data'!$E:$E,6))</f>
        <v>0</v>
      </c>
      <c r="F20" s="203">
        <f xml:space="preserve">
IF($A$4&lt;=12,SUMIFS('ON Data'!K:K,'ON Data'!$D:$D,$A$4,'ON Data'!$E:$E,6),SUMIFS('ON Data'!K:K,'ON Data'!$E:$E,6))</f>
        <v>0</v>
      </c>
      <c r="G20" s="203">
        <f xml:space="preserve">
IF($A$4&lt;=12,SUMIFS('ON Data'!L:L,'ON Data'!$D:$D,$A$4,'ON Data'!$E:$E,6),SUMIFS('ON Data'!L:L,'ON Data'!$E:$E,6))</f>
        <v>0</v>
      </c>
      <c r="H20" s="203">
        <f xml:space="preserve">
IF($A$4&lt;=12,SUMIFS('ON Data'!M:M,'ON Data'!$D:$D,$A$4,'ON Data'!$E:$E,6),SUMIFS('ON Data'!M:M,'ON Data'!$E:$E,6))</f>
        <v>0</v>
      </c>
      <c r="I20" s="203">
        <f xml:space="preserve">
IF($A$4&lt;=12,SUMIFS('ON Data'!N:N,'ON Data'!$D:$D,$A$4,'ON Data'!$E:$E,6),SUMIFS('ON Data'!N:N,'ON Data'!$E:$E,6))</f>
        <v>0</v>
      </c>
      <c r="J20" s="203">
        <f xml:space="preserve">
IF($A$4&lt;=12,SUMIFS('ON Data'!O:O,'ON Data'!$D:$D,$A$4,'ON Data'!$E:$E,6),SUMIFS('ON Data'!O:O,'ON Data'!$E:$E,6))</f>
        <v>429912</v>
      </c>
      <c r="K20" s="203">
        <f xml:space="preserve">
IF($A$4&lt;=12,SUMIFS('ON Data'!P:P,'ON Data'!$D:$D,$A$4,'ON Data'!$E:$E,6),SUMIFS('ON Data'!P:P,'ON Data'!$E:$E,6))</f>
        <v>0</v>
      </c>
      <c r="L20" s="203">
        <f xml:space="preserve">
IF($A$4&lt;=12,SUMIFS('ON Data'!Q:Q,'ON Data'!$D:$D,$A$4,'ON Data'!$E:$E,6),SUMIFS('ON Data'!Q:Q,'ON Data'!$E:$E,6))</f>
        <v>0</v>
      </c>
      <c r="M20" s="203">
        <f xml:space="preserve">
IF($A$4&lt;=12,SUMIFS('ON Data'!R:R,'ON Data'!$D:$D,$A$4,'ON Data'!$E:$E,6),SUMIFS('ON Data'!R:R,'ON Data'!$E:$E,6))</f>
        <v>0</v>
      </c>
      <c r="N20" s="203">
        <f xml:space="preserve">
IF($A$4&lt;=12,SUMIFS('ON Data'!S:S,'ON Data'!$D:$D,$A$4,'ON Data'!$E:$E,6),SUMIFS('ON Data'!S:S,'ON Data'!$E:$E,6))</f>
        <v>0</v>
      </c>
      <c r="O20" s="203">
        <f xml:space="preserve">
IF($A$4&lt;=12,SUMIFS('ON Data'!T:T,'ON Data'!$D:$D,$A$4,'ON Data'!$E:$E,6),SUMIFS('ON Data'!T:T,'ON Data'!$E:$E,6))</f>
        <v>0</v>
      </c>
      <c r="P20" s="203">
        <f xml:space="preserve">
IF($A$4&lt;=12,SUMIFS('ON Data'!U:U,'ON Data'!$D:$D,$A$4,'ON Data'!$E:$E,6),SUMIFS('ON Data'!U:U,'ON Data'!$E:$E,6))</f>
        <v>0</v>
      </c>
      <c r="Q20" s="203">
        <f xml:space="preserve">
IF($A$4&lt;=12,SUMIFS('ON Data'!V:V,'ON Data'!$D:$D,$A$4,'ON Data'!$E:$E,6),SUMIFS('ON Data'!V:V,'ON Data'!$E:$E,6))</f>
        <v>0</v>
      </c>
      <c r="R20" s="203">
        <f xml:space="preserve">
IF($A$4&lt;=12,SUMIFS('ON Data'!W:W,'ON Data'!$D:$D,$A$4,'ON Data'!$E:$E,6),SUMIFS('ON Data'!W:W,'ON Data'!$E:$E,6))</f>
        <v>0</v>
      </c>
      <c r="S20" s="203">
        <f xml:space="preserve">
IF($A$4&lt;=12,SUMIFS('ON Data'!X:X,'ON Data'!$D:$D,$A$4,'ON Data'!$E:$E,6),SUMIFS('ON Data'!X:X,'ON Data'!$E:$E,6))</f>
        <v>0</v>
      </c>
      <c r="T20" s="203">
        <f xml:space="preserve">
IF($A$4&lt;=12,SUMIFS('ON Data'!Y:Y,'ON Data'!$D:$D,$A$4,'ON Data'!$E:$E,6),SUMIFS('ON Data'!Y:Y,'ON Data'!$E:$E,6))</f>
        <v>0</v>
      </c>
      <c r="U20" s="203">
        <f xml:space="preserve">
IF($A$4&lt;=12,SUMIFS('ON Data'!Z:Z,'ON Data'!$D:$D,$A$4,'ON Data'!$E:$E,6),SUMIFS('ON Data'!Z:Z,'ON Data'!$E:$E,6))</f>
        <v>0</v>
      </c>
      <c r="V20" s="203">
        <f xml:space="preserve">
IF($A$4&lt;=12,SUMIFS('ON Data'!AA:AA,'ON Data'!$D:$D,$A$4,'ON Data'!$E:$E,6),SUMIFS('ON Data'!AA:AA,'ON Data'!$E:$E,6))</f>
        <v>0</v>
      </c>
      <c r="W20" s="203">
        <f xml:space="preserve">
IF($A$4&lt;=12,SUMIFS('ON Data'!AB:AB,'ON Data'!$D:$D,$A$4,'ON Data'!$E:$E,6),SUMIFS('ON Data'!AB:AB,'ON Data'!$E:$E,6))</f>
        <v>0</v>
      </c>
      <c r="X20" s="203">
        <f xml:space="preserve">
IF($A$4&lt;=12,SUMIFS('ON Data'!AC:AC,'ON Data'!$D:$D,$A$4,'ON Data'!$E:$E,6),SUMIFS('ON Data'!AC:AC,'ON Data'!$E:$E,6))</f>
        <v>0</v>
      </c>
      <c r="Y20" s="203">
        <f xml:space="preserve">
IF($A$4&lt;=12,SUMIFS('ON Data'!AD:AD,'ON Data'!$D:$D,$A$4,'ON Data'!$E:$E,6),SUMIFS('ON Data'!AD:AD,'ON Data'!$E:$E,6))</f>
        <v>0</v>
      </c>
      <c r="Z20" s="203">
        <f xml:space="preserve">
IF($A$4&lt;=12,SUMIFS('ON Data'!AE:AE,'ON Data'!$D:$D,$A$4,'ON Data'!$E:$E,6),SUMIFS('ON Data'!AE:AE,'ON Data'!$E:$E,6))</f>
        <v>0</v>
      </c>
      <c r="AA20" s="203">
        <f xml:space="preserve">
IF($A$4&lt;=12,SUMIFS('ON Data'!AF:AF,'ON Data'!$D:$D,$A$4,'ON Data'!$E:$E,6),SUMIFS('ON Data'!AF:AF,'ON Data'!$E:$E,6))</f>
        <v>0</v>
      </c>
      <c r="AB20" s="203">
        <f xml:space="preserve">
IF($A$4&lt;=12,SUMIFS('ON Data'!AG:AG,'ON Data'!$D:$D,$A$4,'ON Data'!$E:$E,6),SUMIFS('ON Data'!AG:AG,'ON Data'!$E:$E,6))</f>
        <v>0</v>
      </c>
      <c r="AC20" s="203">
        <f xml:space="preserve">
IF($A$4&lt;=12,SUMIFS('ON Data'!AH:AH,'ON Data'!$D:$D,$A$4,'ON Data'!$E:$E,6),SUMIFS('ON Data'!AH:AH,'ON Data'!$E:$E,6))</f>
        <v>0</v>
      </c>
      <c r="AD20" s="203">
        <f xml:space="preserve">
IF($A$4&lt;=12,SUMIFS('ON Data'!AI:AI,'ON Data'!$D:$D,$A$4,'ON Data'!$E:$E,6),SUMIFS('ON Data'!AI:AI,'ON Data'!$E:$E,6))</f>
        <v>0</v>
      </c>
      <c r="AE20" s="203">
        <f xml:space="preserve">
IF($A$4&lt;=12,SUMIFS('ON Data'!AJ:AJ,'ON Data'!$D:$D,$A$4,'ON Data'!$E:$E,6),SUMIFS('ON Data'!AJ:AJ,'ON Data'!$E:$E,6))</f>
        <v>0</v>
      </c>
      <c r="AF20" s="203">
        <f xml:space="preserve">
IF($A$4&lt;=12,SUMIFS('ON Data'!AK:AK,'ON Data'!$D:$D,$A$4,'ON Data'!$E:$E,6),SUMIFS('ON Data'!AK:AK,'ON Data'!$E:$E,6))</f>
        <v>0</v>
      </c>
      <c r="AG20" s="302">
        <f xml:space="preserve">
IF($A$4&lt;=12,SUMIFS('ON Data'!AM:AM,'ON Data'!$D:$D,$A$4,'ON Data'!$E:$E,6),SUMIFS('ON Data'!AM:AM,'ON Data'!$E:$E,6))</f>
        <v>0</v>
      </c>
      <c r="AH20" s="308"/>
    </row>
    <row r="21" spans="1:34" ht="15" hidden="1" outlineLevel="1" thickBot="1" x14ac:dyDescent="0.35">
      <c r="A21" s="169" t="s">
        <v>49</v>
      </c>
      <c r="B21" s="189">
        <f xml:space="preserve">
IF($A$4&lt;=12,SUMIFS('ON Data'!F:F,'ON Data'!$D:$D,$A$4,'ON Data'!$E:$E,12),SUMIFS('ON Data'!F:F,'ON Data'!$E:$E,12))</f>
        <v>0</v>
      </c>
      <c r="C21" s="190">
        <f xml:space="preserve">
IF($A$4&lt;=12,SUMIFS('ON Data'!G:G,'ON Data'!$D:$D,$A$4,'ON Data'!$E:$E,12),SUMIFS('ON Data'!G:G,'ON Data'!$E:$E,12))</f>
        <v>0</v>
      </c>
      <c r="D21" s="191">
        <f xml:space="preserve">
IF($A$4&lt;=12,SUMIFS('ON Data'!H:H,'ON Data'!$D:$D,$A$4,'ON Data'!$E:$E,12),SUMIFS('ON Data'!H:H,'ON Data'!$E:$E,12))</f>
        <v>0</v>
      </c>
      <c r="E21" s="191">
        <f xml:space="preserve">
IF($A$4&lt;=12,SUMIFS('ON Data'!I:I,'ON Data'!$D:$D,$A$4,'ON Data'!$E:$E,12),SUMIFS('ON Data'!I:I,'ON Data'!$E:$E,12))</f>
        <v>0</v>
      </c>
      <c r="F21" s="191">
        <f xml:space="preserve">
IF($A$4&lt;=12,SUMIFS('ON Data'!K:K,'ON Data'!$D:$D,$A$4,'ON Data'!$E:$E,12),SUMIFS('ON Data'!K:K,'ON Data'!$E:$E,12))</f>
        <v>0</v>
      </c>
      <c r="G21" s="191">
        <f xml:space="preserve">
IF($A$4&lt;=12,SUMIFS('ON Data'!L:L,'ON Data'!$D:$D,$A$4,'ON Data'!$E:$E,12),SUMIFS('ON Data'!L:L,'ON Data'!$E:$E,12))</f>
        <v>0</v>
      </c>
      <c r="H21" s="191">
        <f xml:space="preserve">
IF($A$4&lt;=12,SUMIFS('ON Data'!M:M,'ON Data'!$D:$D,$A$4,'ON Data'!$E:$E,12),SUMIFS('ON Data'!M:M,'ON Data'!$E:$E,12))</f>
        <v>0</v>
      </c>
      <c r="I21" s="191">
        <f xml:space="preserve">
IF($A$4&lt;=12,SUMIFS('ON Data'!N:N,'ON Data'!$D:$D,$A$4,'ON Data'!$E:$E,12),SUMIFS('ON Data'!N:N,'ON Data'!$E:$E,12))</f>
        <v>0</v>
      </c>
      <c r="J21" s="191">
        <f xml:space="preserve">
IF($A$4&lt;=12,SUMIFS('ON Data'!O:O,'ON Data'!$D:$D,$A$4,'ON Data'!$E:$E,12),SUMIFS('ON Data'!O:O,'ON Data'!$E:$E,12))</f>
        <v>0</v>
      </c>
      <c r="K21" s="191">
        <f xml:space="preserve">
IF($A$4&lt;=12,SUMIFS('ON Data'!P:P,'ON Data'!$D:$D,$A$4,'ON Data'!$E:$E,12),SUMIFS('ON Data'!P:P,'ON Data'!$E:$E,12))</f>
        <v>0</v>
      </c>
      <c r="L21" s="191">
        <f xml:space="preserve">
IF($A$4&lt;=12,SUMIFS('ON Data'!Q:Q,'ON Data'!$D:$D,$A$4,'ON Data'!$E:$E,12),SUMIFS('ON Data'!Q:Q,'ON Data'!$E:$E,12))</f>
        <v>0</v>
      </c>
      <c r="M21" s="191">
        <f xml:space="preserve">
IF($A$4&lt;=12,SUMIFS('ON Data'!R:R,'ON Data'!$D:$D,$A$4,'ON Data'!$E:$E,12),SUMIFS('ON Data'!R:R,'ON Data'!$E:$E,12))</f>
        <v>0</v>
      </c>
      <c r="N21" s="191">
        <f xml:space="preserve">
IF($A$4&lt;=12,SUMIFS('ON Data'!S:S,'ON Data'!$D:$D,$A$4,'ON Data'!$E:$E,12),SUMIFS('ON Data'!S:S,'ON Data'!$E:$E,12))</f>
        <v>0</v>
      </c>
      <c r="O21" s="191">
        <f xml:space="preserve">
IF($A$4&lt;=12,SUMIFS('ON Data'!T:T,'ON Data'!$D:$D,$A$4,'ON Data'!$E:$E,12),SUMIFS('ON Data'!T:T,'ON Data'!$E:$E,12))</f>
        <v>0</v>
      </c>
      <c r="P21" s="191">
        <f xml:space="preserve">
IF($A$4&lt;=12,SUMIFS('ON Data'!U:U,'ON Data'!$D:$D,$A$4,'ON Data'!$E:$E,12),SUMIFS('ON Data'!U:U,'ON Data'!$E:$E,12))</f>
        <v>0</v>
      </c>
      <c r="Q21" s="191">
        <f xml:space="preserve">
IF($A$4&lt;=12,SUMIFS('ON Data'!V:V,'ON Data'!$D:$D,$A$4,'ON Data'!$E:$E,12),SUMIFS('ON Data'!V:V,'ON Data'!$E:$E,12))</f>
        <v>0</v>
      </c>
      <c r="R21" s="191">
        <f xml:space="preserve">
IF($A$4&lt;=12,SUMIFS('ON Data'!W:W,'ON Data'!$D:$D,$A$4,'ON Data'!$E:$E,12),SUMIFS('ON Data'!W:W,'ON Data'!$E:$E,12))</f>
        <v>0</v>
      </c>
      <c r="S21" s="191">
        <f xml:space="preserve">
IF($A$4&lt;=12,SUMIFS('ON Data'!X:X,'ON Data'!$D:$D,$A$4,'ON Data'!$E:$E,12),SUMIFS('ON Data'!X:X,'ON Data'!$E:$E,12))</f>
        <v>0</v>
      </c>
      <c r="T21" s="191">
        <f xml:space="preserve">
IF($A$4&lt;=12,SUMIFS('ON Data'!Y:Y,'ON Data'!$D:$D,$A$4,'ON Data'!$E:$E,12),SUMIFS('ON Data'!Y:Y,'ON Data'!$E:$E,12))</f>
        <v>0</v>
      </c>
      <c r="U21" s="191">
        <f xml:space="preserve">
IF($A$4&lt;=12,SUMIFS('ON Data'!Z:Z,'ON Data'!$D:$D,$A$4,'ON Data'!$E:$E,12),SUMIFS('ON Data'!Z:Z,'ON Data'!$E:$E,12))</f>
        <v>0</v>
      </c>
      <c r="V21" s="191">
        <f xml:space="preserve">
IF($A$4&lt;=12,SUMIFS('ON Data'!AA:AA,'ON Data'!$D:$D,$A$4,'ON Data'!$E:$E,12),SUMIFS('ON Data'!AA:AA,'ON Data'!$E:$E,12))</f>
        <v>0</v>
      </c>
      <c r="W21" s="191">
        <f xml:space="preserve">
IF($A$4&lt;=12,SUMIFS('ON Data'!AB:AB,'ON Data'!$D:$D,$A$4,'ON Data'!$E:$E,12),SUMIFS('ON Data'!AB:AB,'ON Data'!$E:$E,12))</f>
        <v>0</v>
      </c>
      <c r="X21" s="191">
        <f xml:space="preserve">
IF($A$4&lt;=12,SUMIFS('ON Data'!AC:AC,'ON Data'!$D:$D,$A$4,'ON Data'!$E:$E,12),SUMIFS('ON Data'!AC:AC,'ON Data'!$E:$E,12))</f>
        <v>0</v>
      </c>
      <c r="Y21" s="191">
        <f xml:space="preserve">
IF($A$4&lt;=12,SUMIFS('ON Data'!AD:AD,'ON Data'!$D:$D,$A$4,'ON Data'!$E:$E,12),SUMIFS('ON Data'!AD:AD,'ON Data'!$E:$E,12))</f>
        <v>0</v>
      </c>
      <c r="Z21" s="191">
        <f xml:space="preserve">
IF($A$4&lt;=12,SUMIFS('ON Data'!AE:AE,'ON Data'!$D:$D,$A$4,'ON Data'!$E:$E,12),SUMIFS('ON Data'!AE:AE,'ON Data'!$E:$E,12))</f>
        <v>0</v>
      </c>
      <c r="AA21" s="191">
        <f xml:space="preserve">
IF($A$4&lt;=12,SUMIFS('ON Data'!AF:AF,'ON Data'!$D:$D,$A$4,'ON Data'!$E:$E,12),SUMIFS('ON Data'!AF:AF,'ON Data'!$E:$E,12))</f>
        <v>0</v>
      </c>
      <c r="AB21" s="191">
        <f xml:space="preserve">
IF($A$4&lt;=12,SUMIFS('ON Data'!AG:AG,'ON Data'!$D:$D,$A$4,'ON Data'!$E:$E,12),SUMIFS('ON Data'!AG:AG,'ON Data'!$E:$E,12))</f>
        <v>0</v>
      </c>
      <c r="AC21" s="191">
        <f xml:space="preserve">
IF($A$4&lt;=12,SUMIFS('ON Data'!AH:AH,'ON Data'!$D:$D,$A$4,'ON Data'!$E:$E,12),SUMIFS('ON Data'!AH:AH,'ON Data'!$E:$E,12))</f>
        <v>0</v>
      </c>
      <c r="AD21" s="191">
        <f xml:space="preserve">
IF($A$4&lt;=12,SUMIFS('ON Data'!AI:AI,'ON Data'!$D:$D,$A$4,'ON Data'!$E:$E,12),SUMIFS('ON Data'!AI:AI,'ON Data'!$E:$E,12))</f>
        <v>0</v>
      </c>
      <c r="AE21" s="191">
        <f xml:space="preserve">
IF($A$4&lt;=12,SUMIFS('ON Data'!AJ:AJ,'ON Data'!$D:$D,$A$4,'ON Data'!$E:$E,12),SUMIFS('ON Data'!AJ:AJ,'ON Data'!$E:$E,12))</f>
        <v>0</v>
      </c>
      <c r="AF21" s="191">
        <f xml:space="preserve">
IF($A$4&lt;=12,SUMIFS('ON Data'!AK:AK,'ON Data'!$D:$D,$A$4,'ON Data'!$E:$E,12),SUMIFS('ON Data'!AK:AK,'ON Data'!$E:$E,12))</f>
        <v>0</v>
      </c>
      <c r="AG21" s="298">
        <f xml:space="preserve">
IF($A$4&lt;=12,SUMIFS('ON Data'!AM:AM,'ON Data'!$D:$D,$A$4,'ON Data'!$E:$E,12),SUMIFS('ON Data'!AM:AM,'ON Data'!$E:$E,12))</f>
        <v>0</v>
      </c>
      <c r="AH21" s="308"/>
    </row>
    <row r="22" spans="1:34" ht="15" hidden="1" outlineLevel="1" thickBot="1" x14ac:dyDescent="0.35">
      <c r="A22" s="169" t="s">
        <v>44</v>
      </c>
      <c r="B22" s="220" t="str">
        <f xml:space="preserve">
IF(OR(B21="",B21=0),"",B20/B21)</f>
        <v/>
      </c>
      <c r="C22" s="221" t="str">
        <f t="shared" ref="C22:AG22" si="2" xml:space="preserve">
IF(OR(C21="",C21=0),"",C20/C21)</f>
        <v/>
      </c>
      <c r="D22" s="222" t="str">
        <f t="shared" si="2"/>
        <v/>
      </c>
      <c r="E22" s="222" t="str">
        <f t="shared" si="2"/>
        <v/>
      </c>
      <c r="F22" s="222" t="str">
        <f t="shared" si="2"/>
        <v/>
      </c>
      <c r="G22" s="222" t="str">
        <f t="shared" si="2"/>
        <v/>
      </c>
      <c r="H22" s="222" t="str">
        <f t="shared" si="2"/>
        <v/>
      </c>
      <c r="I22" s="222" t="str">
        <f t="shared" si="2"/>
        <v/>
      </c>
      <c r="J22" s="222" t="str">
        <f t="shared" si="2"/>
        <v/>
      </c>
      <c r="K22" s="222" t="str">
        <f t="shared" si="2"/>
        <v/>
      </c>
      <c r="L22" s="222" t="str">
        <f t="shared" si="2"/>
        <v/>
      </c>
      <c r="M22" s="222" t="str">
        <f t="shared" si="2"/>
        <v/>
      </c>
      <c r="N22" s="222" t="str">
        <f t="shared" si="2"/>
        <v/>
      </c>
      <c r="O22" s="222" t="str">
        <f t="shared" si="2"/>
        <v/>
      </c>
      <c r="P22" s="222" t="str">
        <f t="shared" si="2"/>
        <v/>
      </c>
      <c r="Q22" s="222" t="str">
        <f t="shared" si="2"/>
        <v/>
      </c>
      <c r="R22" s="222" t="str">
        <f t="shared" si="2"/>
        <v/>
      </c>
      <c r="S22" s="222" t="str">
        <f t="shared" si="2"/>
        <v/>
      </c>
      <c r="T22" s="222" t="str">
        <f t="shared" si="2"/>
        <v/>
      </c>
      <c r="U22" s="222" t="str">
        <f t="shared" si="2"/>
        <v/>
      </c>
      <c r="V22" s="222" t="str">
        <f t="shared" si="2"/>
        <v/>
      </c>
      <c r="W22" s="222" t="str">
        <f t="shared" si="2"/>
        <v/>
      </c>
      <c r="X22" s="222" t="str">
        <f t="shared" si="2"/>
        <v/>
      </c>
      <c r="Y22" s="222" t="str">
        <f t="shared" si="2"/>
        <v/>
      </c>
      <c r="Z22" s="222" t="str">
        <f t="shared" si="2"/>
        <v/>
      </c>
      <c r="AA22" s="222" t="str">
        <f t="shared" si="2"/>
        <v/>
      </c>
      <c r="AB22" s="222" t="str">
        <f t="shared" si="2"/>
        <v/>
      </c>
      <c r="AC22" s="222" t="str">
        <f t="shared" si="2"/>
        <v/>
      </c>
      <c r="AD22" s="222" t="str">
        <f t="shared" si="2"/>
        <v/>
      </c>
      <c r="AE22" s="222" t="str">
        <f t="shared" si="2"/>
        <v/>
      </c>
      <c r="AF22" s="222" t="str">
        <f t="shared" si="2"/>
        <v/>
      </c>
      <c r="AG22" s="303" t="str">
        <f t="shared" si="2"/>
        <v/>
      </c>
      <c r="AH22" s="308"/>
    </row>
    <row r="23" spans="1:34" ht="15" hidden="1" outlineLevel="1" thickBot="1" x14ac:dyDescent="0.35">
      <c r="A23" s="177" t="s">
        <v>41</v>
      </c>
      <c r="B23" s="192">
        <f xml:space="preserve">
IF(B21="","",B20-B21)</f>
        <v>429912</v>
      </c>
      <c r="C23" s="193">
        <f t="shared" ref="C23:AG23" si="3" xml:space="preserve">
IF(C21="","",C20-C21)</f>
        <v>0</v>
      </c>
      <c r="D23" s="194">
        <f t="shared" si="3"/>
        <v>0</v>
      </c>
      <c r="E23" s="194">
        <f t="shared" si="3"/>
        <v>0</v>
      </c>
      <c r="F23" s="194">
        <f t="shared" si="3"/>
        <v>0</v>
      </c>
      <c r="G23" s="194">
        <f t="shared" si="3"/>
        <v>0</v>
      </c>
      <c r="H23" s="194">
        <f t="shared" si="3"/>
        <v>0</v>
      </c>
      <c r="I23" s="194">
        <f t="shared" si="3"/>
        <v>0</v>
      </c>
      <c r="J23" s="194">
        <f t="shared" si="3"/>
        <v>429912</v>
      </c>
      <c r="K23" s="194">
        <f t="shared" si="3"/>
        <v>0</v>
      </c>
      <c r="L23" s="194">
        <f t="shared" si="3"/>
        <v>0</v>
      </c>
      <c r="M23" s="194">
        <f t="shared" si="3"/>
        <v>0</v>
      </c>
      <c r="N23" s="194">
        <f t="shared" si="3"/>
        <v>0</v>
      </c>
      <c r="O23" s="194">
        <f t="shared" si="3"/>
        <v>0</v>
      </c>
      <c r="P23" s="194">
        <f t="shared" si="3"/>
        <v>0</v>
      </c>
      <c r="Q23" s="194">
        <f t="shared" si="3"/>
        <v>0</v>
      </c>
      <c r="R23" s="194">
        <f t="shared" si="3"/>
        <v>0</v>
      </c>
      <c r="S23" s="194">
        <f t="shared" si="3"/>
        <v>0</v>
      </c>
      <c r="T23" s="194">
        <f t="shared" si="3"/>
        <v>0</v>
      </c>
      <c r="U23" s="194">
        <f t="shared" si="3"/>
        <v>0</v>
      </c>
      <c r="V23" s="194">
        <f t="shared" si="3"/>
        <v>0</v>
      </c>
      <c r="W23" s="194">
        <f t="shared" si="3"/>
        <v>0</v>
      </c>
      <c r="X23" s="194">
        <f t="shared" si="3"/>
        <v>0</v>
      </c>
      <c r="Y23" s="194">
        <f t="shared" si="3"/>
        <v>0</v>
      </c>
      <c r="Z23" s="194">
        <f t="shared" si="3"/>
        <v>0</v>
      </c>
      <c r="AA23" s="194">
        <f t="shared" si="3"/>
        <v>0</v>
      </c>
      <c r="AB23" s="194">
        <f t="shared" si="3"/>
        <v>0</v>
      </c>
      <c r="AC23" s="194">
        <f t="shared" si="3"/>
        <v>0</v>
      </c>
      <c r="AD23" s="194">
        <f t="shared" si="3"/>
        <v>0</v>
      </c>
      <c r="AE23" s="194">
        <f t="shared" si="3"/>
        <v>0</v>
      </c>
      <c r="AF23" s="194">
        <f t="shared" si="3"/>
        <v>0</v>
      </c>
      <c r="AG23" s="299">
        <f t="shared" si="3"/>
        <v>0</v>
      </c>
      <c r="AH23" s="308"/>
    </row>
    <row r="24" spans="1:34" x14ac:dyDescent="0.3">
      <c r="A24" s="171" t="s">
        <v>103</v>
      </c>
      <c r="B24" s="218" t="s">
        <v>0</v>
      </c>
      <c r="C24" s="309" t="s">
        <v>114</v>
      </c>
      <c r="D24" s="283"/>
      <c r="E24" s="284"/>
      <c r="F24" s="284" t="s">
        <v>115</v>
      </c>
      <c r="G24" s="284"/>
      <c r="H24" s="284"/>
      <c r="I24" s="284"/>
      <c r="J24" s="284"/>
      <c r="K24" s="284"/>
      <c r="L24" s="284"/>
      <c r="M24" s="284"/>
      <c r="N24" s="284"/>
      <c r="O24" s="284"/>
      <c r="P24" s="284"/>
      <c r="Q24" s="284"/>
      <c r="R24" s="284"/>
      <c r="S24" s="284"/>
      <c r="T24" s="284"/>
      <c r="U24" s="284"/>
      <c r="V24" s="284"/>
      <c r="W24" s="284"/>
      <c r="X24" s="284"/>
      <c r="Y24" s="284"/>
      <c r="Z24" s="284"/>
      <c r="AA24" s="284"/>
      <c r="AB24" s="284"/>
      <c r="AC24" s="284"/>
      <c r="AD24" s="284"/>
      <c r="AE24" s="284"/>
      <c r="AF24" s="284"/>
      <c r="AG24" s="304" t="s">
        <v>116</v>
      </c>
      <c r="AH24" s="308"/>
    </row>
    <row r="25" spans="1:34" x14ac:dyDescent="0.3">
      <c r="A25" s="172" t="s">
        <v>42</v>
      </c>
      <c r="B25" s="189">
        <f xml:space="preserve">
SUM(C25:AG25)</f>
        <v>0</v>
      </c>
      <c r="C25" s="310">
        <f xml:space="preserve">
IF($A$4&lt;=12,SUMIFS('ON Data'!H:H,'ON Data'!$D:$D,$A$4,'ON Data'!$E:$E,10),SUMIFS('ON Data'!H:H,'ON Data'!$E:$E,10))</f>
        <v>0</v>
      </c>
      <c r="D25" s="285"/>
      <c r="E25" s="286"/>
      <c r="F25" s="286">
        <f xml:space="preserve">
IF($A$4&lt;=12,SUMIFS('ON Data'!K:K,'ON Data'!$D:$D,$A$4,'ON Data'!$E:$E,10),SUMIFS('ON Data'!K:K,'ON Data'!$E:$E,10))</f>
        <v>0</v>
      </c>
      <c r="G25" s="286"/>
      <c r="H25" s="286"/>
      <c r="I25" s="286"/>
      <c r="J25" s="286"/>
      <c r="K25" s="286"/>
      <c r="L25" s="286"/>
      <c r="M25" s="286"/>
      <c r="N25" s="286"/>
      <c r="O25" s="286"/>
      <c r="P25" s="286"/>
      <c r="Q25" s="286"/>
      <c r="R25" s="286"/>
      <c r="S25" s="286"/>
      <c r="T25" s="286"/>
      <c r="U25" s="286"/>
      <c r="V25" s="286"/>
      <c r="W25" s="286"/>
      <c r="X25" s="286"/>
      <c r="Y25" s="286"/>
      <c r="Z25" s="286"/>
      <c r="AA25" s="286"/>
      <c r="AB25" s="286"/>
      <c r="AC25" s="286"/>
      <c r="AD25" s="286"/>
      <c r="AE25" s="286"/>
      <c r="AF25" s="286"/>
      <c r="AG25" s="305">
        <f xml:space="preserve">
IF($A$4&lt;=12,SUMIFS('ON Data'!AM:AM,'ON Data'!$D:$D,$A$4,'ON Data'!$E:$E,10),SUMIFS('ON Data'!AM:AM,'ON Data'!$E:$E,10))</f>
        <v>0</v>
      </c>
      <c r="AH25" s="308"/>
    </row>
    <row r="26" spans="1:34" x14ac:dyDescent="0.3">
      <c r="A26" s="178" t="s">
        <v>113</v>
      </c>
      <c r="B26" s="198">
        <f xml:space="preserve">
SUM(C26:AG26)</f>
        <v>0</v>
      </c>
      <c r="C26" s="310">
        <f xml:space="preserve">
IF($A$4&lt;=12,SUMIFS('ON Data'!H:H,'ON Data'!$D:$D,$A$4,'ON Data'!$E:$E,11),SUMIFS('ON Data'!H:H,'ON Data'!$E:$E,11))</f>
        <v>0</v>
      </c>
      <c r="D26" s="285"/>
      <c r="E26" s="286"/>
      <c r="F26" s="287">
        <f xml:space="preserve">
IF($A$4&lt;=12,SUMIFS('ON Data'!K:K,'ON Data'!$D:$D,$A$4,'ON Data'!$E:$E,11),SUMIFS('ON Data'!K:K,'ON Data'!$E:$E,11))</f>
        <v>0</v>
      </c>
      <c r="G26" s="287"/>
      <c r="H26" s="287"/>
      <c r="I26" s="287"/>
      <c r="J26" s="287"/>
      <c r="K26" s="287"/>
      <c r="L26" s="287"/>
      <c r="M26" s="287"/>
      <c r="N26" s="287"/>
      <c r="O26" s="287"/>
      <c r="P26" s="287"/>
      <c r="Q26" s="287"/>
      <c r="R26" s="287"/>
      <c r="S26" s="287"/>
      <c r="T26" s="287"/>
      <c r="U26" s="287"/>
      <c r="V26" s="287"/>
      <c r="W26" s="287"/>
      <c r="X26" s="287"/>
      <c r="Y26" s="287"/>
      <c r="Z26" s="287"/>
      <c r="AA26" s="287"/>
      <c r="AB26" s="287"/>
      <c r="AC26" s="287"/>
      <c r="AD26" s="287"/>
      <c r="AE26" s="287"/>
      <c r="AF26" s="287"/>
      <c r="AG26" s="305">
        <f xml:space="preserve">
IF($A$4&lt;=12,SUMIFS('ON Data'!AM:AM,'ON Data'!$D:$D,$A$4,'ON Data'!$E:$E,11),SUMIFS('ON Data'!AM:AM,'ON Data'!$E:$E,11))</f>
        <v>0</v>
      </c>
      <c r="AH26" s="308"/>
    </row>
    <row r="27" spans="1:34" x14ac:dyDescent="0.3">
      <c r="A27" s="178" t="s">
        <v>44</v>
      </c>
      <c r="B27" s="219">
        <f xml:space="preserve">
IF(B26=0,0,B25/B26)</f>
        <v>0</v>
      </c>
      <c r="C27" s="311">
        <f xml:space="preserve">
IF(C26=0,0,C25/C26)</f>
        <v>0</v>
      </c>
      <c r="D27" s="288"/>
      <c r="E27" s="289"/>
      <c r="F27" s="289">
        <f xml:space="preserve">
IF(F26=0,0,F25/F26)</f>
        <v>0</v>
      </c>
      <c r="G27" s="289"/>
      <c r="H27" s="289"/>
      <c r="I27" s="289"/>
      <c r="J27" s="289"/>
      <c r="K27" s="289"/>
      <c r="L27" s="289"/>
      <c r="M27" s="289"/>
      <c r="N27" s="289"/>
      <c r="O27" s="289"/>
      <c r="P27" s="289"/>
      <c r="Q27" s="289"/>
      <c r="R27" s="289"/>
      <c r="S27" s="289"/>
      <c r="T27" s="289"/>
      <c r="U27" s="289"/>
      <c r="V27" s="289"/>
      <c r="W27" s="289"/>
      <c r="X27" s="289"/>
      <c r="Y27" s="289"/>
      <c r="Z27" s="289"/>
      <c r="AA27" s="289"/>
      <c r="AB27" s="289"/>
      <c r="AC27" s="289"/>
      <c r="AD27" s="289"/>
      <c r="AE27" s="289"/>
      <c r="AF27" s="289"/>
      <c r="AG27" s="306">
        <f xml:space="preserve">
IF(AG26=0,0,AG25/AG26)</f>
        <v>0</v>
      </c>
      <c r="AH27" s="308"/>
    </row>
    <row r="28" spans="1:34" ht="15" thickBot="1" x14ac:dyDescent="0.35">
      <c r="A28" s="178" t="s">
        <v>112</v>
      </c>
      <c r="B28" s="198">
        <f xml:space="preserve">
SUM(C28:AG28)</f>
        <v>0</v>
      </c>
      <c r="C28" s="312">
        <f xml:space="preserve">
C26-C25</f>
        <v>0</v>
      </c>
      <c r="D28" s="290"/>
      <c r="E28" s="291"/>
      <c r="F28" s="291">
        <f xml:space="preserve">
F26-F25</f>
        <v>0</v>
      </c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307">
        <f xml:space="preserve">
AG26-AG25</f>
        <v>0</v>
      </c>
      <c r="AH28" s="308"/>
    </row>
    <row r="29" spans="1:34" x14ac:dyDescent="0.3">
      <c r="A29" s="179"/>
      <c r="B29" s="179"/>
      <c r="C29" s="180"/>
      <c r="D29" s="179"/>
      <c r="E29" s="179"/>
      <c r="F29" s="180"/>
      <c r="G29" s="180"/>
      <c r="H29" s="180"/>
      <c r="I29" s="180"/>
      <c r="J29" s="180"/>
      <c r="K29" s="180"/>
      <c r="L29" s="180"/>
      <c r="M29" s="180"/>
      <c r="N29" s="180"/>
      <c r="O29" s="180"/>
      <c r="P29" s="180"/>
      <c r="Q29" s="180"/>
      <c r="R29" s="180"/>
      <c r="S29" s="180"/>
      <c r="T29" s="180"/>
      <c r="U29" s="180"/>
      <c r="V29" s="180"/>
      <c r="W29" s="180"/>
      <c r="X29" s="180"/>
      <c r="Y29" s="180"/>
      <c r="Z29" s="180"/>
      <c r="AA29" s="180"/>
      <c r="AB29" s="180"/>
      <c r="AC29" s="180"/>
      <c r="AD29" s="180"/>
      <c r="AE29" s="179"/>
      <c r="AF29" s="179"/>
      <c r="AG29" s="179"/>
    </row>
    <row r="30" spans="1:34" x14ac:dyDescent="0.3">
      <c r="A30" s="76" t="s">
        <v>68</v>
      </c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110"/>
    </row>
    <row r="31" spans="1:34" x14ac:dyDescent="0.3">
      <c r="A31" s="77" t="s">
        <v>110</v>
      </c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110"/>
    </row>
    <row r="32" spans="1:34" ht="14.4" customHeight="1" x14ac:dyDescent="0.3">
      <c r="A32" s="215" t="s">
        <v>107</v>
      </c>
      <c r="B32" s="216"/>
      <c r="C32" s="216"/>
      <c r="D32" s="216"/>
      <c r="E32" s="216"/>
      <c r="F32" s="216"/>
      <c r="G32" s="216"/>
      <c r="H32" s="216"/>
      <c r="I32" s="216"/>
      <c r="J32" s="216"/>
      <c r="K32" s="216"/>
      <c r="L32" s="216"/>
      <c r="M32" s="216"/>
      <c r="N32" s="216"/>
      <c r="O32" s="216"/>
      <c r="P32" s="216"/>
      <c r="Q32" s="216"/>
      <c r="R32" s="216"/>
      <c r="S32" s="216"/>
      <c r="T32" s="216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</row>
    <row r="33" spans="1:1" x14ac:dyDescent="0.3">
      <c r="A33" s="217" t="s">
        <v>117</v>
      </c>
    </row>
    <row r="34" spans="1:1" x14ac:dyDescent="0.3">
      <c r="A34" s="217" t="s">
        <v>118</v>
      </c>
    </row>
    <row r="35" spans="1:1" x14ac:dyDescent="0.3">
      <c r="A35" s="217" t="s">
        <v>119</v>
      </c>
    </row>
    <row r="36" spans="1:1" x14ac:dyDescent="0.3">
      <c r="A36" s="217" t="s">
        <v>120</v>
      </c>
    </row>
  </sheetData>
  <mergeCells count="12">
    <mergeCell ref="A1:AG1"/>
    <mergeCell ref="B3:B4"/>
    <mergeCell ref="C24:E24"/>
    <mergeCell ref="C25:E25"/>
    <mergeCell ref="C26:E26"/>
    <mergeCell ref="F24:AF24"/>
    <mergeCell ref="F25:AF25"/>
    <mergeCell ref="F26:AF26"/>
    <mergeCell ref="C28:E28"/>
    <mergeCell ref="C27:E27"/>
    <mergeCell ref="F27:AF27"/>
    <mergeCell ref="F28:AF28"/>
  </mergeCells>
  <conditionalFormatting sqref="C27 AG27 F27">
    <cfRule type="cellIs" dxfId="3" priority="4" operator="greaterThan">
      <formula>1</formula>
    </cfRule>
  </conditionalFormatting>
  <conditionalFormatting sqref="C28 AG28 F28">
    <cfRule type="cellIs" dxfId="2" priority="3" operator="lessThan">
      <formula>0</formula>
    </cfRule>
  </conditionalFormatting>
  <conditionalFormatting sqref="B22:AG22">
    <cfRule type="cellIs" dxfId="1" priority="2" operator="greaterThan">
      <formula>1</formula>
    </cfRule>
  </conditionalFormatting>
  <conditionalFormatting sqref="B23:AG23">
    <cfRule type="cellIs" dxfId="0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N16"/>
  <sheetViews>
    <sheetView showGridLines="0" showRowColHeaders="0" workbookViewId="0"/>
  </sheetViews>
  <sheetFormatPr defaultRowHeight="14.4" x14ac:dyDescent="0.3"/>
  <cols>
    <col min="1" max="16384" width="8.88671875" style="158"/>
  </cols>
  <sheetData>
    <row r="1" spans="1:40" x14ac:dyDescent="0.3">
      <c r="A1" s="158" t="s">
        <v>252</v>
      </c>
    </row>
    <row r="2" spans="1:40" x14ac:dyDescent="0.3">
      <c r="A2" s="162" t="s">
        <v>170</v>
      </c>
    </row>
    <row r="3" spans="1:40" x14ac:dyDescent="0.3">
      <c r="A3" s="158" t="s">
        <v>77</v>
      </c>
      <c r="B3" s="183">
        <v>2015</v>
      </c>
      <c r="D3" s="159">
        <f>MAX(D5:D1048576)</f>
        <v>2</v>
      </c>
      <c r="F3" s="159">
        <f>SUMIF($E5:$E1048576,"&lt;10",F5:F1048576)</f>
        <v>432116</v>
      </c>
      <c r="G3" s="159">
        <f t="shared" ref="G3:AN3" si="0">SUMIF($E5:$E1048576,"&lt;10",G5:G1048576)</f>
        <v>0</v>
      </c>
      <c r="H3" s="159">
        <f t="shared" si="0"/>
        <v>0</v>
      </c>
      <c r="I3" s="159">
        <f t="shared" si="0"/>
        <v>0</v>
      </c>
      <c r="J3" s="159">
        <f t="shared" si="0"/>
        <v>0</v>
      </c>
      <c r="K3" s="159">
        <f t="shared" si="0"/>
        <v>0</v>
      </c>
      <c r="L3" s="159">
        <f t="shared" si="0"/>
        <v>0</v>
      </c>
      <c r="M3" s="159">
        <f t="shared" si="0"/>
        <v>0</v>
      </c>
      <c r="N3" s="159">
        <f t="shared" si="0"/>
        <v>0</v>
      </c>
      <c r="O3" s="159">
        <f t="shared" si="0"/>
        <v>432116</v>
      </c>
      <c r="P3" s="159">
        <f t="shared" si="0"/>
        <v>0</v>
      </c>
      <c r="Q3" s="159">
        <f t="shared" si="0"/>
        <v>0</v>
      </c>
      <c r="R3" s="159">
        <f t="shared" si="0"/>
        <v>0</v>
      </c>
      <c r="S3" s="159">
        <f t="shared" si="0"/>
        <v>0</v>
      </c>
      <c r="T3" s="159">
        <f t="shared" si="0"/>
        <v>0</v>
      </c>
      <c r="U3" s="159">
        <f t="shared" si="0"/>
        <v>0</v>
      </c>
      <c r="V3" s="159">
        <f t="shared" si="0"/>
        <v>0</v>
      </c>
      <c r="W3" s="159">
        <f t="shared" si="0"/>
        <v>0</v>
      </c>
      <c r="X3" s="159">
        <f t="shared" si="0"/>
        <v>0</v>
      </c>
      <c r="Y3" s="159">
        <f t="shared" si="0"/>
        <v>0</v>
      </c>
      <c r="Z3" s="159">
        <f t="shared" si="0"/>
        <v>0</v>
      </c>
      <c r="AA3" s="159">
        <f t="shared" si="0"/>
        <v>0</v>
      </c>
      <c r="AB3" s="159">
        <f t="shared" si="0"/>
        <v>0</v>
      </c>
      <c r="AC3" s="159">
        <f t="shared" si="0"/>
        <v>0</v>
      </c>
      <c r="AD3" s="159">
        <f t="shared" si="0"/>
        <v>0</v>
      </c>
      <c r="AE3" s="159">
        <f t="shared" si="0"/>
        <v>0</v>
      </c>
      <c r="AF3" s="159">
        <f t="shared" si="0"/>
        <v>0</v>
      </c>
      <c r="AG3" s="159">
        <f t="shared" si="0"/>
        <v>0</v>
      </c>
      <c r="AH3" s="159">
        <f t="shared" si="0"/>
        <v>0</v>
      </c>
      <c r="AI3" s="159">
        <f t="shared" si="0"/>
        <v>0</v>
      </c>
      <c r="AJ3" s="159">
        <f t="shared" si="0"/>
        <v>0</v>
      </c>
      <c r="AK3" s="159">
        <f t="shared" si="0"/>
        <v>0</v>
      </c>
      <c r="AL3" s="159">
        <f t="shared" si="0"/>
        <v>0</v>
      </c>
      <c r="AM3" s="159">
        <f t="shared" si="0"/>
        <v>0</v>
      </c>
      <c r="AN3" s="159">
        <f t="shared" si="0"/>
        <v>0</v>
      </c>
    </row>
    <row r="4" spans="1:40" x14ac:dyDescent="0.3">
      <c r="A4" s="158" t="s">
        <v>78</v>
      </c>
      <c r="B4" s="183">
        <v>1</v>
      </c>
      <c r="C4" s="160" t="s">
        <v>1</v>
      </c>
      <c r="D4" s="161" t="s">
        <v>40</v>
      </c>
      <c r="E4" s="161" t="s">
        <v>72</v>
      </c>
      <c r="F4" s="161" t="s">
        <v>0</v>
      </c>
      <c r="G4" s="161" t="s">
        <v>73</v>
      </c>
      <c r="H4" s="161" t="s">
        <v>74</v>
      </c>
      <c r="I4" s="161" t="s">
        <v>75</v>
      </c>
      <c r="J4" s="161" t="s">
        <v>76</v>
      </c>
      <c r="K4" s="161">
        <v>305</v>
      </c>
      <c r="L4" s="161">
        <v>306</v>
      </c>
      <c r="M4" s="161">
        <v>408</v>
      </c>
      <c r="N4" s="161">
        <v>409</v>
      </c>
      <c r="O4" s="161">
        <v>410</v>
      </c>
      <c r="P4" s="161">
        <v>415</v>
      </c>
      <c r="Q4" s="161">
        <v>416</v>
      </c>
      <c r="R4" s="161">
        <v>418</v>
      </c>
      <c r="S4" s="161">
        <v>419</v>
      </c>
      <c r="T4" s="161">
        <v>420</v>
      </c>
      <c r="U4" s="161">
        <v>421</v>
      </c>
      <c r="V4" s="161">
        <v>522</v>
      </c>
      <c r="W4" s="161">
        <v>523</v>
      </c>
      <c r="X4" s="161">
        <v>524</v>
      </c>
      <c r="Y4" s="161">
        <v>525</v>
      </c>
      <c r="Z4" s="161">
        <v>526</v>
      </c>
      <c r="AA4" s="161">
        <v>527</v>
      </c>
      <c r="AB4" s="161">
        <v>528</v>
      </c>
      <c r="AC4" s="161">
        <v>629</v>
      </c>
      <c r="AD4" s="161">
        <v>630</v>
      </c>
      <c r="AE4" s="161">
        <v>636</v>
      </c>
      <c r="AF4" s="161">
        <v>637</v>
      </c>
      <c r="AG4" s="161">
        <v>640</v>
      </c>
      <c r="AH4" s="161">
        <v>642</v>
      </c>
      <c r="AI4" s="161">
        <v>743</v>
      </c>
      <c r="AJ4" s="161">
        <v>745</v>
      </c>
      <c r="AK4" s="161">
        <v>746</v>
      </c>
      <c r="AL4" s="161">
        <v>747</v>
      </c>
      <c r="AM4" s="161">
        <v>930</v>
      </c>
      <c r="AN4" s="161">
        <v>940</v>
      </c>
    </row>
    <row r="5" spans="1:40" x14ac:dyDescent="0.3">
      <c r="A5" s="158" t="s">
        <v>79</v>
      </c>
      <c r="B5" s="183">
        <v>2</v>
      </c>
      <c r="C5" s="158">
        <v>45</v>
      </c>
      <c r="D5" s="158">
        <v>1</v>
      </c>
      <c r="E5" s="158">
        <v>1</v>
      </c>
      <c r="F5" s="158">
        <v>7</v>
      </c>
      <c r="G5" s="158">
        <v>0</v>
      </c>
      <c r="H5" s="158">
        <v>0</v>
      </c>
      <c r="I5" s="158">
        <v>0</v>
      </c>
      <c r="J5" s="158">
        <v>0</v>
      </c>
      <c r="K5" s="158">
        <v>0</v>
      </c>
      <c r="L5" s="158">
        <v>0</v>
      </c>
      <c r="M5" s="158">
        <v>0</v>
      </c>
      <c r="N5" s="158">
        <v>0</v>
      </c>
      <c r="O5" s="158">
        <v>7</v>
      </c>
      <c r="P5" s="158">
        <v>0</v>
      </c>
      <c r="Q5" s="158">
        <v>0</v>
      </c>
      <c r="R5" s="158">
        <v>0</v>
      </c>
      <c r="S5" s="158">
        <v>0</v>
      </c>
      <c r="T5" s="158">
        <v>0</v>
      </c>
      <c r="U5" s="158">
        <v>0</v>
      </c>
      <c r="V5" s="158">
        <v>0</v>
      </c>
      <c r="W5" s="158">
        <v>0</v>
      </c>
      <c r="X5" s="158">
        <v>0</v>
      </c>
      <c r="Y5" s="158">
        <v>0</v>
      </c>
      <c r="Z5" s="158">
        <v>0</v>
      </c>
      <c r="AA5" s="158">
        <v>0</v>
      </c>
      <c r="AB5" s="158">
        <v>0</v>
      </c>
      <c r="AC5" s="158">
        <v>0</v>
      </c>
      <c r="AD5" s="158">
        <v>0</v>
      </c>
      <c r="AE5" s="158">
        <v>0</v>
      </c>
      <c r="AF5" s="158">
        <v>0</v>
      </c>
      <c r="AG5" s="158">
        <v>0</v>
      </c>
      <c r="AH5" s="158">
        <v>0</v>
      </c>
      <c r="AI5" s="158">
        <v>0</v>
      </c>
      <c r="AJ5" s="158">
        <v>0</v>
      </c>
      <c r="AK5" s="158">
        <v>0</v>
      </c>
      <c r="AL5" s="158">
        <v>0</v>
      </c>
      <c r="AM5" s="158">
        <v>0</v>
      </c>
      <c r="AN5" s="158">
        <v>0</v>
      </c>
    </row>
    <row r="6" spans="1:40" x14ac:dyDescent="0.3">
      <c r="A6" s="158" t="s">
        <v>80</v>
      </c>
      <c r="B6" s="183">
        <v>3</v>
      </c>
      <c r="C6" s="158">
        <v>45</v>
      </c>
      <c r="D6" s="158">
        <v>1</v>
      </c>
      <c r="E6" s="158">
        <v>2</v>
      </c>
      <c r="F6" s="158">
        <v>1180</v>
      </c>
      <c r="G6" s="158">
        <v>0</v>
      </c>
      <c r="H6" s="158">
        <v>0</v>
      </c>
      <c r="I6" s="158">
        <v>0</v>
      </c>
      <c r="J6" s="158">
        <v>0</v>
      </c>
      <c r="K6" s="158">
        <v>0</v>
      </c>
      <c r="L6" s="158">
        <v>0</v>
      </c>
      <c r="M6" s="158">
        <v>0</v>
      </c>
      <c r="N6" s="158">
        <v>0</v>
      </c>
      <c r="O6" s="158">
        <v>1180</v>
      </c>
      <c r="P6" s="158">
        <v>0</v>
      </c>
      <c r="Q6" s="158">
        <v>0</v>
      </c>
      <c r="R6" s="158">
        <v>0</v>
      </c>
      <c r="S6" s="158">
        <v>0</v>
      </c>
      <c r="T6" s="158">
        <v>0</v>
      </c>
      <c r="U6" s="158">
        <v>0</v>
      </c>
      <c r="V6" s="158">
        <v>0</v>
      </c>
      <c r="W6" s="158">
        <v>0</v>
      </c>
      <c r="X6" s="158">
        <v>0</v>
      </c>
      <c r="Y6" s="158">
        <v>0</v>
      </c>
      <c r="Z6" s="158">
        <v>0</v>
      </c>
      <c r="AA6" s="158">
        <v>0</v>
      </c>
      <c r="AB6" s="158">
        <v>0</v>
      </c>
      <c r="AC6" s="158">
        <v>0</v>
      </c>
      <c r="AD6" s="158">
        <v>0</v>
      </c>
      <c r="AE6" s="158">
        <v>0</v>
      </c>
      <c r="AF6" s="158">
        <v>0</v>
      </c>
      <c r="AG6" s="158">
        <v>0</v>
      </c>
      <c r="AH6" s="158">
        <v>0</v>
      </c>
      <c r="AI6" s="158">
        <v>0</v>
      </c>
      <c r="AJ6" s="158">
        <v>0</v>
      </c>
      <c r="AK6" s="158">
        <v>0</v>
      </c>
      <c r="AL6" s="158">
        <v>0</v>
      </c>
      <c r="AM6" s="158">
        <v>0</v>
      </c>
      <c r="AN6" s="158">
        <v>0</v>
      </c>
    </row>
    <row r="7" spans="1:40" x14ac:dyDescent="0.3">
      <c r="A7" s="158" t="s">
        <v>81</v>
      </c>
      <c r="B7" s="183">
        <v>4</v>
      </c>
      <c r="C7" s="158">
        <v>45</v>
      </c>
      <c r="D7" s="158">
        <v>1</v>
      </c>
      <c r="E7" s="158">
        <v>4</v>
      </c>
      <c r="F7" s="158">
        <v>6</v>
      </c>
      <c r="G7" s="158">
        <v>0</v>
      </c>
      <c r="H7" s="158">
        <v>0</v>
      </c>
      <c r="I7" s="158">
        <v>0</v>
      </c>
      <c r="J7" s="158">
        <v>0</v>
      </c>
      <c r="K7" s="158">
        <v>0</v>
      </c>
      <c r="L7" s="158">
        <v>0</v>
      </c>
      <c r="M7" s="158">
        <v>0</v>
      </c>
      <c r="N7" s="158">
        <v>0</v>
      </c>
      <c r="O7" s="158">
        <v>6</v>
      </c>
      <c r="P7" s="158">
        <v>0</v>
      </c>
      <c r="Q7" s="158">
        <v>0</v>
      </c>
      <c r="R7" s="158">
        <v>0</v>
      </c>
      <c r="S7" s="158">
        <v>0</v>
      </c>
      <c r="T7" s="158">
        <v>0</v>
      </c>
      <c r="U7" s="158">
        <v>0</v>
      </c>
      <c r="V7" s="158">
        <v>0</v>
      </c>
      <c r="W7" s="158">
        <v>0</v>
      </c>
      <c r="X7" s="158">
        <v>0</v>
      </c>
      <c r="Y7" s="158">
        <v>0</v>
      </c>
      <c r="Z7" s="158">
        <v>0</v>
      </c>
      <c r="AA7" s="158">
        <v>0</v>
      </c>
      <c r="AB7" s="158">
        <v>0</v>
      </c>
      <c r="AC7" s="158">
        <v>0</v>
      </c>
      <c r="AD7" s="158">
        <v>0</v>
      </c>
      <c r="AE7" s="158">
        <v>0</v>
      </c>
      <c r="AF7" s="158">
        <v>0</v>
      </c>
      <c r="AG7" s="158">
        <v>0</v>
      </c>
      <c r="AH7" s="158">
        <v>0</v>
      </c>
      <c r="AI7" s="158">
        <v>0</v>
      </c>
      <c r="AJ7" s="158">
        <v>0</v>
      </c>
      <c r="AK7" s="158">
        <v>0</v>
      </c>
      <c r="AL7" s="158">
        <v>0</v>
      </c>
      <c r="AM7" s="158">
        <v>0</v>
      </c>
      <c r="AN7" s="158">
        <v>0</v>
      </c>
    </row>
    <row r="8" spans="1:40" x14ac:dyDescent="0.3">
      <c r="A8" s="158" t="s">
        <v>82</v>
      </c>
      <c r="B8" s="183">
        <v>5</v>
      </c>
      <c r="C8" s="158">
        <v>45</v>
      </c>
      <c r="D8" s="158">
        <v>1</v>
      </c>
      <c r="E8" s="158">
        <v>6</v>
      </c>
      <c r="F8" s="158">
        <v>215858</v>
      </c>
      <c r="G8" s="158">
        <v>0</v>
      </c>
      <c r="H8" s="158">
        <v>0</v>
      </c>
      <c r="I8" s="158">
        <v>0</v>
      </c>
      <c r="J8" s="158">
        <v>0</v>
      </c>
      <c r="K8" s="158">
        <v>0</v>
      </c>
      <c r="L8" s="158">
        <v>0</v>
      </c>
      <c r="M8" s="158">
        <v>0</v>
      </c>
      <c r="N8" s="158">
        <v>0</v>
      </c>
      <c r="O8" s="158">
        <v>215858</v>
      </c>
      <c r="P8" s="158">
        <v>0</v>
      </c>
      <c r="Q8" s="158">
        <v>0</v>
      </c>
      <c r="R8" s="158">
        <v>0</v>
      </c>
      <c r="S8" s="158">
        <v>0</v>
      </c>
      <c r="T8" s="158">
        <v>0</v>
      </c>
      <c r="U8" s="158">
        <v>0</v>
      </c>
      <c r="V8" s="158">
        <v>0</v>
      </c>
      <c r="W8" s="158">
        <v>0</v>
      </c>
      <c r="X8" s="158">
        <v>0</v>
      </c>
      <c r="Y8" s="158">
        <v>0</v>
      </c>
      <c r="Z8" s="158">
        <v>0</v>
      </c>
      <c r="AA8" s="158">
        <v>0</v>
      </c>
      <c r="AB8" s="158">
        <v>0</v>
      </c>
      <c r="AC8" s="158">
        <v>0</v>
      </c>
      <c r="AD8" s="158">
        <v>0</v>
      </c>
      <c r="AE8" s="158">
        <v>0</v>
      </c>
      <c r="AF8" s="158">
        <v>0</v>
      </c>
      <c r="AG8" s="158">
        <v>0</v>
      </c>
      <c r="AH8" s="158">
        <v>0</v>
      </c>
      <c r="AI8" s="158">
        <v>0</v>
      </c>
      <c r="AJ8" s="158">
        <v>0</v>
      </c>
      <c r="AK8" s="158">
        <v>0</v>
      </c>
      <c r="AL8" s="158">
        <v>0</v>
      </c>
      <c r="AM8" s="158">
        <v>0</v>
      </c>
      <c r="AN8" s="158">
        <v>0</v>
      </c>
    </row>
    <row r="9" spans="1:40" x14ac:dyDescent="0.3">
      <c r="A9" s="158" t="s">
        <v>83</v>
      </c>
      <c r="B9" s="183">
        <v>6</v>
      </c>
      <c r="C9" s="158">
        <v>45</v>
      </c>
      <c r="D9" s="158">
        <v>2</v>
      </c>
      <c r="E9" s="158">
        <v>1</v>
      </c>
      <c r="F9" s="158">
        <v>7</v>
      </c>
      <c r="G9" s="158">
        <v>0</v>
      </c>
      <c r="H9" s="158">
        <v>0</v>
      </c>
      <c r="I9" s="158">
        <v>0</v>
      </c>
      <c r="J9" s="158">
        <v>0</v>
      </c>
      <c r="K9" s="158">
        <v>0</v>
      </c>
      <c r="L9" s="158">
        <v>0</v>
      </c>
      <c r="M9" s="158">
        <v>0</v>
      </c>
      <c r="N9" s="158">
        <v>0</v>
      </c>
      <c r="O9" s="158">
        <v>7</v>
      </c>
      <c r="P9" s="158">
        <v>0</v>
      </c>
      <c r="Q9" s="158">
        <v>0</v>
      </c>
      <c r="R9" s="158">
        <v>0</v>
      </c>
      <c r="S9" s="158">
        <v>0</v>
      </c>
      <c r="T9" s="158">
        <v>0</v>
      </c>
      <c r="U9" s="158">
        <v>0</v>
      </c>
      <c r="V9" s="158">
        <v>0</v>
      </c>
      <c r="W9" s="158">
        <v>0</v>
      </c>
      <c r="X9" s="158">
        <v>0</v>
      </c>
      <c r="Y9" s="158">
        <v>0</v>
      </c>
      <c r="Z9" s="158">
        <v>0</v>
      </c>
      <c r="AA9" s="158">
        <v>0</v>
      </c>
      <c r="AB9" s="158">
        <v>0</v>
      </c>
      <c r="AC9" s="158">
        <v>0</v>
      </c>
      <c r="AD9" s="158">
        <v>0</v>
      </c>
      <c r="AE9" s="158">
        <v>0</v>
      </c>
      <c r="AF9" s="158">
        <v>0</v>
      </c>
      <c r="AG9" s="158">
        <v>0</v>
      </c>
      <c r="AH9" s="158">
        <v>0</v>
      </c>
      <c r="AI9" s="158">
        <v>0</v>
      </c>
      <c r="AJ9" s="158">
        <v>0</v>
      </c>
      <c r="AK9" s="158">
        <v>0</v>
      </c>
      <c r="AL9" s="158">
        <v>0</v>
      </c>
      <c r="AM9" s="158">
        <v>0</v>
      </c>
      <c r="AN9" s="158">
        <v>0</v>
      </c>
    </row>
    <row r="10" spans="1:40" x14ac:dyDescent="0.3">
      <c r="A10" s="158" t="s">
        <v>84</v>
      </c>
      <c r="B10" s="183">
        <v>7</v>
      </c>
      <c r="C10" s="158">
        <v>45</v>
      </c>
      <c r="D10" s="158">
        <v>2</v>
      </c>
      <c r="E10" s="158">
        <v>2</v>
      </c>
      <c r="F10" s="158">
        <v>1004</v>
      </c>
      <c r="G10" s="158">
        <v>0</v>
      </c>
      <c r="H10" s="158">
        <v>0</v>
      </c>
      <c r="I10" s="158">
        <v>0</v>
      </c>
      <c r="J10" s="158">
        <v>0</v>
      </c>
      <c r="K10" s="158">
        <v>0</v>
      </c>
      <c r="L10" s="158">
        <v>0</v>
      </c>
      <c r="M10" s="158">
        <v>0</v>
      </c>
      <c r="N10" s="158">
        <v>0</v>
      </c>
      <c r="O10" s="158">
        <v>1004</v>
      </c>
      <c r="P10" s="158">
        <v>0</v>
      </c>
      <c r="Q10" s="158">
        <v>0</v>
      </c>
      <c r="R10" s="158">
        <v>0</v>
      </c>
      <c r="S10" s="158">
        <v>0</v>
      </c>
      <c r="T10" s="158">
        <v>0</v>
      </c>
      <c r="U10" s="158">
        <v>0</v>
      </c>
      <c r="V10" s="158">
        <v>0</v>
      </c>
      <c r="W10" s="158">
        <v>0</v>
      </c>
      <c r="X10" s="158">
        <v>0</v>
      </c>
      <c r="Y10" s="158">
        <v>0</v>
      </c>
      <c r="Z10" s="158">
        <v>0</v>
      </c>
      <c r="AA10" s="158">
        <v>0</v>
      </c>
      <c r="AB10" s="158">
        <v>0</v>
      </c>
      <c r="AC10" s="158">
        <v>0</v>
      </c>
      <c r="AD10" s="158">
        <v>0</v>
      </c>
      <c r="AE10" s="158">
        <v>0</v>
      </c>
      <c r="AF10" s="158">
        <v>0</v>
      </c>
      <c r="AG10" s="158">
        <v>0</v>
      </c>
      <c r="AH10" s="158">
        <v>0</v>
      </c>
      <c r="AI10" s="158">
        <v>0</v>
      </c>
      <c r="AJ10" s="158">
        <v>0</v>
      </c>
      <c r="AK10" s="158">
        <v>0</v>
      </c>
      <c r="AL10" s="158">
        <v>0</v>
      </c>
      <c r="AM10" s="158">
        <v>0</v>
      </c>
      <c r="AN10" s="158">
        <v>0</v>
      </c>
    </row>
    <row r="11" spans="1:40" x14ac:dyDescent="0.3">
      <c r="A11" s="158" t="s">
        <v>85</v>
      </c>
      <c r="B11" s="183">
        <v>8</v>
      </c>
      <c r="C11" s="158">
        <v>45</v>
      </c>
      <c r="D11" s="158">
        <v>2</v>
      </c>
      <c r="E11" s="158">
        <v>6</v>
      </c>
      <c r="F11" s="158">
        <v>214054</v>
      </c>
      <c r="G11" s="158">
        <v>0</v>
      </c>
      <c r="H11" s="158">
        <v>0</v>
      </c>
      <c r="I11" s="158">
        <v>0</v>
      </c>
      <c r="J11" s="158">
        <v>0</v>
      </c>
      <c r="K11" s="158">
        <v>0</v>
      </c>
      <c r="L11" s="158">
        <v>0</v>
      </c>
      <c r="M11" s="158">
        <v>0</v>
      </c>
      <c r="N11" s="158">
        <v>0</v>
      </c>
      <c r="O11" s="158">
        <v>214054</v>
      </c>
      <c r="P11" s="158">
        <v>0</v>
      </c>
      <c r="Q11" s="158">
        <v>0</v>
      </c>
      <c r="R11" s="158">
        <v>0</v>
      </c>
      <c r="S11" s="158">
        <v>0</v>
      </c>
      <c r="T11" s="158">
        <v>0</v>
      </c>
      <c r="U11" s="158">
        <v>0</v>
      </c>
      <c r="V11" s="158">
        <v>0</v>
      </c>
      <c r="W11" s="158">
        <v>0</v>
      </c>
      <c r="X11" s="158">
        <v>0</v>
      </c>
      <c r="Y11" s="158">
        <v>0</v>
      </c>
      <c r="Z11" s="158">
        <v>0</v>
      </c>
      <c r="AA11" s="158">
        <v>0</v>
      </c>
      <c r="AB11" s="158">
        <v>0</v>
      </c>
      <c r="AC11" s="158">
        <v>0</v>
      </c>
      <c r="AD11" s="158">
        <v>0</v>
      </c>
      <c r="AE11" s="158">
        <v>0</v>
      </c>
      <c r="AF11" s="158">
        <v>0</v>
      </c>
      <c r="AG11" s="158">
        <v>0</v>
      </c>
      <c r="AH11" s="158">
        <v>0</v>
      </c>
      <c r="AI11" s="158">
        <v>0</v>
      </c>
      <c r="AJ11" s="158">
        <v>0</v>
      </c>
      <c r="AK11" s="158">
        <v>0</v>
      </c>
      <c r="AL11" s="158">
        <v>0</v>
      </c>
      <c r="AM11" s="158">
        <v>0</v>
      </c>
      <c r="AN11" s="158">
        <v>0</v>
      </c>
    </row>
    <row r="12" spans="1:40" x14ac:dyDescent="0.3">
      <c r="A12" s="158" t="s">
        <v>86</v>
      </c>
      <c r="B12" s="183">
        <v>9</v>
      </c>
    </row>
    <row r="13" spans="1:40" x14ac:dyDescent="0.3">
      <c r="A13" s="158" t="s">
        <v>87</v>
      </c>
      <c r="B13" s="183">
        <v>10</v>
      </c>
    </row>
    <row r="14" spans="1:40" x14ac:dyDescent="0.3">
      <c r="A14" s="158" t="s">
        <v>88</v>
      </c>
      <c r="B14" s="183">
        <v>11</v>
      </c>
    </row>
    <row r="15" spans="1:40" x14ac:dyDescent="0.3">
      <c r="A15" s="158" t="s">
        <v>89</v>
      </c>
      <c r="B15" s="183">
        <v>12</v>
      </c>
    </row>
    <row r="16" spans="1:40" x14ac:dyDescent="0.3">
      <c r="A16" s="158" t="s">
        <v>77</v>
      </c>
      <c r="B16" s="183">
        <v>2015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Obsah</vt:lpstr>
      <vt:lpstr>Motivace</vt:lpstr>
      <vt:lpstr>HI</vt:lpstr>
      <vt:lpstr>Man Tab</vt:lpstr>
      <vt:lpstr>HV</vt:lpstr>
      <vt:lpstr>Osobní náklady</vt:lpstr>
      <vt:lpstr>ON 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2014-08-21T08:13:26Z</cp:lastPrinted>
  <dcterms:created xsi:type="dcterms:W3CDTF">2013-04-17T20:15:29Z</dcterms:created>
  <dcterms:modified xsi:type="dcterms:W3CDTF">2015-03-21T00:24:50Z</dcterms:modified>
</cp:coreProperties>
</file>