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Materiál Žádanky" sheetId="420" r:id="rId8"/>
    <sheet name="Osobní náklady" sheetId="419" r:id="rId9"/>
    <sheet name="ON Data" sheetId="418" state="hidden" r:id="rId10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3" hidden="1">'Man Tab'!$A$5:$A$31</definedName>
    <definedName name="_xlnm._FilterDatabase" localSheetId="7" hidden="1">'Materiál Žádanky'!$A$4:$I$4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E26" i="419" l="1"/>
  <c r="E27" i="419" s="1"/>
  <c r="E25" i="419"/>
  <c r="C26" i="419"/>
  <c r="E28" i="419" l="1"/>
  <c r="C25" i="419"/>
  <c r="E20" i="419"/>
  <c r="E19" i="419"/>
  <c r="E17" i="419"/>
  <c r="E16" i="419"/>
  <c r="E14" i="419"/>
  <c r="E13" i="419"/>
  <c r="E12" i="419"/>
  <c r="E11" i="419"/>
  <c r="AW3" i="418"/>
  <c r="AV3" i="418"/>
  <c r="AU3" i="418"/>
  <c r="AT3" i="418"/>
  <c r="AS3" i="418"/>
  <c r="AR3" i="418"/>
  <c r="AQ3" i="418"/>
  <c r="AP3" i="418"/>
  <c r="E18" i="419" l="1"/>
  <c r="B25" i="419"/>
  <c r="C27" i="419" l="1"/>
  <c r="B26" i="419"/>
  <c r="B27" i="419" s="1"/>
  <c r="C28" i="419"/>
  <c r="A7" i="414"/>
  <c r="D21" i="419" l="1"/>
  <c r="C21" i="419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C18" i="419" l="1"/>
  <c r="D18" i="419"/>
  <c r="C23" i="419"/>
  <c r="D23" i="419"/>
  <c r="D22" i="419"/>
  <c r="C22" i="419"/>
  <c r="M3" i="418"/>
  <c r="B21" i="419" l="1"/>
  <c r="B22" i="419" l="1"/>
  <c r="A12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E6" i="419" l="1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E11" i="339" l="1"/>
  <c r="B11" i="339"/>
  <c r="F11" i="339" l="1"/>
  <c r="C11" i="339"/>
  <c r="H11" i="339" l="1"/>
  <c r="G11" i="339"/>
  <c r="A11" i="414"/>
  <c r="A12" i="414"/>
  <c r="A4" i="414"/>
  <c r="A6" i="339" l="1"/>
  <c r="A5" i="339"/>
  <c r="D4" i="414"/>
  <c r="C12" i="414"/>
  <c r="D15" i="414"/>
  <c r="D12" i="414"/>
  <c r="C15" i="414"/>
  <c r="C11" i="414" l="1"/>
  <c r="C7" i="414"/>
  <c r="E11" i="414" l="1"/>
  <c r="E7" i="414"/>
  <c r="M3" i="220" l="1"/>
  <c r="E12" i="339" l="1"/>
  <c r="C12" i="339"/>
  <c r="B12" i="339"/>
  <c r="F12" i="339" s="1"/>
  <c r="N3" i="220"/>
  <c r="L3" i="220" s="1"/>
  <c r="C16" i="414"/>
  <c r="D16" i="414"/>
  <c r="F13" i="339" l="1"/>
  <c r="E13" i="339"/>
  <c r="E15" i="339" s="1"/>
  <c r="H12" i="339"/>
  <c r="G12" i="339"/>
  <c r="A4" i="383"/>
  <c r="A13" i="383"/>
  <c r="A11" i="383"/>
  <c r="A7" i="383"/>
  <c r="A6" i="383"/>
  <c r="A5" i="383"/>
  <c r="C13" i="339"/>
  <c r="C15" i="339" s="1"/>
  <c r="B13" i="339"/>
  <c r="B15" i="339" s="1"/>
  <c r="C4" i="414"/>
  <c r="D14" i="414"/>
  <c r="H13" i="339" l="1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<sst xmlns="http://schemas.openxmlformats.org/spreadsheetml/2006/main" count="489" uniqueCount="261">
  <si>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</si>
  <si>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</si>
  <si>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</si>
  <si>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</si>
  <si>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</si>
  <si>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</si>
  <si>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</si>
  <si>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</si>
  <si>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</si>
  <si>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</si>
  <si>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</si>
  <si>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</si>
  <si>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</si>
  <si>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</si>
  <si>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</si>
  <si>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</si>
  <si>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</si>
  <si>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</si>
  <si>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</si>
  <si>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</si>
  <si>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</si>
  <si>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</si>
  <si>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</si>
  <si>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</si>
  <si>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</si>
  <si>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</si>
  <si>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</si>
  <si>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</si>
  <si>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</si>
  <si>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</si>
  <si>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</si>
  <si>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</si>
  <si>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</si>
  <si>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</si>
  <si>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</si>
  <si>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</si>
  <si>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</si>
  <si>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</si>
  <si>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</si>
  <si>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</si>
  <si>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</si>
  <si>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</si>
  <si>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</si>
  <si>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</si>
  <si>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</si>
  <si>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</si>
  <si>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</si>
  <si>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</si>
  <si>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</si>
  <si>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</si>
  <si>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</si>
  <si>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</si>
  <si>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</si>
  <si>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</si>
  <si>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</si>
  <si>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</si>
  <si>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</si>
  <si>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</si>
  <si>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</si>
  <si>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</si>
  <si>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</si>
  <si>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</si>
  <si>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</si>
  <si>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</si>
  <si>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</si>
  <si>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</si>
  <si>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</si>
  <si>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</si>
  <si>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</si>
  <si>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</si>
  <si>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</si>
  <si>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</si>
  <si>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</si>
  <si>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</si>
  <si>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</si>
  <si>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</si>
  <si>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</si>
  <si>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</si>
  <si>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</si>
  <si>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</si>
  <si>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</si>
  <si>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</si>
  <si>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</si>
  <si>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</si>
  <si>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</si>
  <si>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</si>
  <si>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</si>
  <si>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</si>
  <si>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</si>
  <si>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</si>
  <si>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</si>
  <si>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</si>
  <si>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</si>
  <si>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</si>
  <si>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</si>
  <si>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</si>
  <si>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</si>
  <si>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</si>
  <si>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</si>
  <si>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</si>
  <si>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</si>
  <si>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</si>
  <si>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</si>
  <si>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</si>
  <si>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</si>
  <si>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</si>
  <si>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</si>
  <si>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</si>
  <si>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</si>
  <si>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</si>
  <si>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</si>
  <si>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</si>
  <si>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</si>
  <si>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</si>
  <si>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</si>
  <si>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</si>
  <si>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</si>
  <si>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</si>
  <si>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</si>
  <si>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</si>
  <si>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</si>
  <si>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</si>
  <si>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</si>
  <si>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</si>
  <si>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</si>
  <si>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</si>
  <si>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</si>
  <si>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</si>
  <si>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</si>
  <si>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</si>
  <si>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zdravotně - sociální pracovníci</t>
  </si>
  <si>
    <t>Pracoviště/účet</t>
  </si>
  <si>
    <t>Ambulance = vykázané výkony (body)</t>
  </si>
  <si>
    <t>ROZDÍL (Sk.do data - Rozp.do data 2015)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</si>
  <si>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</si>
  <si>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</si>
  <si>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</si>
  <si>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</si>
  <si>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</si>
  <si>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</si>
  <si>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</si>
  <si>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</si>
  <si>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</si>
  <si>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</si>
  <si>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</si>
  <si>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</si>
  <si>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</si>
  <si>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</si>
  <si>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</si>
  <si>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</si>
  <si>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</si>
  <si>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</si>
  <si>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</si>
  <si>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</si>
  <si>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</si>
  <si>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</si>
  <si>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</si>
  <si>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</si>
  <si>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</si>
  <si>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Sociální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</si>
  <si>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</si>
  <si>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</si>
  <si>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</si>
  <si>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</si>
  <si>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</si>
  <si>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</si>
  <si>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</si>
  <si>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 (LEK)</t>
  </si>
  <si>
    <t>50115     Zdravotnické prostředky</t>
  </si>
  <si>
    <t>50115050     obvazový materiál (Z502)</t>
  </si>
  <si>
    <t>50117     Všeobecný materiál</t>
  </si>
  <si>
    <t>50117002     prací a čistící prostř.,drog.zboží (sk.V41)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</si>
  <si>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</si>
  <si>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</si>
  <si>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</si>
  <si>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</si>
  <si>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</si>
  <si>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</si>
  <si>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</si>
  <si>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</si>
  <si>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</si>
  <si>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</si>
  <si>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</si>
  <si>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</si>
  <si>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</si>
  <si>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</si>
  <si>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</si>
  <si>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</si>
  <si>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</si>
  <si>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</si>
  <si>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</si>
  <si>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</si>
  <si>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</si>
  <si>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</si>
  <si>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</si>
  <si>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</si>
  <si>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</si>
  <si>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</si>
  <si>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</si>
  <si>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</si>
  <si>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</si>
  <si>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</si>
  <si>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</si>
  <si>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</si>
  <si>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</si>
  <si>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</si>
  <si>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</si>
  <si>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</si>
  <si>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</si>
  <si>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</si>
  <si>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</si>
  <si>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</si>
  <si>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</si>
  <si>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</si>
  <si>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</si>
  <si>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</si>
  <si>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</si>
  <si>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54910010     školení - nezdrav.pracov.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</si>
  <si>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</si>
  <si>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</si>
  <si>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</si>
  <si>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</si>
  <si>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6     Účtová třída 6 - Výnosy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</si>
  <si>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</si>
  <si>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</si>
  <si>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</si>
  <si>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</si>
  <si>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</si>
  <si>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</si>
  <si>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</si>
  <si>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</si>
  <si>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</si>
  <si>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79903     VPN - doprava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</si>
  <si>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</si>
  <si>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</si>
  <si>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</si>
  <si>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</si>
  <si>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</si>
  <si>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</si>
  <si>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</si>
  <si>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</si>
  <si>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</si>
  <si>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45</t>
  </si>
  <si>
    <t>Sociální oddělení</t>
  </si>
  <si>
    <t/>
  </si>
  <si>
    <t>Sociální oddělení Celkem</t>
  </si>
  <si>
    <t>SumaKL</t>
  </si>
  <si>
    <t>4598</t>
  </si>
  <si>
    <t>sociální oddělení</t>
  </si>
  <si>
    <t>sociální oddělení Celkem</t>
  </si>
  <si>
    <t>SumaNS</t>
  </si>
  <si>
    <t>mezeraNS</t>
  </si>
  <si>
    <t>50113001</t>
  </si>
  <si>
    <t>O</t>
  </si>
  <si>
    <t>131963</t>
  </si>
  <si>
    <t>31963</t>
  </si>
  <si>
    <t>CARBOTOX</t>
  </si>
  <si>
    <t>TBL 20 - BLISTR</t>
  </si>
  <si>
    <t>Sociální oddělení, sociální oddělení</t>
  </si>
  <si>
    <t>Lékárna - léčiva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</si>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</sst>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42">
    <xf numFmtId="0" fontId="0" fillId="0" borderId="0" xfId="0"/>
    <xf numFmtId="0" fontId="27" fillId="2" borderId="15" xfId="80" applyFont="1" applyFill="1" applyBorder="1"/>
    <xf numFmtId="0" fontId="28" fillId="2" borderId="16" xfId="80" applyFont="1" applyFill="1" applyBorder="1"/>
    <xf numFmtId="3" fontId="28" fillId="2" borderId="17" xfId="80" applyNumberFormat="1" applyFont="1" applyFill="1" applyBorder="1"/>
    <xf numFmtId="0" fontId="28" fillId="4" borderId="16" xfId="80" applyFont="1" applyFill="1" applyBorder="1"/>
    <xf numFmtId="3" fontId="28" fillId="4" borderId="17" xfId="80" applyNumberFormat="1" applyFont="1" applyFill="1" applyBorder="1"/>
    <xf numFmtId="171" fontId="28" fillId="3" borderId="17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2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1" xfId="0" applyFont="1" applyFill="1" applyBorder="1" applyAlignment="1">
      <alignment vertical="top"/>
    </xf>
    <xf numFmtId="0" fontId="37" fillId="2" borderId="32" xfId="0" applyFont="1" applyFill="1" applyBorder="1" applyAlignment="1">
      <alignment vertical="top"/>
    </xf>
    <xf numFmtId="0" fontId="34" fillId="2" borderId="32" xfId="0" applyFont="1" applyFill="1" applyBorder="1" applyAlignment="1">
      <alignment vertical="top"/>
    </xf>
    <xf numFmtId="0" fontId="38" fillId="2" borderId="32" xfId="0" applyFont="1" applyFill="1" applyBorder="1" applyAlignment="1">
      <alignment vertical="top"/>
    </xf>
    <xf numFmtId="0" fontId="36" fillId="2" borderId="32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19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8" fillId="2" borderId="19" xfId="0" applyFont="1" applyFill="1" applyBorder="1" applyAlignment="1">
      <alignment horizontal="center" vertical="center" wrapText="1"/>
    </xf>
    <xf numFmtId="0" fontId="38" fillId="2" borderId="21" xfId="0" applyFont="1" applyFill="1" applyBorder="1" applyAlignment="1">
      <alignment horizontal="center" vertical="center" wrapText="1"/>
    </xf>
    <xf numFmtId="0" fontId="36" fillId="2" borderId="21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7" xfId="80" applyNumberFormat="1" applyFont="1" applyFill="1" applyBorder="1"/>
    <xf numFmtId="3" fontId="27" fillId="5" borderId="23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5" xfId="80" applyNumberFormat="1" applyFont="1" applyFill="1" applyBorder="1"/>
    <xf numFmtId="3" fontId="28" fillId="2" borderId="18" xfId="80" applyNumberFormat="1" applyFont="1" applyFill="1" applyBorder="1"/>
    <xf numFmtId="3" fontId="28" fillId="4" borderId="25" xfId="80" applyNumberFormat="1" applyFont="1" applyFill="1" applyBorder="1"/>
    <xf numFmtId="3" fontId="28" fillId="4" borderId="18" xfId="80" applyNumberFormat="1" applyFont="1" applyFill="1" applyBorder="1"/>
    <xf numFmtId="171" fontId="28" fillId="3" borderId="25" xfId="80" applyNumberFormat="1" applyFont="1" applyFill="1" applyBorder="1"/>
    <xf numFmtId="171" fontId="28" fillId="3" borderId="18" xfId="80" applyNumberFormat="1" applyFont="1" applyFill="1" applyBorder="1"/>
    <xf numFmtId="0" fontId="31" fillId="2" borderId="23" xfId="80" applyFont="1" applyFill="1" applyBorder="1" applyAlignment="1">
      <alignment horizontal="center"/>
    </xf>
    <xf numFmtId="0" fontId="32" fillId="0" borderId="34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0" xfId="0" applyNumberFormat="1" applyFont="1" applyFill="1" applyBorder="1" applyAlignment="1">
      <alignment horizontal="right" vertical="top"/>
    </xf>
    <xf numFmtId="3" fontId="33" fillId="0" borderId="21" xfId="0" applyNumberFormat="1" applyFont="1" applyFill="1" applyBorder="1" applyAlignment="1">
      <alignment horizontal="right" vertical="top"/>
    </xf>
    <xf numFmtId="3" fontId="34" fillId="0" borderId="21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4" xfId="81" applyFont="1" applyFill="1" applyBorder="1" applyAlignment="1"/>
    <xf numFmtId="0" fontId="29" fillId="0" borderId="0" xfId="49" applyFont="1" applyFill="1"/>
    <xf numFmtId="0" fontId="32" fillId="0" borderId="28" xfId="0" applyFont="1" applyFill="1" applyBorder="1" applyAlignment="1"/>
    <xf numFmtId="0" fontId="32" fillId="0" borderId="29" xfId="0" applyFont="1" applyFill="1" applyBorder="1" applyAlignment="1"/>
    <xf numFmtId="0" fontId="32" fillId="0" borderId="47" xfId="0" applyFont="1" applyFill="1" applyBorder="1" applyAlignment="1"/>
    <xf numFmtId="0" fontId="32" fillId="0" borderId="23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0" xfId="0" applyFont="1" applyFill="1" applyBorder="1"/>
    <xf numFmtId="0" fontId="32" fillId="5" borderId="34" xfId="0" applyFont="1" applyFill="1" applyBorder="1"/>
    <xf numFmtId="0" fontId="32" fillId="5" borderId="40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0" xfId="0" applyNumberFormat="1" applyFont="1" applyFill="1" applyBorder="1" applyAlignment="1">
      <alignment horizontal="right" vertical="top"/>
    </xf>
    <xf numFmtId="3" fontId="31" fillId="0" borderId="27" xfId="53" applyNumberFormat="1" applyFont="1" applyFill="1" applyBorder="1"/>
    <xf numFmtId="3" fontId="31" fillId="0" borderId="23" xfId="53" applyNumberFormat="1" applyFont="1" applyFill="1" applyBorder="1"/>
    <xf numFmtId="0" fontId="31" fillId="2" borderId="36" xfId="74" applyFont="1" applyFill="1" applyBorder="1" applyAlignment="1">
      <alignment horizontal="center"/>
    </xf>
    <xf numFmtId="0" fontId="27" fillId="5" borderId="34" xfId="80" applyFont="1" applyFill="1" applyBorder="1"/>
    <xf numFmtId="0" fontId="31" fillId="2" borderId="21" xfId="80" applyFont="1" applyFill="1" applyBorder="1" applyAlignment="1">
      <alignment horizontal="center"/>
    </xf>
    <xf numFmtId="0" fontId="31" fillId="2" borderId="20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5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7" xfId="0" applyNumberFormat="1" applyFont="1" applyFill="1" applyBorder="1"/>
    <xf numFmtId="3" fontId="32" fillId="0" borderId="22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3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8" xfId="80" applyNumberFormat="1" applyFont="1" applyFill="1" applyBorder="1"/>
    <xf numFmtId="9" fontId="28" fillId="4" borderId="18" xfId="80" applyNumberFormat="1" applyFont="1" applyFill="1" applyBorder="1"/>
    <xf numFmtId="9" fontId="28" fillId="3" borderId="18" xfId="80" applyNumberFormat="1" applyFont="1" applyFill="1" applyBorder="1"/>
    <xf numFmtId="0" fontId="31" fillId="2" borderId="19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0" xfId="0" applyFont="1" applyFill="1" applyBorder="1" applyAlignment="1"/>
    <xf numFmtId="0" fontId="32" fillId="0" borderId="0" xfId="0" applyFont="1" applyFill="1" applyAlignment="1"/>
    <xf numFmtId="0" fontId="44" fillId="4" borderId="31" xfId="1" applyFont="1" applyFill="1" applyBorder="1"/>
    <xf numFmtId="0" fontId="44" fillId="4" borderId="15" xfId="1" applyFont="1" applyFill="1" applyBorder="1"/>
    <xf numFmtId="0" fontId="44" fillId="3" borderId="16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7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5" xfId="1" applyFont="1" applyFill="1" applyBorder="1"/>
    <xf numFmtId="0" fontId="44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1" xfId="0" applyNumberFormat="1" applyFont="1" applyFill="1" applyBorder="1"/>
    <xf numFmtId="3" fontId="39" fillId="2" borderId="42" xfId="0" applyNumberFormat="1" applyFont="1" applyFill="1" applyBorder="1"/>
    <xf numFmtId="9" fontId="39" fillId="2" borderId="46" xfId="0" applyNumberFormat="1" applyFont="1" applyFill="1" applyBorder="1"/>
    <xf numFmtId="0" fontId="48" fillId="2" borderId="16" xfId="1" applyFont="1" applyFill="1" applyBorder="1" applyAlignment="1"/>
    <xf numFmtId="0" fontId="32" fillId="2" borderId="26" xfId="0" applyFont="1" applyFill="1" applyBorder="1" applyAlignment="1"/>
    <xf numFmtId="3" fontId="32" fillId="2" borderId="25" xfId="0" applyNumberFormat="1" applyFont="1" applyFill="1" applyBorder="1" applyAlignment="1"/>
    <xf numFmtId="9" fontId="32" fillId="2" borderId="18" xfId="0" applyNumberFormat="1" applyFont="1" applyFill="1" applyBorder="1" applyAlignment="1"/>
    <xf numFmtId="0" fontId="39" fillId="2" borderId="43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2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32" fillId="2" borderId="32" xfId="0" applyFont="1" applyFill="1" applyBorder="1" applyAlignment="1">
      <alignment horizontal="left" indent="2"/>
    </xf>
    <xf numFmtId="0" fontId="31" fillId="2" borderId="32" xfId="1" applyFont="1" applyFill="1" applyBorder="1" applyAlignment="1"/>
    <xf numFmtId="0" fontId="44" fillId="2" borderId="32" xfId="1" applyFont="1" applyFill="1" applyBorder="1" applyAlignment="1">
      <alignment horizontal="left" indent="2"/>
    </xf>
    <xf numFmtId="0" fontId="48" fillId="2" borderId="32" xfId="1" applyFont="1" applyFill="1" applyBorder="1" applyAlignment="1"/>
    <xf numFmtId="0" fontId="32" fillId="0" borderId="30" xfId="0" applyFont="1" applyBorder="1" applyAlignment="1"/>
    <xf numFmtId="3" fontId="32" fillId="0" borderId="21" xfId="0" applyNumberFormat="1" applyFont="1" applyBorder="1" applyAlignment="1"/>
    <xf numFmtId="9" fontId="32" fillId="0" borderId="20" xfId="0" applyNumberFormat="1" applyFont="1" applyBorder="1" applyAlignment="1"/>
    <xf numFmtId="0" fontId="39" fillId="0" borderId="34" xfId="0" applyFont="1" applyFill="1" applyBorder="1" applyAlignment="1">
      <alignment horizontal="left" indent="2"/>
    </xf>
    <xf numFmtId="0" fontId="32" fillId="0" borderId="34" xfId="0" applyFont="1" applyBorder="1" applyAlignment="1"/>
    <xf numFmtId="3" fontId="32" fillId="0" borderId="34" xfId="0" applyNumberFormat="1" applyFont="1" applyBorder="1" applyAlignment="1"/>
    <xf numFmtId="9" fontId="32" fillId="0" borderId="34" xfId="0" applyNumberFormat="1" applyFont="1" applyBorder="1" applyAlignment="1"/>
    <xf numFmtId="0" fontId="48" fillId="4" borderId="16" xfId="1" applyFont="1" applyFill="1" applyBorder="1" applyAlignment="1">
      <alignment horizontal="left"/>
    </xf>
    <xf numFmtId="0" fontId="32" fillId="4" borderId="26" xfId="0" applyFont="1" applyFill="1" applyBorder="1" applyAlignment="1"/>
    <xf numFmtId="3" fontId="32" fillId="4" borderId="25" xfId="0" applyNumberFormat="1" applyFont="1" applyFill="1" applyBorder="1" applyAlignment="1"/>
    <xf numFmtId="9" fontId="32" fillId="4" borderId="18" xfId="0" applyNumberFormat="1" applyFont="1" applyFill="1" applyBorder="1" applyAlignment="1"/>
    <xf numFmtId="0" fontId="48" fillId="4" borderId="43" xfId="1" applyFont="1" applyFill="1" applyBorder="1" applyAlignment="1">
      <alignment horizontal="left"/>
    </xf>
    <xf numFmtId="0" fontId="48" fillId="4" borderId="32" xfId="1" applyFont="1" applyFill="1" applyBorder="1" applyAlignment="1">
      <alignment horizontal="left"/>
    </xf>
    <xf numFmtId="0" fontId="32" fillId="4" borderId="33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0" xfId="0" applyNumberFormat="1" applyFont="1" applyBorder="1" applyAlignment="1"/>
    <xf numFmtId="0" fontId="39" fillId="3" borderId="16" xfId="0" applyFont="1" applyFill="1" applyBorder="1" applyAlignment="1"/>
    <xf numFmtId="0" fontId="32" fillId="3" borderId="26" xfId="0" applyFont="1" applyFill="1" applyBorder="1" applyAlignment="1"/>
    <xf numFmtId="3" fontId="32" fillId="3" borderId="25" xfId="0" applyNumberFormat="1" applyFont="1" applyFill="1" applyBorder="1" applyAlignment="1"/>
    <xf numFmtId="9" fontId="32" fillId="3" borderId="18" xfId="0" applyNumberFormat="1" applyFont="1" applyFill="1" applyBorder="1" applyAlignment="1"/>
    <xf numFmtId="0" fontId="7" fillId="0" borderId="0" xfId="80" applyFont="1" applyFill="1"/>
    <xf numFmtId="0" fontId="49" fillId="0" borderId="34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0" fillId="0" borderId="0" xfId="0" applyNumberFormat="1"/>
    <xf numFmtId="3" fontId="0" fillId="7" borderId="50" xfId="0" applyNumberFormat="1" applyFont="1" applyFill="1" applyBorder="1"/>
    <xf numFmtId="3" fontId="51" fillId="8" borderId="51" xfId="0" applyNumberFormat="1" applyFont="1" applyFill="1" applyBorder="1"/>
    <xf numFmtId="3" fontId="51" fillId="8" borderId="50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0" fontId="39" fillId="2" borderId="55" xfId="0" applyFont="1" applyFill="1" applyBorder="1" applyAlignment="1">
      <alignment horizontal="center" vertical="center"/>
    </xf>
    <xf numFmtId="0" fontId="53" fillId="2" borderId="58" xfId="0" applyFont="1" applyFill="1" applyBorder="1" applyAlignment="1">
      <alignment horizontal="center" vertical="center" wrapText="1"/>
    </xf>
    <xf numFmtId="0" fontId="39" fillId="2" borderId="59" xfId="0" applyFont="1" applyFill="1" applyBorder="1" applyAlignment="1"/>
    <xf numFmtId="0" fontId="39" fillId="2" borderId="61" xfId="0" applyFont="1" applyFill="1" applyBorder="1" applyAlignment="1">
      <alignment horizontal="left" indent="1"/>
    </xf>
    <xf numFmtId="0" fontId="39" fillId="2" borderId="65" xfId="0" applyFont="1" applyFill="1" applyBorder="1" applyAlignment="1">
      <alignment horizontal="left" indent="1"/>
    </xf>
    <xf numFmtId="0" fontId="39" fillId="4" borderId="59" xfId="0" applyFont="1" applyFill="1" applyBorder="1" applyAlignment="1"/>
    <xf numFmtId="0" fontId="39" fillId="4" borderId="61" xfId="0" applyFont="1" applyFill="1" applyBorder="1" applyAlignment="1">
      <alignment horizontal="left" indent="1"/>
    </xf>
    <xf numFmtId="0" fontId="39" fillId="4" borderId="69" xfId="0" applyFont="1" applyFill="1" applyBorder="1" applyAlignment="1">
      <alignment horizontal="left" indent="1"/>
    </xf>
    <xf numFmtId="0" fontId="32" fillId="2" borderId="61" xfId="0" quotePrefix="1" applyFont="1" applyFill="1" applyBorder="1" applyAlignment="1">
      <alignment horizontal="left" indent="2"/>
    </xf>
    <xf numFmtId="0" fontId="32" fillId="2" borderId="65" xfId="0" quotePrefix="1" applyFont="1" applyFill="1" applyBorder="1" applyAlignment="1">
      <alignment horizontal="left" indent="2"/>
    </xf>
    <xf numFmtId="0" fontId="39" fillId="2" borderId="59" xfId="0" applyFont="1" applyFill="1" applyBorder="1" applyAlignment="1">
      <alignment horizontal="left" indent="1"/>
    </xf>
    <xf numFmtId="0" fontId="39" fillId="2" borderId="69" xfId="0" applyFont="1" applyFill="1" applyBorder="1" applyAlignment="1">
      <alignment horizontal="left" indent="1"/>
    </xf>
    <xf numFmtId="0" fontId="39" fillId="4" borderId="65" xfId="0" applyFont="1" applyFill="1" applyBorder="1" applyAlignment="1">
      <alignment horizontal="left" indent="1"/>
    </xf>
    <xf numFmtId="0" fontId="32" fillId="0" borderId="74" xfId="0" applyFont="1" applyBorder="1"/>
    <xf numFmtId="3" fontId="32" fillId="0" borderId="74" xfId="0" applyNumberFormat="1" applyFont="1" applyBorder="1"/>
    <xf numFmtId="0" fontId="39" fillId="4" borderId="52" xfId="0" applyFont="1" applyFill="1" applyBorder="1" applyAlignment="1">
      <alignment horizontal="center" vertical="center"/>
    </xf>
    <xf numFmtId="0" fontId="39" fillId="4" borderId="47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3" xfId="0" applyNumberFormat="1" applyFont="1" applyFill="1" applyBorder="1" applyAlignment="1">
      <alignment horizontal="center" vertical="center"/>
    </xf>
    <xf numFmtId="3" fontId="53" fillId="2" borderId="71" xfId="0" applyNumberFormat="1" applyFont="1" applyFill="1" applyBorder="1" applyAlignment="1">
      <alignment horizontal="center" vertical="center" wrapText="1"/>
    </xf>
    <xf numFmtId="173" fontId="39" fillId="4" borderId="60" xfId="0" applyNumberFormat="1" applyFont="1" applyFill="1" applyBorder="1" applyAlignment="1"/>
    <xf numFmtId="173" fontId="39" fillId="4" borderId="54" xfId="0" applyNumberFormat="1" applyFont="1" applyFill="1" applyBorder="1" applyAlignment="1"/>
    <xf numFmtId="173" fontId="39" fillId="4" borderId="55" xfId="0" applyNumberFormat="1" applyFont="1" applyFill="1" applyBorder="1" applyAlignment="1"/>
    <xf numFmtId="173" fontId="39" fillId="0" borderId="62" xfId="0" applyNumberFormat="1" applyFont="1" applyBorder="1"/>
    <xf numFmtId="173" fontId="32" fillId="0" borderId="63" xfId="0" applyNumberFormat="1" applyFont="1" applyBorder="1"/>
    <xf numFmtId="173" fontId="32" fillId="0" borderId="64" xfId="0" applyNumberFormat="1" applyFont="1" applyBorder="1"/>
    <xf numFmtId="173" fontId="39" fillId="0" borderId="70" xfId="0" applyNumberFormat="1" applyFont="1" applyBorder="1"/>
    <xf numFmtId="173" fontId="32" fillId="0" borderId="57" xfId="0" applyNumberFormat="1" applyFont="1" applyBorder="1"/>
    <xf numFmtId="173" fontId="32" fillId="0" borderId="58" xfId="0" applyNumberFormat="1" applyFont="1" applyBorder="1"/>
    <xf numFmtId="173" fontId="39" fillId="2" borderId="72" xfId="0" applyNumberFormat="1" applyFont="1" applyFill="1" applyBorder="1" applyAlignment="1"/>
    <xf numFmtId="173" fontId="39" fillId="2" borderId="54" xfId="0" applyNumberFormat="1" applyFont="1" applyFill="1" applyBorder="1" applyAlignment="1"/>
    <xf numFmtId="173" fontId="39" fillId="2" borderId="55" xfId="0" applyNumberFormat="1" applyFont="1" applyFill="1" applyBorder="1" applyAlignment="1"/>
    <xf numFmtId="173" fontId="39" fillId="0" borderId="66" xfId="0" applyNumberFormat="1" applyFont="1" applyBorder="1"/>
    <xf numFmtId="173" fontId="32" fillId="0" borderId="67" xfId="0" applyNumberFormat="1" applyFont="1" applyBorder="1"/>
    <xf numFmtId="173" fontId="32" fillId="0" borderId="68" xfId="0" applyNumberFormat="1" applyFont="1" applyBorder="1"/>
    <xf numFmtId="173" fontId="39" fillId="0" borderId="60" xfId="0" applyNumberFormat="1" applyFont="1" applyBorder="1"/>
    <xf numFmtId="173" fontId="32" fillId="0" borderId="54" xfId="0" applyNumberFormat="1" applyFont="1" applyBorder="1"/>
    <xf numFmtId="173" fontId="32" fillId="0" borderId="55" xfId="0" applyNumberFormat="1" applyFont="1" applyBorder="1"/>
    <xf numFmtId="174" fontId="39" fillId="2" borderId="60" xfId="0" applyNumberFormat="1" applyFont="1" applyFill="1" applyBorder="1" applyAlignment="1"/>
    <xf numFmtId="174" fontId="32" fillId="2" borderId="54" xfId="0" applyNumberFormat="1" applyFont="1" applyFill="1" applyBorder="1" applyAlignment="1"/>
    <xf numFmtId="174" fontId="32" fillId="2" borderId="55" xfId="0" applyNumberFormat="1" applyFont="1" applyFill="1" applyBorder="1" applyAlignment="1"/>
    <xf numFmtId="174" fontId="39" fillId="0" borderId="62" xfId="0" applyNumberFormat="1" applyFont="1" applyBorder="1"/>
    <xf numFmtId="174" fontId="32" fillId="0" borderId="63" xfId="0" applyNumberFormat="1" applyFont="1" applyBorder="1"/>
    <xf numFmtId="174" fontId="32" fillId="0" borderId="64" xfId="0" applyNumberFormat="1" applyFont="1" applyBorder="1"/>
    <xf numFmtId="174" fontId="39" fillId="0" borderId="66" xfId="0" applyNumberFormat="1" applyFont="1" applyBorder="1"/>
    <xf numFmtId="174" fontId="32" fillId="0" borderId="67" xfId="0" applyNumberFormat="1" applyFont="1" applyBorder="1"/>
    <xf numFmtId="174" fontId="32" fillId="0" borderId="68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0" xfId="0" applyNumberFormat="1" applyFont="1" applyFill="1" applyBorder="1" applyAlignment="1">
      <alignment horizontal="center"/>
    </xf>
    <xf numFmtId="175" fontId="39" fillId="0" borderId="66" xfId="0" applyNumberFormat="1" applyFont="1" applyBorder="1"/>
    <xf numFmtId="0" fontId="31" fillId="2" borderId="77" xfId="74" applyFont="1" applyFill="1" applyBorder="1" applyAlignment="1">
      <alignment horizontal="center"/>
    </xf>
    <xf numFmtId="0" fontId="31" fillId="2" borderId="55" xfId="80" applyFont="1" applyFill="1" applyBorder="1" applyAlignment="1">
      <alignment horizontal="center"/>
    </xf>
    <xf numFmtId="0" fontId="31" fillId="2" borderId="56" xfId="80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" fillId="2" borderId="17" xfId="79" applyFont="1" applyFill="1" applyBorder="1" applyAlignment="1"/>
    <xf numFmtId="0" fontId="3" fillId="2" borderId="25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2" xfId="1" applyFill="1" applyBorder="1" applyAlignment="1">
      <alignment horizontal="left" indent="4"/>
    </xf>
    <xf numFmtId="9" fontId="39" fillId="0" borderId="62" xfId="0" applyNumberFormat="1" applyFont="1" applyBorder="1"/>
    <xf numFmtId="9" fontId="32" fillId="0" borderId="63" xfId="0" applyNumberFormat="1" applyFont="1" applyBorder="1"/>
    <xf numFmtId="0" fontId="39" fillId="3" borderId="24" xfId="0" applyFont="1" applyFill="1" applyBorder="1" applyAlignment="1"/>
    <xf numFmtId="0" fontId="32" fillId="0" borderId="35" xfId="0" applyFont="1" applyBorder="1" applyAlignment="1"/>
    <xf numFmtId="0" fontId="39" fillId="2" borderId="24" xfId="0" applyFont="1" applyFill="1" applyBorder="1" applyAlignment="1"/>
    <xf numFmtId="0" fontId="39" fillId="4" borderId="24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4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36" xfId="80" applyFont="1" applyFill="1" applyBorder="1" applyAlignment="1">
      <alignment horizontal="center"/>
    </xf>
    <xf numFmtId="0" fontId="31" fillId="2" borderId="49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2" xfId="0" applyFont="1" applyFill="1" applyBorder="1" applyAlignment="1">
      <alignment horizontal="center" vertical="center"/>
    </xf>
    <xf numFmtId="0" fontId="32" fillId="2" borderId="27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7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0" xfId="0" applyFont="1" applyFill="1" applyBorder="1" applyAlignment="1">
      <alignment horizontal="center" vertical="center" wrapText="1"/>
    </xf>
    <xf numFmtId="0" fontId="31" fillId="2" borderId="77" xfId="80" applyFont="1" applyFill="1" applyBorder="1" applyAlignment="1">
      <alignment horizontal="center"/>
    </xf>
    <xf numFmtId="0" fontId="31" fillId="2" borderId="75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1" fillId="2" borderId="76" xfId="80" applyFont="1" applyFill="1" applyBorder="1" applyAlignment="1">
      <alignment horizontal="center"/>
    </xf>
    <xf numFmtId="0" fontId="31" fillId="2" borderId="70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2" xfId="53" applyNumberFormat="1" applyFont="1" applyFill="1" applyBorder="1" applyAlignment="1">
      <alignment horizontal="right"/>
    </xf>
    <xf numFmtId="164" fontId="29" fillId="2" borderId="27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166" fontId="39" fillId="2" borderId="53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3" fontId="33" fillId="9" borderId="79" xfId="0" applyNumberFormat="1" applyFont="1" applyFill="1" applyBorder="1" applyAlignment="1">
      <alignment horizontal="right" vertical="top"/>
    </xf>
    <xf numFmtId="3" fontId="33" fillId="9" borderId="80" xfId="0" applyNumberFormat="1" applyFont="1" applyFill="1" applyBorder="1" applyAlignment="1">
      <alignment horizontal="right" vertical="top"/>
    </xf>
    <xf numFmtId="176" fontId="33" fillId="9" borderId="81" xfId="0" applyNumberFormat="1" applyFont="1" applyFill="1" applyBorder="1" applyAlignment="1">
      <alignment horizontal="right" vertical="top"/>
    </xf>
    <xf numFmtId="3" fontId="33" fillId="0" borderId="79" xfId="0" applyNumberFormat="1" applyFont="1" applyBorder="1" applyAlignment="1">
      <alignment horizontal="right" vertical="top"/>
    </xf>
    <xf numFmtId="176" fontId="33" fillId="9" borderId="82" xfId="0" applyNumberFormat="1" applyFont="1" applyFill="1" applyBorder="1" applyAlignment="1">
      <alignment horizontal="right" vertical="top"/>
    </xf>
    <xf numFmtId="3" fontId="35" fillId="9" borderId="84" xfId="0" applyNumberFormat="1" applyFont="1" applyFill="1" applyBorder="1" applyAlignment="1">
      <alignment horizontal="right" vertical="top"/>
    </xf>
    <xf numFmtId="3" fontId="35" fillId="9" borderId="85" xfId="0" applyNumberFormat="1" applyFont="1" applyFill="1" applyBorder="1" applyAlignment="1">
      <alignment horizontal="right" vertical="top"/>
    </xf>
    <xf numFmtId="0" fontId="35" fillId="9" borderId="86" xfId="0" applyFont="1" applyFill="1" applyBorder="1" applyAlignment="1">
      <alignment horizontal="right" vertical="top"/>
    </xf>
    <xf numFmtId="3" fontId="35" fillId="0" borderId="84" xfId="0" applyNumberFormat="1" applyFont="1" applyBorder="1" applyAlignment="1">
      <alignment horizontal="right" vertical="top"/>
    </xf>
    <xf numFmtId="176" fontId="35" fillId="9" borderId="87" xfId="0" applyNumberFormat="1" applyFont="1" applyFill="1" applyBorder="1" applyAlignment="1">
      <alignment horizontal="right" vertical="top"/>
    </xf>
    <xf numFmtId="0" fontId="33" fillId="9" borderId="81" xfId="0" applyFont="1" applyFill="1" applyBorder="1" applyAlignment="1">
      <alignment horizontal="right" vertical="top"/>
    </xf>
    <xf numFmtId="176" fontId="35" fillId="9" borderId="86" xfId="0" applyNumberFormat="1" applyFont="1" applyFill="1" applyBorder="1" applyAlignment="1">
      <alignment horizontal="right" vertical="top"/>
    </xf>
    <xf numFmtId="0" fontId="35" fillId="9" borderId="87" xfId="0" applyFont="1" applyFill="1" applyBorder="1" applyAlignment="1">
      <alignment horizontal="right" vertical="top"/>
    </xf>
    <xf numFmtId="0" fontId="33" fillId="9" borderId="82" xfId="0" applyFont="1" applyFill="1" applyBorder="1" applyAlignment="1">
      <alignment horizontal="right" vertical="top"/>
    </xf>
    <xf numFmtId="3" fontId="35" fillId="0" borderId="88" xfId="0" applyNumberFormat="1" applyFont="1" applyBorder="1" applyAlignment="1">
      <alignment horizontal="right" vertical="top"/>
    </xf>
    <xf numFmtId="3" fontId="35" fillId="0" borderId="89" xfId="0" applyNumberFormat="1" applyFont="1" applyBorder="1" applyAlignment="1">
      <alignment horizontal="right" vertical="top"/>
    </xf>
    <xf numFmtId="3" fontId="35" fillId="0" borderId="90" xfId="0" applyNumberFormat="1" applyFont="1" applyBorder="1" applyAlignment="1">
      <alignment horizontal="right" vertical="top"/>
    </xf>
    <xf numFmtId="176" fontId="35" fillId="9" borderId="91" xfId="0" applyNumberFormat="1" applyFont="1" applyFill="1" applyBorder="1" applyAlignment="1">
      <alignment horizontal="right" vertical="top"/>
    </xf>
    <xf numFmtId="0" fontId="37" fillId="10" borderId="78" xfId="0" applyFont="1" applyFill="1" applyBorder="1" applyAlignment="1">
      <alignment vertical="top"/>
    </xf>
    <xf numFmtId="0" fontId="37" fillId="10" borderId="78" xfId="0" applyFont="1" applyFill="1" applyBorder="1" applyAlignment="1">
      <alignment vertical="top" indent="2"/>
    </xf>
    <xf numFmtId="0" fontId="37" fillId="10" borderId="78" xfId="0" applyFont="1" applyFill="1" applyBorder="1" applyAlignment="1">
      <alignment vertical="top" indent="4"/>
    </xf>
    <xf numFmtId="0" fontId="38" fillId="10" borderId="83" xfId="0" applyFont="1" applyFill="1" applyBorder="1" applyAlignment="1">
      <alignment vertical="top" indent="6"/>
    </xf>
    <xf numFmtId="0" fontId="37" fillId="10" borderId="78" xfId="0" applyFont="1" applyFill="1" applyBorder="1" applyAlignment="1">
      <alignment vertical="top" indent="8"/>
    </xf>
    <xf numFmtId="0" fontId="38" fillId="10" borderId="83" xfId="0" applyFont="1" applyFill="1" applyBorder="1" applyAlignment="1">
      <alignment vertical="top" indent="2"/>
    </xf>
    <xf numFmtId="0" fontId="37" fillId="10" borderId="78" xfId="0" applyFont="1" applyFill="1" applyBorder="1" applyAlignment="1">
      <alignment vertical="top" indent="6"/>
    </xf>
    <xf numFmtId="0" fontId="38" fillId="10" borderId="83" xfId="0" applyFont="1" applyFill="1" applyBorder="1" applyAlignment="1">
      <alignment vertical="top" indent="4"/>
    </xf>
    <xf numFmtId="0" fontId="32" fillId="10" borderId="78" xfId="0" applyFont="1" applyFill="1" applyBorder="1"/>
    <xf numFmtId="0" fontId="38" fillId="10" borderId="16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2" xfId="53" applyNumberFormat="1" applyFont="1" applyFill="1" applyBorder="1" applyAlignment="1">
      <alignment horizontal="left"/>
    </xf>
    <xf numFmtId="164" fontId="31" fillId="2" borderId="93" xfId="53" applyNumberFormat="1" applyFont="1" applyFill="1" applyBorder="1" applyAlignment="1">
      <alignment horizontal="left"/>
    </xf>
    <xf numFmtId="164" fontId="31" fillId="2" borderId="44" xfId="53" applyNumberFormat="1" applyFont="1" applyFill="1" applyBorder="1" applyAlignment="1">
      <alignment horizontal="left"/>
    </xf>
    <xf numFmtId="3" fontId="31" fillId="2" borderId="44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0" fontId="32" fillId="0" borderId="17" xfId="0" applyFont="1" applyFill="1" applyBorder="1"/>
    <xf numFmtId="0" fontId="32" fillId="0" borderId="25" xfId="0" applyFont="1" applyFill="1" applyBorder="1"/>
    <xf numFmtId="164" fontId="32" fillId="0" borderId="25" xfId="0" applyNumberFormat="1" applyFont="1" applyFill="1" applyBorder="1"/>
    <xf numFmtId="164" fontId="32" fillId="0" borderId="25" xfId="0" applyNumberFormat="1" applyFont="1" applyFill="1" applyBorder="1" applyAlignment="1">
      <alignment horizontal="right"/>
    </xf>
    <xf numFmtId="3" fontId="32" fillId="0" borderId="25" xfId="0" applyNumberFormat="1" applyFont="1" applyFill="1" applyBorder="1"/>
    <xf numFmtId="3" fontId="32" fillId="0" borderId="18" xfId="0" applyNumberFormat="1" applyFont="1" applyFill="1" applyBorder="1"/>
    <xf numFmtId="0" fontId="0" fillId="0" borderId="94" xfId="0" applyBorder="1" applyAlignment="1">
      <alignment horizontal="center"/>
    </xf>
    <xf numFmtId="173" fontId="39" fillId="4" borderId="95" xfId="0" applyNumberFormat="1" applyFont="1" applyFill="1" applyBorder="1" applyAlignment="1">
      <alignment horizontal="center"/>
    </xf>
    <xf numFmtId="0" fontId="0" fillId="0" borderId="96" xfId="0" applyBorder="1"/>
    <xf numFmtId="0" fontId="0" fillId="0" borderId="97" xfId="0" applyBorder="1" applyAlignment="1">
      <alignment horizontal="right"/>
    </xf>
    <xf numFmtId="173" fontId="32" fillId="0" borderId="98" xfId="0" applyNumberFormat="1" applyFont="1" applyBorder="1" applyAlignment="1">
      <alignment horizontal="right"/>
    </xf>
    <xf numFmtId="0" fontId="0" fillId="0" borderId="97" xfId="0" applyBorder="1" applyAlignment="1">
      <alignment horizontal="right" wrapText="1"/>
    </xf>
    <xf numFmtId="175" fontId="32" fillId="0" borderId="98" xfId="0" applyNumberFormat="1" applyFont="1" applyBorder="1" applyAlignment="1">
      <alignment horizontal="right"/>
    </xf>
    <xf numFmtId="0" fontId="0" fillId="0" borderId="99" xfId="0" applyBorder="1" applyAlignment="1">
      <alignment horizontal="right"/>
    </xf>
    <xf numFmtId="173" fontId="32" fillId="0" borderId="100" xfId="0" applyNumberFormat="1" applyFont="1" applyBorder="1" applyAlignment="1">
      <alignment horizontal="right"/>
    </xf>
    <xf numFmtId="0" fontId="0" fillId="0" borderId="102" xfId="0" applyBorder="1"/>
    <xf numFmtId="0" fontId="0" fillId="0" borderId="101" xfId="0" applyBorder="1"/>
    <xf numFmtId="173" fontId="39" fillId="4" borderId="59" xfId="0" applyNumberFormat="1" applyFont="1" applyFill="1" applyBorder="1" applyAlignment="1">
      <alignment horizontal="center"/>
    </xf>
    <xf numFmtId="173" fontId="32" fillId="0" borderId="61" xfId="0" applyNumberFormat="1" applyFont="1" applyBorder="1" applyAlignment="1">
      <alignment horizontal="right"/>
    </xf>
    <xf numFmtId="173" fontId="32" fillId="0" borderId="61" xfId="0" applyNumberFormat="1" applyFont="1" applyBorder="1" applyAlignment="1">
      <alignment horizontal="right" wrapText="1"/>
    </xf>
    <xf numFmtId="175" fontId="32" fillId="0" borderId="61" xfId="0" applyNumberFormat="1" applyFont="1" applyBorder="1" applyAlignment="1">
      <alignment horizontal="right"/>
    </xf>
    <xf numFmtId="173" fontId="32" fillId="0" borderId="69" xfId="0" applyNumberFormat="1" applyFont="1" applyBorder="1" applyAlignment="1">
      <alignment horizontal="right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5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42" t="s">
        <v>62</v>
      </c>
      <c r="B1" s="242"/>
    </row>
    <row r="2" spans="1:3" ht="14.4" customHeight="1" thickBot="1" x14ac:dyDescent="0.35">
      <c r="A2" s="172" t="s">
        <v>159</v>
      </c>
      <c r="B2" s="41"/>
    </row>
    <row r="3" spans="1:3" ht="14.4" customHeight="1" thickBot="1" x14ac:dyDescent="0.35">
      <c r="A3" s="238" t="s">
        <v>77</v>
      </c>
      <c r="B3" s="239"/>
    </row>
    <row r="4" spans="1:3" ht="14.4" customHeight="1" x14ac:dyDescent="0.3">
      <c r="A4" s="108" t="str">
        <f t="shared" ref="A4:A7" si="0">HYPERLINK("#'"&amp;C4&amp;"'!A1",C4)</f>
        <v>Motivace</v>
      </c>
      <c r="B4" s="61" t="s">
        <v>71</v>
      </c>
      <c r="C4" s="42" t="s">
        <v>72</v>
      </c>
    </row>
    <row r="5" spans="1:3" ht="14.4" customHeight="1" x14ac:dyDescent="0.3">
      <c r="A5" s="109" t="str">
        <f t="shared" si="0"/>
        <v>HI</v>
      </c>
      <c r="B5" s="62" t="s">
        <v>74</v>
      </c>
      <c r="C5" s="42" t="s">
        <v>65</v>
      </c>
    </row>
    <row r="6" spans="1:3" ht="14.4" customHeight="1" x14ac:dyDescent="0.3">
      <c r="A6" s="110" t="str">
        <f t="shared" si="0"/>
        <v>Man Tab</v>
      </c>
      <c r="B6" s="63" t="s">
        <v>161</v>
      </c>
      <c r="C6" s="42" t="s">
        <v>66</v>
      </c>
    </row>
    <row r="7" spans="1:3" ht="14.4" customHeight="1" thickBot="1" x14ac:dyDescent="0.35">
      <c r="A7" s="111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40" t="s">
        <v>63</v>
      </c>
      <c r="B9" s="239"/>
    </row>
    <row r="10" spans="1:3" ht="14.4" customHeight="1" x14ac:dyDescent="0.3">
      <c r="A10" s="112" t="str">
        <f t="shared" ref="A10" si="1">HYPERLINK("#'"&amp;C10&amp;"'!A1",C10)</f>
        <v>Léky Žádanky</v>
      </c>
      <c r="B10" s="62" t="s">
        <v>75</v>
      </c>
      <c r="C10" s="42" t="s">
        <v>67</v>
      </c>
    </row>
    <row r="11" spans="1:3" ht="14.4" customHeight="1" x14ac:dyDescent="0.3">
      <c r="A11" s="110" t="str">
        <f t="shared" ref="A11:A13" si="2">HYPERLINK("#'"&amp;C11&amp;"'!A1",C11)</f>
        <v>LŽ Detail</v>
      </c>
      <c r="B11" s="63" t="s">
        <v>91</v>
      </c>
      <c r="C11" s="42" t="s">
        <v>68</v>
      </c>
    </row>
    <row r="12" spans="1:3" ht="14.4" customHeight="1" x14ac:dyDescent="0.3">
      <c r="A12" s="112" t="str">
        <f t="shared" ref="A12" si="3">HYPERLINK("#'"&amp;C12&amp;"'!A1",C12)</f>
        <v>Materiál Žádanky</v>
      </c>
      <c r="B12" s="63" t="s">
        <v>76</v>
      </c>
      <c r="C12" s="42" t="s">
        <v>69</v>
      </c>
    </row>
    <row r="13" spans="1:3" ht="14.4" customHeight="1" thickBot="1" x14ac:dyDescent="0.35">
      <c r="A13" s="112" t="str">
        <f t="shared" si="2"/>
        <v>Osobní náklady</v>
      </c>
      <c r="B13" s="63" t="s">
        <v>60</v>
      </c>
      <c r="C13" s="42" t="s">
        <v>70</v>
      </c>
    </row>
    <row r="14" spans="1:3" ht="14.4" customHeight="1" thickBot="1" x14ac:dyDescent="0.35">
      <c r="A14" s="66"/>
      <c r="B14" s="66"/>
    </row>
    <row r="15" spans="1:3" ht="14.4" customHeight="1" thickBot="1" x14ac:dyDescent="0.35">
      <c r="A15" s="241" t="s">
        <v>64</v>
      </c>
      <c r="B15" s="239"/>
    </row>
  </sheetData>
  <mergeCells count="4">
    <mergeCell ref="A3:B3"/>
    <mergeCell ref="A9:B9"/>
    <mergeCell ref="A15:B1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16"/>
  <sheetViews>
    <sheetView showGridLines="0" showRowColHeaders="0" workbookViewId="0"/>
  </sheetViews>
  <sheetFormatPr defaultRowHeight="14.4" x14ac:dyDescent="0.3"/>
  <cols>
    <col min="1" max="16384" width="8.88671875" style="168"/>
  </cols>
  <sheetData>
    <row r="1" spans="1:49" x14ac:dyDescent="0.3">
      <c r="A1" s="168" t="s">
        <v>260</v>
      </c>
    </row>
    <row r="2" spans="1:49" x14ac:dyDescent="0.3">
      <c r="A2" s="172" t="s">
        <v>159</v>
      </c>
    </row>
    <row r="3" spans="1:49" x14ac:dyDescent="0.3">
      <c r="A3" s="168" t="s">
        <v>93</v>
      </c>
      <c r="B3" s="191">
        <v>2016</v>
      </c>
      <c r="D3" s="169">
        <f>MAX(D5:D1048576)</f>
        <v>3</v>
      </c>
      <c r="F3" s="169">
        <f>SUMIF($E5:$E1048576,"&lt;10",F5:F1048576)</f>
        <v>679727</v>
      </c>
      <c r="G3" s="169">
        <f t="shared" ref="G3:AW3" si="0">SUMIF($E5:$E1048576,"&lt;10",G5:G1048576)</f>
        <v>0</v>
      </c>
      <c r="H3" s="169">
        <f t="shared" si="0"/>
        <v>0</v>
      </c>
      <c r="I3" s="169">
        <f t="shared" si="0"/>
        <v>0</v>
      </c>
      <c r="J3" s="169">
        <f t="shared" si="0"/>
        <v>0</v>
      </c>
      <c r="K3" s="169">
        <f t="shared" si="0"/>
        <v>0</v>
      </c>
      <c r="L3" s="169">
        <f t="shared" si="0"/>
        <v>0</v>
      </c>
      <c r="M3" s="169">
        <f t="shared" si="0"/>
        <v>0</v>
      </c>
      <c r="N3" s="169">
        <f t="shared" si="0"/>
        <v>0</v>
      </c>
      <c r="O3" s="169">
        <f t="shared" si="0"/>
        <v>0</v>
      </c>
      <c r="P3" s="169">
        <f t="shared" si="0"/>
        <v>0</v>
      </c>
      <c r="Q3" s="169">
        <f t="shared" si="0"/>
        <v>0</v>
      </c>
      <c r="R3" s="169">
        <f t="shared" si="0"/>
        <v>0</v>
      </c>
      <c r="S3" s="169">
        <f t="shared" si="0"/>
        <v>0</v>
      </c>
      <c r="T3" s="169">
        <f t="shared" si="0"/>
        <v>0</v>
      </c>
      <c r="U3" s="169">
        <f t="shared" si="0"/>
        <v>0</v>
      </c>
      <c r="V3" s="169">
        <f t="shared" si="0"/>
        <v>0</v>
      </c>
      <c r="W3" s="169">
        <f t="shared" si="0"/>
        <v>679727</v>
      </c>
      <c r="X3" s="169">
        <f t="shared" si="0"/>
        <v>0</v>
      </c>
      <c r="Y3" s="169">
        <f t="shared" si="0"/>
        <v>0</v>
      </c>
      <c r="Z3" s="169">
        <f t="shared" si="0"/>
        <v>0</v>
      </c>
      <c r="AA3" s="169">
        <f t="shared" si="0"/>
        <v>0</v>
      </c>
      <c r="AB3" s="169">
        <f t="shared" si="0"/>
        <v>0</v>
      </c>
      <c r="AC3" s="169">
        <f t="shared" si="0"/>
        <v>0</v>
      </c>
      <c r="AD3" s="169">
        <f t="shared" si="0"/>
        <v>0</v>
      </c>
      <c r="AE3" s="169">
        <f t="shared" si="0"/>
        <v>0</v>
      </c>
      <c r="AF3" s="169">
        <f t="shared" si="0"/>
        <v>0</v>
      </c>
      <c r="AG3" s="169">
        <f t="shared" si="0"/>
        <v>0</v>
      </c>
      <c r="AH3" s="169">
        <f t="shared" si="0"/>
        <v>0</v>
      </c>
      <c r="AI3" s="169">
        <f t="shared" si="0"/>
        <v>0</v>
      </c>
      <c r="AJ3" s="169">
        <f t="shared" si="0"/>
        <v>0</v>
      </c>
      <c r="AK3" s="169">
        <f t="shared" si="0"/>
        <v>0</v>
      </c>
      <c r="AL3" s="169">
        <f t="shared" si="0"/>
        <v>0</v>
      </c>
      <c r="AM3" s="169">
        <f t="shared" si="0"/>
        <v>0</v>
      </c>
      <c r="AN3" s="169">
        <f t="shared" si="0"/>
        <v>0</v>
      </c>
      <c r="AO3" s="169">
        <f t="shared" si="0"/>
        <v>0</v>
      </c>
      <c r="AP3" s="169">
        <f t="shared" si="0"/>
        <v>0</v>
      </c>
      <c r="AQ3" s="169">
        <f t="shared" si="0"/>
        <v>0</v>
      </c>
      <c r="AR3" s="169">
        <f t="shared" si="0"/>
        <v>0</v>
      </c>
      <c r="AS3" s="169">
        <f t="shared" si="0"/>
        <v>0</v>
      </c>
      <c r="AT3" s="169">
        <f t="shared" si="0"/>
        <v>0</v>
      </c>
      <c r="AU3" s="169">
        <f t="shared" si="0"/>
        <v>0</v>
      </c>
      <c r="AV3" s="169">
        <f t="shared" si="0"/>
        <v>0</v>
      </c>
      <c r="AW3" s="169">
        <f t="shared" si="0"/>
        <v>0</v>
      </c>
    </row>
    <row r="4" spans="1:49" x14ac:dyDescent="0.3">
      <c r="A4" s="168" t="s">
        <v>94</v>
      </c>
      <c r="B4" s="191">
        <v>1</v>
      </c>
      <c r="C4" s="170" t="s">
        <v>4</v>
      </c>
      <c r="D4" s="171" t="s">
        <v>51</v>
      </c>
      <c r="E4" s="171" t="s">
        <v>92</v>
      </c>
      <c r="F4" s="171" t="s">
        <v>2</v>
      </c>
      <c r="G4" s="171">
        <v>0</v>
      </c>
      <c r="H4" s="171">
        <v>25</v>
      </c>
      <c r="I4" s="171">
        <v>99</v>
      </c>
      <c r="J4" s="171">
        <v>100</v>
      </c>
      <c r="K4" s="171">
        <v>101</v>
      </c>
      <c r="L4" s="171">
        <v>102</v>
      </c>
      <c r="M4" s="171">
        <v>103</v>
      </c>
      <c r="N4" s="171">
        <v>203</v>
      </c>
      <c r="O4" s="171">
        <v>302</v>
      </c>
      <c r="P4" s="171">
        <v>303</v>
      </c>
      <c r="Q4" s="171">
        <v>304</v>
      </c>
      <c r="R4" s="171">
        <v>305</v>
      </c>
      <c r="S4" s="171">
        <v>306</v>
      </c>
      <c r="T4" s="171">
        <v>407</v>
      </c>
      <c r="U4" s="171">
        <v>408</v>
      </c>
      <c r="V4" s="171">
        <v>409</v>
      </c>
      <c r="W4" s="171">
        <v>410</v>
      </c>
      <c r="X4" s="171">
        <v>415</v>
      </c>
      <c r="Y4" s="171">
        <v>416</v>
      </c>
      <c r="Z4" s="171">
        <v>418</v>
      </c>
      <c r="AA4" s="171">
        <v>419</v>
      </c>
      <c r="AB4" s="171">
        <v>420</v>
      </c>
      <c r="AC4" s="171">
        <v>421</v>
      </c>
      <c r="AD4" s="171">
        <v>520</v>
      </c>
      <c r="AE4" s="171">
        <v>521</v>
      </c>
      <c r="AF4" s="171">
        <v>522</v>
      </c>
      <c r="AG4" s="171">
        <v>523</v>
      </c>
      <c r="AH4" s="171">
        <v>524</v>
      </c>
      <c r="AI4" s="171">
        <v>525</v>
      </c>
      <c r="AJ4" s="171">
        <v>526</v>
      </c>
      <c r="AK4" s="171">
        <v>527</v>
      </c>
      <c r="AL4" s="171">
        <v>528</v>
      </c>
      <c r="AM4" s="171">
        <v>629</v>
      </c>
      <c r="AN4" s="171">
        <v>630</v>
      </c>
      <c r="AO4" s="171">
        <v>636</v>
      </c>
      <c r="AP4" s="171">
        <v>637</v>
      </c>
      <c r="AQ4" s="171">
        <v>640</v>
      </c>
      <c r="AR4" s="171">
        <v>642</v>
      </c>
      <c r="AS4" s="171">
        <v>743</v>
      </c>
      <c r="AT4" s="171">
        <v>745</v>
      </c>
      <c r="AU4" s="171">
        <v>746</v>
      </c>
      <c r="AV4" s="171">
        <v>747</v>
      </c>
      <c r="AW4" s="171">
        <v>930</v>
      </c>
    </row>
    <row r="5" spans="1:49" x14ac:dyDescent="0.3">
      <c r="A5" s="168" t="s">
        <v>95</v>
      </c>
      <c r="B5" s="191">
        <v>2</v>
      </c>
      <c r="C5" s="168">
        <v>45</v>
      </c>
      <c r="D5" s="168">
        <v>1</v>
      </c>
      <c r="E5" s="168">
        <v>1</v>
      </c>
      <c r="F5" s="168">
        <v>7</v>
      </c>
      <c r="G5" s="168">
        <v>0</v>
      </c>
      <c r="H5" s="168">
        <v>0</v>
      </c>
      <c r="I5" s="168">
        <v>0</v>
      </c>
      <c r="J5" s="168">
        <v>0</v>
      </c>
      <c r="K5" s="168">
        <v>0</v>
      </c>
      <c r="L5" s="168">
        <v>0</v>
      </c>
      <c r="M5" s="168">
        <v>0</v>
      </c>
      <c r="N5" s="168">
        <v>0</v>
      </c>
      <c r="O5" s="168">
        <v>0</v>
      </c>
      <c r="P5" s="168">
        <v>0</v>
      </c>
      <c r="Q5" s="168">
        <v>0</v>
      </c>
      <c r="R5" s="168">
        <v>0</v>
      </c>
      <c r="S5" s="168">
        <v>0</v>
      </c>
      <c r="T5" s="168">
        <v>0</v>
      </c>
      <c r="U5" s="168">
        <v>0</v>
      </c>
      <c r="V5" s="168">
        <v>0</v>
      </c>
      <c r="W5" s="168">
        <v>7</v>
      </c>
      <c r="X5" s="168">
        <v>0</v>
      </c>
      <c r="Y5" s="168">
        <v>0</v>
      </c>
      <c r="Z5" s="168">
        <v>0</v>
      </c>
      <c r="AA5" s="168">
        <v>0</v>
      </c>
      <c r="AB5" s="168">
        <v>0</v>
      </c>
      <c r="AC5" s="168">
        <v>0</v>
      </c>
      <c r="AD5" s="168">
        <v>0</v>
      </c>
      <c r="AE5" s="168">
        <v>0</v>
      </c>
      <c r="AF5" s="168">
        <v>0</v>
      </c>
      <c r="AG5" s="168">
        <v>0</v>
      </c>
      <c r="AH5" s="168">
        <v>0</v>
      </c>
      <c r="AI5" s="168">
        <v>0</v>
      </c>
      <c r="AJ5" s="168">
        <v>0</v>
      </c>
      <c r="AK5" s="168">
        <v>0</v>
      </c>
      <c r="AL5" s="168">
        <v>0</v>
      </c>
      <c r="AM5" s="168">
        <v>0</v>
      </c>
      <c r="AN5" s="168">
        <v>0</v>
      </c>
      <c r="AO5" s="168">
        <v>0</v>
      </c>
      <c r="AP5" s="168">
        <v>0</v>
      </c>
      <c r="AQ5" s="168">
        <v>0</v>
      </c>
      <c r="AR5" s="168">
        <v>0</v>
      </c>
      <c r="AS5" s="168">
        <v>0</v>
      </c>
      <c r="AT5" s="168">
        <v>0</v>
      </c>
      <c r="AU5" s="168">
        <v>0</v>
      </c>
      <c r="AV5" s="168">
        <v>0</v>
      </c>
      <c r="AW5" s="168">
        <v>0</v>
      </c>
    </row>
    <row r="6" spans="1:49" x14ac:dyDescent="0.3">
      <c r="A6" s="168" t="s">
        <v>96</v>
      </c>
      <c r="B6" s="191">
        <v>3</v>
      </c>
      <c r="C6" s="168">
        <v>45</v>
      </c>
      <c r="D6" s="168">
        <v>1</v>
      </c>
      <c r="E6" s="168">
        <v>2</v>
      </c>
      <c r="F6" s="168">
        <v>1112</v>
      </c>
      <c r="G6" s="168">
        <v>0</v>
      </c>
      <c r="H6" s="168">
        <v>0</v>
      </c>
      <c r="I6" s="168">
        <v>0</v>
      </c>
      <c r="J6" s="168">
        <v>0</v>
      </c>
      <c r="K6" s="168">
        <v>0</v>
      </c>
      <c r="L6" s="168">
        <v>0</v>
      </c>
      <c r="M6" s="168">
        <v>0</v>
      </c>
      <c r="N6" s="168">
        <v>0</v>
      </c>
      <c r="O6" s="168">
        <v>0</v>
      </c>
      <c r="P6" s="168">
        <v>0</v>
      </c>
      <c r="Q6" s="168">
        <v>0</v>
      </c>
      <c r="R6" s="168">
        <v>0</v>
      </c>
      <c r="S6" s="168">
        <v>0</v>
      </c>
      <c r="T6" s="168">
        <v>0</v>
      </c>
      <c r="U6" s="168">
        <v>0</v>
      </c>
      <c r="V6" s="168">
        <v>0</v>
      </c>
      <c r="W6" s="168">
        <v>1112</v>
      </c>
      <c r="X6" s="168">
        <v>0</v>
      </c>
      <c r="Y6" s="168">
        <v>0</v>
      </c>
      <c r="Z6" s="168">
        <v>0</v>
      </c>
      <c r="AA6" s="168">
        <v>0</v>
      </c>
      <c r="AB6" s="168">
        <v>0</v>
      </c>
      <c r="AC6" s="168">
        <v>0</v>
      </c>
      <c r="AD6" s="168">
        <v>0</v>
      </c>
      <c r="AE6" s="168">
        <v>0</v>
      </c>
      <c r="AF6" s="168">
        <v>0</v>
      </c>
      <c r="AG6" s="168">
        <v>0</v>
      </c>
      <c r="AH6" s="168">
        <v>0</v>
      </c>
      <c r="AI6" s="168">
        <v>0</v>
      </c>
      <c r="AJ6" s="168">
        <v>0</v>
      </c>
      <c r="AK6" s="168">
        <v>0</v>
      </c>
      <c r="AL6" s="168">
        <v>0</v>
      </c>
      <c r="AM6" s="168">
        <v>0</v>
      </c>
      <c r="AN6" s="168">
        <v>0</v>
      </c>
      <c r="AO6" s="168">
        <v>0</v>
      </c>
      <c r="AP6" s="168">
        <v>0</v>
      </c>
      <c r="AQ6" s="168">
        <v>0</v>
      </c>
      <c r="AR6" s="168">
        <v>0</v>
      </c>
      <c r="AS6" s="168">
        <v>0</v>
      </c>
      <c r="AT6" s="168">
        <v>0</v>
      </c>
      <c r="AU6" s="168">
        <v>0</v>
      </c>
      <c r="AV6" s="168">
        <v>0</v>
      </c>
      <c r="AW6" s="168">
        <v>0</v>
      </c>
    </row>
    <row r="7" spans="1:49" x14ac:dyDescent="0.3">
      <c r="A7" s="168" t="s">
        <v>97</v>
      </c>
      <c r="B7" s="191">
        <v>4</v>
      </c>
      <c r="C7" s="168">
        <v>45</v>
      </c>
      <c r="D7" s="168">
        <v>1</v>
      </c>
      <c r="E7" s="168">
        <v>6</v>
      </c>
      <c r="F7" s="168">
        <v>226973</v>
      </c>
      <c r="G7" s="168">
        <v>0</v>
      </c>
      <c r="H7" s="168">
        <v>0</v>
      </c>
      <c r="I7" s="168">
        <v>0</v>
      </c>
      <c r="J7" s="168">
        <v>0</v>
      </c>
      <c r="K7" s="168">
        <v>0</v>
      </c>
      <c r="L7" s="168">
        <v>0</v>
      </c>
      <c r="M7" s="168">
        <v>0</v>
      </c>
      <c r="N7" s="168">
        <v>0</v>
      </c>
      <c r="O7" s="168">
        <v>0</v>
      </c>
      <c r="P7" s="168">
        <v>0</v>
      </c>
      <c r="Q7" s="168">
        <v>0</v>
      </c>
      <c r="R7" s="168">
        <v>0</v>
      </c>
      <c r="S7" s="168">
        <v>0</v>
      </c>
      <c r="T7" s="168">
        <v>0</v>
      </c>
      <c r="U7" s="168">
        <v>0</v>
      </c>
      <c r="V7" s="168">
        <v>0</v>
      </c>
      <c r="W7" s="168">
        <v>226973</v>
      </c>
      <c r="X7" s="168">
        <v>0</v>
      </c>
      <c r="Y7" s="168">
        <v>0</v>
      </c>
      <c r="Z7" s="168">
        <v>0</v>
      </c>
      <c r="AA7" s="168">
        <v>0</v>
      </c>
      <c r="AB7" s="168">
        <v>0</v>
      </c>
      <c r="AC7" s="168">
        <v>0</v>
      </c>
      <c r="AD7" s="168">
        <v>0</v>
      </c>
      <c r="AE7" s="168">
        <v>0</v>
      </c>
      <c r="AF7" s="168">
        <v>0</v>
      </c>
      <c r="AG7" s="168">
        <v>0</v>
      </c>
      <c r="AH7" s="168">
        <v>0</v>
      </c>
      <c r="AI7" s="168">
        <v>0</v>
      </c>
      <c r="AJ7" s="168">
        <v>0</v>
      </c>
      <c r="AK7" s="168">
        <v>0</v>
      </c>
      <c r="AL7" s="168">
        <v>0</v>
      </c>
      <c r="AM7" s="168">
        <v>0</v>
      </c>
      <c r="AN7" s="168">
        <v>0</v>
      </c>
      <c r="AO7" s="168">
        <v>0</v>
      </c>
      <c r="AP7" s="168">
        <v>0</v>
      </c>
      <c r="AQ7" s="168">
        <v>0</v>
      </c>
      <c r="AR7" s="168">
        <v>0</v>
      </c>
      <c r="AS7" s="168">
        <v>0</v>
      </c>
      <c r="AT7" s="168">
        <v>0</v>
      </c>
      <c r="AU7" s="168">
        <v>0</v>
      </c>
      <c r="AV7" s="168">
        <v>0</v>
      </c>
      <c r="AW7" s="168">
        <v>0</v>
      </c>
    </row>
    <row r="8" spans="1:49" x14ac:dyDescent="0.3">
      <c r="A8" s="168" t="s">
        <v>98</v>
      </c>
      <c r="B8" s="191">
        <v>5</v>
      </c>
      <c r="C8" s="168">
        <v>45</v>
      </c>
      <c r="D8" s="168">
        <v>2</v>
      </c>
      <c r="E8" s="168">
        <v>1</v>
      </c>
      <c r="F8" s="168">
        <v>7</v>
      </c>
      <c r="G8" s="168">
        <v>0</v>
      </c>
      <c r="H8" s="168">
        <v>0</v>
      </c>
      <c r="I8" s="168">
        <v>0</v>
      </c>
      <c r="J8" s="168">
        <v>0</v>
      </c>
      <c r="K8" s="168">
        <v>0</v>
      </c>
      <c r="L8" s="168">
        <v>0</v>
      </c>
      <c r="M8" s="168">
        <v>0</v>
      </c>
      <c r="N8" s="168">
        <v>0</v>
      </c>
      <c r="O8" s="168">
        <v>0</v>
      </c>
      <c r="P8" s="168">
        <v>0</v>
      </c>
      <c r="Q8" s="168">
        <v>0</v>
      </c>
      <c r="R8" s="168">
        <v>0</v>
      </c>
      <c r="S8" s="168">
        <v>0</v>
      </c>
      <c r="T8" s="168">
        <v>0</v>
      </c>
      <c r="U8" s="168">
        <v>0</v>
      </c>
      <c r="V8" s="168">
        <v>0</v>
      </c>
      <c r="W8" s="168">
        <v>7</v>
      </c>
      <c r="X8" s="168">
        <v>0</v>
      </c>
      <c r="Y8" s="168">
        <v>0</v>
      </c>
      <c r="Z8" s="168">
        <v>0</v>
      </c>
      <c r="AA8" s="168">
        <v>0</v>
      </c>
      <c r="AB8" s="168">
        <v>0</v>
      </c>
      <c r="AC8" s="168">
        <v>0</v>
      </c>
      <c r="AD8" s="168">
        <v>0</v>
      </c>
      <c r="AE8" s="168">
        <v>0</v>
      </c>
      <c r="AF8" s="168">
        <v>0</v>
      </c>
      <c r="AG8" s="168">
        <v>0</v>
      </c>
      <c r="AH8" s="168">
        <v>0</v>
      </c>
      <c r="AI8" s="168">
        <v>0</v>
      </c>
      <c r="AJ8" s="168">
        <v>0</v>
      </c>
      <c r="AK8" s="168">
        <v>0</v>
      </c>
      <c r="AL8" s="168">
        <v>0</v>
      </c>
      <c r="AM8" s="168">
        <v>0</v>
      </c>
      <c r="AN8" s="168">
        <v>0</v>
      </c>
      <c r="AO8" s="168">
        <v>0</v>
      </c>
      <c r="AP8" s="168">
        <v>0</v>
      </c>
      <c r="AQ8" s="168">
        <v>0</v>
      </c>
      <c r="AR8" s="168">
        <v>0</v>
      </c>
      <c r="AS8" s="168">
        <v>0</v>
      </c>
      <c r="AT8" s="168">
        <v>0</v>
      </c>
      <c r="AU8" s="168">
        <v>0</v>
      </c>
      <c r="AV8" s="168">
        <v>0</v>
      </c>
      <c r="AW8" s="168">
        <v>0</v>
      </c>
    </row>
    <row r="9" spans="1:49" x14ac:dyDescent="0.3">
      <c r="A9" s="168" t="s">
        <v>99</v>
      </c>
      <c r="B9" s="191">
        <v>6</v>
      </c>
      <c r="C9" s="168">
        <v>45</v>
      </c>
      <c r="D9" s="168">
        <v>2</v>
      </c>
      <c r="E9" s="168">
        <v>2</v>
      </c>
      <c r="F9" s="168">
        <v>1084</v>
      </c>
      <c r="G9" s="168">
        <v>0</v>
      </c>
      <c r="H9" s="168">
        <v>0</v>
      </c>
      <c r="I9" s="168">
        <v>0</v>
      </c>
      <c r="J9" s="168">
        <v>0</v>
      </c>
      <c r="K9" s="168">
        <v>0</v>
      </c>
      <c r="L9" s="168">
        <v>0</v>
      </c>
      <c r="M9" s="168">
        <v>0</v>
      </c>
      <c r="N9" s="168">
        <v>0</v>
      </c>
      <c r="O9" s="168">
        <v>0</v>
      </c>
      <c r="P9" s="168">
        <v>0</v>
      </c>
      <c r="Q9" s="168">
        <v>0</v>
      </c>
      <c r="R9" s="168">
        <v>0</v>
      </c>
      <c r="S9" s="168">
        <v>0</v>
      </c>
      <c r="T9" s="168">
        <v>0</v>
      </c>
      <c r="U9" s="168">
        <v>0</v>
      </c>
      <c r="V9" s="168">
        <v>0</v>
      </c>
      <c r="W9" s="168">
        <v>1084</v>
      </c>
      <c r="X9" s="168">
        <v>0</v>
      </c>
      <c r="Y9" s="168">
        <v>0</v>
      </c>
      <c r="Z9" s="168">
        <v>0</v>
      </c>
      <c r="AA9" s="168">
        <v>0</v>
      </c>
      <c r="AB9" s="168">
        <v>0</v>
      </c>
      <c r="AC9" s="168">
        <v>0</v>
      </c>
      <c r="AD9" s="168">
        <v>0</v>
      </c>
      <c r="AE9" s="168">
        <v>0</v>
      </c>
      <c r="AF9" s="168">
        <v>0</v>
      </c>
      <c r="AG9" s="168">
        <v>0</v>
      </c>
      <c r="AH9" s="168">
        <v>0</v>
      </c>
      <c r="AI9" s="168">
        <v>0</v>
      </c>
      <c r="AJ9" s="168">
        <v>0</v>
      </c>
      <c r="AK9" s="168">
        <v>0</v>
      </c>
      <c r="AL9" s="168">
        <v>0</v>
      </c>
      <c r="AM9" s="168">
        <v>0</v>
      </c>
      <c r="AN9" s="168">
        <v>0</v>
      </c>
      <c r="AO9" s="168">
        <v>0</v>
      </c>
      <c r="AP9" s="168">
        <v>0</v>
      </c>
      <c r="AQ9" s="168">
        <v>0</v>
      </c>
      <c r="AR9" s="168">
        <v>0</v>
      </c>
      <c r="AS9" s="168">
        <v>0</v>
      </c>
      <c r="AT9" s="168">
        <v>0</v>
      </c>
      <c r="AU9" s="168">
        <v>0</v>
      </c>
      <c r="AV9" s="168">
        <v>0</v>
      </c>
      <c r="AW9" s="168">
        <v>0</v>
      </c>
    </row>
    <row r="10" spans="1:49" x14ac:dyDescent="0.3">
      <c r="A10" s="168" t="s">
        <v>100</v>
      </c>
      <c r="B10" s="191">
        <v>7</v>
      </c>
      <c r="C10" s="168">
        <v>45</v>
      </c>
      <c r="D10" s="168">
        <v>2</v>
      </c>
      <c r="E10" s="168">
        <v>6</v>
      </c>
      <c r="F10" s="168">
        <v>223261</v>
      </c>
      <c r="G10" s="168">
        <v>0</v>
      </c>
      <c r="H10" s="168">
        <v>0</v>
      </c>
      <c r="I10" s="168">
        <v>0</v>
      </c>
      <c r="J10" s="168">
        <v>0</v>
      </c>
      <c r="K10" s="168">
        <v>0</v>
      </c>
      <c r="L10" s="168">
        <v>0</v>
      </c>
      <c r="M10" s="168">
        <v>0</v>
      </c>
      <c r="N10" s="168">
        <v>0</v>
      </c>
      <c r="O10" s="168">
        <v>0</v>
      </c>
      <c r="P10" s="168">
        <v>0</v>
      </c>
      <c r="Q10" s="168">
        <v>0</v>
      </c>
      <c r="R10" s="168">
        <v>0</v>
      </c>
      <c r="S10" s="168">
        <v>0</v>
      </c>
      <c r="T10" s="168">
        <v>0</v>
      </c>
      <c r="U10" s="168">
        <v>0</v>
      </c>
      <c r="V10" s="168">
        <v>0</v>
      </c>
      <c r="W10" s="168">
        <v>223261</v>
      </c>
      <c r="X10" s="168">
        <v>0</v>
      </c>
      <c r="Y10" s="168">
        <v>0</v>
      </c>
      <c r="Z10" s="168">
        <v>0</v>
      </c>
      <c r="AA10" s="168">
        <v>0</v>
      </c>
      <c r="AB10" s="168">
        <v>0</v>
      </c>
      <c r="AC10" s="168">
        <v>0</v>
      </c>
      <c r="AD10" s="168">
        <v>0</v>
      </c>
      <c r="AE10" s="168">
        <v>0</v>
      </c>
      <c r="AF10" s="168">
        <v>0</v>
      </c>
      <c r="AG10" s="168">
        <v>0</v>
      </c>
      <c r="AH10" s="168">
        <v>0</v>
      </c>
      <c r="AI10" s="168">
        <v>0</v>
      </c>
      <c r="AJ10" s="168">
        <v>0</v>
      </c>
      <c r="AK10" s="168">
        <v>0</v>
      </c>
      <c r="AL10" s="168">
        <v>0</v>
      </c>
      <c r="AM10" s="168">
        <v>0</v>
      </c>
      <c r="AN10" s="168">
        <v>0</v>
      </c>
      <c r="AO10" s="168">
        <v>0</v>
      </c>
      <c r="AP10" s="168">
        <v>0</v>
      </c>
      <c r="AQ10" s="168">
        <v>0</v>
      </c>
      <c r="AR10" s="168">
        <v>0</v>
      </c>
      <c r="AS10" s="168">
        <v>0</v>
      </c>
      <c r="AT10" s="168">
        <v>0</v>
      </c>
      <c r="AU10" s="168">
        <v>0</v>
      </c>
      <c r="AV10" s="168">
        <v>0</v>
      </c>
      <c r="AW10" s="168">
        <v>0</v>
      </c>
    </row>
    <row r="11" spans="1:49" x14ac:dyDescent="0.3">
      <c r="A11" s="168" t="s">
        <v>101</v>
      </c>
      <c r="B11" s="191">
        <v>8</v>
      </c>
      <c r="C11" s="168">
        <v>45</v>
      </c>
      <c r="D11" s="168">
        <v>3</v>
      </c>
      <c r="E11" s="168">
        <v>1</v>
      </c>
      <c r="F11" s="168">
        <v>7</v>
      </c>
      <c r="G11" s="168">
        <v>0</v>
      </c>
      <c r="H11" s="168">
        <v>0</v>
      </c>
      <c r="I11" s="168">
        <v>0</v>
      </c>
      <c r="J11" s="168">
        <v>0</v>
      </c>
      <c r="K11" s="168">
        <v>0</v>
      </c>
      <c r="L11" s="168">
        <v>0</v>
      </c>
      <c r="M11" s="168">
        <v>0</v>
      </c>
      <c r="N11" s="168">
        <v>0</v>
      </c>
      <c r="O11" s="168">
        <v>0</v>
      </c>
      <c r="P11" s="168">
        <v>0</v>
      </c>
      <c r="Q11" s="168">
        <v>0</v>
      </c>
      <c r="R11" s="168">
        <v>0</v>
      </c>
      <c r="S11" s="168">
        <v>0</v>
      </c>
      <c r="T11" s="168">
        <v>0</v>
      </c>
      <c r="U11" s="168">
        <v>0</v>
      </c>
      <c r="V11" s="168">
        <v>0</v>
      </c>
      <c r="W11" s="168">
        <v>7</v>
      </c>
      <c r="X11" s="168">
        <v>0</v>
      </c>
      <c r="Y11" s="168">
        <v>0</v>
      </c>
      <c r="Z11" s="168">
        <v>0</v>
      </c>
      <c r="AA11" s="168">
        <v>0</v>
      </c>
      <c r="AB11" s="168">
        <v>0</v>
      </c>
      <c r="AC11" s="168">
        <v>0</v>
      </c>
      <c r="AD11" s="168">
        <v>0</v>
      </c>
      <c r="AE11" s="168">
        <v>0</v>
      </c>
      <c r="AF11" s="168">
        <v>0</v>
      </c>
      <c r="AG11" s="168">
        <v>0</v>
      </c>
      <c r="AH11" s="168">
        <v>0</v>
      </c>
      <c r="AI11" s="168">
        <v>0</v>
      </c>
      <c r="AJ11" s="168">
        <v>0</v>
      </c>
      <c r="AK11" s="168">
        <v>0</v>
      </c>
      <c r="AL11" s="168">
        <v>0</v>
      </c>
      <c r="AM11" s="168">
        <v>0</v>
      </c>
      <c r="AN11" s="168">
        <v>0</v>
      </c>
      <c r="AO11" s="168">
        <v>0</v>
      </c>
      <c r="AP11" s="168">
        <v>0</v>
      </c>
      <c r="AQ11" s="168">
        <v>0</v>
      </c>
      <c r="AR11" s="168">
        <v>0</v>
      </c>
      <c r="AS11" s="168">
        <v>0</v>
      </c>
      <c r="AT11" s="168">
        <v>0</v>
      </c>
      <c r="AU11" s="168">
        <v>0</v>
      </c>
      <c r="AV11" s="168">
        <v>0</v>
      </c>
      <c r="AW11" s="168">
        <v>0</v>
      </c>
    </row>
    <row r="12" spans="1:49" x14ac:dyDescent="0.3">
      <c r="A12" s="168" t="s">
        <v>102</v>
      </c>
      <c r="B12" s="191">
        <v>9</v>
      </c>
      <c r="C12" s="168">
        <v>45</v>
      </c>
      <c r="D12" s="168">
        <v>3</v>
      </c>
      <c r="E12" s="168">
        <v>2</v>
      </c>
      <c r="F12" s="168">
        <v>1248</v>
      </c>
      <c r="G12" s="168">
        <v>0</v>
      </c>
      <c r="H12" s="168">
        <v>0</v>
      </c>
      <c r="I12" s="168">
        <v>0</v>
      </c>
      <c r="J12" s="168">
        <v>0</v>
      </c>
      <c r="K12" s="168">
        <v>0</v>
      </c>
      <c r="L12" s="168">
        <v>0</v>
      </c>
      <c r="M12" s="168">
        <v>0</v>
      </c>
      <c r="N12" s="168">
        <v>0</v>
      </c>
      <c r="O12" s="168">
        <v>0</v>
      </c>
      <c r="P12" s="168">
        <v>0</v>
      </c>
      <c r="Q12" s="168">
        <v>0</v>
      </c>
      <c r="R12" s="168">
        <v>0</v>
      </c>
      <c r="S12" s="168">
        <v>0</v>
      </c>
      <c r="T12" s="168">
        <v>0</v>
      </c>
      <c r="U12" s="168">
        <v>0</v>
      </c>
      <c r="V12" s="168">
        <v>0</v>
      </c>
      <c r="W12" s="168">
        <v>1248</v>
      </c>
      <c r="X12" s="168">
        <v>0</v>
      </c>
      <c r="Y12" s="168">
        <v>0</v>
      </c>
      <c r="Z12" s="168">
        <v>0</v>
      </c>
      <c r="AA12" s="168">
        <v>0</v>
      </c>
      <c r="AB12" s="168">
        <v>0</v>
      </c>
      <c r="AC12" s="168">
        <v>0</v>
      </c>
      <c r="AD12" s="168">
        <v>0</v>
      </c>
      <c r="AE12" s="168">
        <v>0</v>
      </c>
      <c r="AF12" s="168">
        <v>0</v>
      </c>
      <c r="AG12" s="168">
        <v>0</v>
      </c>
      <c r="AH12" s="168">
        <v>0</v>
      </c>
      <c r="AI12" s="168">
        <v>0</v>
      </c>
      <c r="AJ12" s="168">
        <v>0</v>
      </c>
      <c r="AK12" s="168">
        <v>0</v>
      </c>
      <c r="AL12" s="168">
        <v>0</v>
      </c>
      <c r="AM12" s="168">
        <v>0</v>
      </c>
      <c r="AN12" s="168">
        <v>0</v>
      </c>
      <c r="AO12" s="168">
        <v>0</v>
      </c>
      <c r="AP12" s="168">
        <v>0</v>
      </c>
      <c r="AQ12" s="168">
        <v>0</v>
      </c>
      <c r="AR12" s="168">
        <v>0</v>
      </c>
      <c r="AS12" s="168">
        <v>0</v>
      </c>
      <c r="AT12" s="168">
        <v>0</v>
      </c>
      <c r="AU12" s="168">
        <v>0</v>
      </c>
      <c r="AV12" s="168">
        <v>0</v>
      </c>
      <c r="AW12" s="168">
        <v>0</v>
      </c>
    </row>
    <row r="13" spans="1:49" x14ac:dyDescent="0.3">
      <c r="A13" s="168" t="s">
        <v>103</v>
      </c>
      <c r="B13" s="191">
        <v>10</v>
      </c>
      <c r="C13" s="168">
        <v>45</v>
      </c>
      <c r="D13" s="168">
        <v>3</v>
      </c>
      <c r="E13" s="168">
        <v>6</v>
      </c>
      <c r="F13" s="168">
        <v>226028</v>
      </c>
      <c r="G13" s="168">
        <v>0</v>
      </c>
      <c r="H13" s="168">
        <v>0</v>
      </c>
      <c r="I13" s="168">
        <v>0</v>
      </c>
      <c r="J13" s="168">
        <v>0</v>
      </c>
      <c r="K13" s="168">
        <v>0</v>
      </c>
      <c r="L13" s="168">
        <v>0</v>
      </c>
      <c r="M13" s="168">
        <v>0</v>
      </c>
      <c r="N13" s="168">
        <v>0</v>
      </c>
      <c r="O13" s="168">
        <v>0</v>
      </c>
      <c r="P13" s="168">
        <v>0</v>
      </c>
      <c r="Q13" s="168">
        <v>0</v>
      </c>
      <c r="R13" s="168">
        <v>0</v>
      </c>
      <c r="S13" s="168">
        <v>0</v>
      </c>
      <c r="T13" s="168">
        <v>0</v>
      </c>
      <c r="U13" s="168">
        <v>0</v>
      </c>
      <c r="V13" s="168">
        <v>0</v>
      </c>
      <c r="W13" s="168">
        <v>226028</v>
      </c>
      <c r="X13" s="168">
        <v>0</v>
      </c>
      <c r="Y13" s="168">
        <v>0</v>
      </c>
      <c r="Z13" s="168">
        <v>0</v>
      </c>
      <c r="AA13" s="168">
        <v>0</v>
      </c>
      <c r="AB13" s="168">
        <v>0</v>
      </c>
      <c r="AC13" s="168">
        <v>0</v>
      </c>
      <c r="AD13" s="168">
        <v>0</v>
      </c>
      <c r="AE13" s="168">
        <v>0</v>
      </c>
      <c r="AF13" s="168">
        <v>0</v>
      </c>
      <c r="AG13" s="168">
        <v>0</v>
      </c>
      <c r="AH13" s="168">
        <v>0</v>
      </c>
      <c r="AI13" s="168">
        <v>0</v>
      </c>
      <c r="AJ13" s="168">
        <v>0</v>
      </c>
      <c r="AK13" s="168">
        <v>0</v>
      </c>
      <c r="AL13" s="168">
        <v>0</v>
      </c>
      <c r="AM13" s="168">
        <v>0</v>
      </c>
      <c r="AN13" s="168">
        <v>0</v>
      </c>
      <c r="AO13" s="168">
        <v>0</v>
      </c>
      <c r="AP13" s="168">
        <v>0</v>
      </c>
      <c r="AQ13" s="168">
        <v>0</v>
      </c>
      <c r="AR13" s="168">
        <v>0</v>
      </c>
      <c r="AS13" s="168">
        <v>0</v>
      </c>
      <c r="AT13" s="168">
        <v>0</v>
      </c>
      <c r="AU13" s="168">
        <v>0</v>
      </c>
      <c r="AV13" s="168">
        <v>0</v>
      </c>
      <c r="AW13" s="168">
        <v>0</v>
      </c>
    </row>
    <row r="14" spans="1:49" x14ac:dyDescent="0.3">
      <c r="A14" s="168" t="s">
        <v>104</v>
      </c>
      <c r="B14" s="191">
        <v>11</v>
      </c>
      <c r="C14" s="168">
        <v>45</v>
      </c>
      <c r="D14" s="168">
        <v>3</v>
      </c>
      <c r="E14" s="168">
        <v>10</v>
      </c>
      <c r="F14" s="168">
        <v>110</v>
      </c>
      <c r="G14" s="168">
        <v>0</v>
      </c>
      <c r="H14" s="168">
        <v>0</v>
      </c>
      <c r="I14" s="168">
        <v>0</v>
      </c>
      <c r="J14" s="168">
        <v>110</v>
      </c>
      <c r="K14" s="168">
        <v>0</v>
      </c>
      <c r="L14" s="168">
        <v>0</v>
      </c>
      <c r="M14" s="168">
        <v>0</v>
      </c>
      <c r="N14" s="168">
        <v>0</v>
      </c>
      <c r="O14" s="168">
        <v>0</v>
      </c>
      <c r="P14" s="168">
        <v>0</v>
      </c>
      <c r="Q14" s="168">
        <v>0</v>
      </c>
      <c r="R14" s="168">
        <v>0</v>
      </c>
      <c r="S14" s="168">
        <v>0</v>
      </c>
      <c r="T14" s="168">
        <v>0</v>
      </c>
      <c r="U14" s="168">
        <v>0</v>
      </c>
      <c r="V14" s="168">
        <v>0</v>
      </c>
      <c r="W14" s="168">
        <v>0</v>
      </c>
      <c r="X14" s="168">
        <v>0</v>
      </c>
      <c r="Y14" s="168">
        <v>0</v>
      </c>
      <c r="Z14" s="168">
        <v>0</v>
      </c>
      <c r="AA14" s="168">
        <v>0</v>
      </c>
      <c r="AB14" s="168">
        <v>0</v>
      </c>
      <c r="AC14" s="168">
        <v>0</v>
      </c>
      <c r="AD14" s="168">
        <v>0</v>
      </c>
      <c r="AE14" s="168">
        <v>0</v>
      </c>
      <c r="AF14" s="168">
        <v>0</v>
      </c>
      <c r="AG14" s="168">
        <v>0</v>
      </c>
      <c r="AH14" s="168">
        <v>0</v>
      </c>
      <c r="AI14" s="168">
        <v>0</v>
      </c>
      <c r="AJ14" s="168">
        <v>0</v>
      </c>
      <c r="AK14" s="168">
        <v>0</v>
      </c>
      <c r="AL14" s="168">
        <v>0</v>
      </c>
      <c r="AM14" s="168">
        <v>0</v>
      </c>
      <c r="AN14" s="168">
        <v>0</v>
      </c>
      <c r="AO14" s="168">
        <v>0</v>
      </c>
      <c r="AP14" s="168">
        <v>0</v>
      </c>
      <c r="AQ14" s="168">
        <v>0</v>
      </c>
      <c r="AR14" s="168">
        <v>0</v>
      </c>
      <c r="AS14" s="168">
        <v>0</v>
      </c>
      <c r="AT14" s="168">
        <v>0</v>
      </c>
      <c r="AU14" s="168">
        <v>0</v>
      </c>
      <c r="AV14" s="168">
        <v>0</v>
      </c>
      <c r="AW14" s="168">
        <v>0</v>
      </c>
    </row>
    <row r="15" spans="1:49" x14ac:dyDescent="0.3">
      <c r="A15" s="168" t="s">
        <v>105</v>
      </c>
      <c r="B15" s="191">
        <v>12</v>
      </c>
    </row>
    <row r="16" spans="1:49" x14ac:dyDescent="0.3">
      <c r="A16" s="168" t="s">
        <v>93</v>
      </c>
      <c r="B16" s="191">
        <v>2016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3" bestFit="1" customWidth="1"/>
    <col min="2" max="2" width="11.6640625" style="113" hidden="1" customWidth="1"/>
    <col min="3" max="4" width="11" style="115" customWidth="1"/>
    <col min="5" max="5" width="11" style="116" customWidth="1"/>
    <col min="6" max="16384" width="8.88671875" style="113"/>
  </cols>
  <sheetData>
    <row r="1" spans="1:5" ht="18.600000000000001" thickBot="1" x14ac:dyDescent="0.4">
      <c r="A1" s="242" t="s">
        <v>71</v>
      </c>
      <c r="B1" s="242"/>
      <c r="C1" s="243"/>
      <c r="D1" s="243"/>
      <c r="E1" s="243"/>
    </row>
    <row r="2" spans="1:5" ht="14.4" customHeight="1" thickBot="1" x14ac:dyDescent="0.35">
      <c r="A2" s="172" t="s">
        <v>159</v>
      </c>
      <c r="B2" s="114"/>
    </row>
    <row r="3" spans="1:5" ht="14.4" customHeight="1" thickBot="1" x14ac:dyDescent="0.35">
      <c r="A3" s="117"/>
      <c r="C3" s="118" t="s">
        <v>61</v>
      </c>
      <c r="D3" s="119" t="s">
        <v>54</v>
      </c>
      <c r="E3" s="120" t="s">
        <v>56</v>
      </c>
    </row>
    <row r="4" spans="1:5" ht="14.4" customHeight="1" thickBot="1" x14ac:dyDescent="0.3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991.75181828363748</v>
      </c>
      <c r="D4" s="123">
        <f ca="1">IF(ISERROR(VLOOKUP("Náklady celkem",INDIRECT("HI!$A:$G"),5,0)),0,VLOOKUP("Náklady celkem",INDIRECT("HI!$A:$G"),5,0))</f>
        <v>961.58010999999999</v>
      </c>
      <c r="E4" s="124">
        <f ca="1">IF(C4=0,0,D4/C4)</f>
        <v>0.96957736025545815</v>
      </c>
    </row>
    <row r="5" spans="1:5" ht="14.4" customHeight="1" x14ac:dyDescent="0.3">
      <c r="A5" s="125" t="s">
        <v>80</v>
      </c>
      <c r="B5" s="126"/>
      <c r="C5" s="127"/>
      <c r="D5" s="127"/>
      <c r="E5" s="128"/>
    </row>
    <row r="6" spans="1:5" ht="14.4" customHeight="1" x14ac:dyDescent="0.3">
      <c r="A6" s="129" t="s">
        <v>85</v>
      </c>
      <c r="B6" s="130"/>
      <c r="C6" s="131"/>
      <c r="D6" s="131"/>
      <c r="E6" s="128"/>
    </row>
    <row r="7" spans="1:5" ht="14.4" customHeight="1" x14ac:dyDescent="0.3">
      <c r="A7" s="23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65</v>
      </c>
      <c r="C7" s="131">
        <f>IF(ISERROR(HI!F5),"",HI!F5)</f>
        <v>6.0820016765250007E-2</v>
      </c>
      <c r="D7" s="131">
        <f>IF(ISERROR(HI!E5),"",HI!E5)</f>
        <v>0</v>
      </c>
      <c r="E7" s="128">
        <f t="shared" ref="E7:E11" si="0">IF(C7=0,0,D7/C7)</f>
        <v>0</v>
      </c>
    </row>
    <row r="8" spans="1:5" ht="14.4" customHeight="1" x14ac:dyDescent="0.3">
      <c r="A8" s="132" t="s">
        <v>81</v>
      </c>
      <c r="B8" s="130"/>
      <c r="C8" s="131"/>
      <c r="D8" s="131"/>
      <c r="E8" s="128"/>
    </row>
    <row r="9" spans="1:5" ht="14.4" customHeight="1" x14ac:dyDescent="0.3">
      <c r="A9" s="132" t="s">
        <v>82</v>
      </c>
      <c r="B9" s="130"/>
      <c r="C9" s="131"/>
      <c r="D9" s="131"/>
      <c r="E9" s="128"/>
    </row>
    <row r="10" spans="1:5" ht="14.4" customHeight="1" x14ac:dyDescent="0.3">
      <c r="A10" s="133" t="s">
        <v>86</v>
      </c>
      <c r="B10" s="130"/>
      <c r="C10" s="127"/>
      <c r="D10" s="127"/>
      <c r="E10" s="128"/>
    </row>
    <row r="11" spans="1:5" ht="14.4" customHeight="1" x14ac:dyDescent="0.3">
      <c r="A11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0" t="s">
        <v>65</v>
      </c>
      <c r="C11" s="131">
        <f>IF(ISERROR(HI!F6),"",HI!F6)</f>
        <v>6.5745018122750007E-2</v>
      </c>
      <c r="D11" s="131">
        <f>IF(ISERROR(HI!E6),"",HI!E6)</f>
        <v>0</v>
      </c>
      <c r="E11" s="128">
        <f t="shared" si="0"/>
        <v>0</v>
      </c>
    </row>
    <row r="12" spans="1:5" ht="14.4" customHeight="1" thickBot="1" x14ac:dyDescent="0.35">
      <c r="A12" s="135" t="str">
        <f>HYPERLINK("#HI!A1","Osobní náklady")</f>
        <v>Osobní náklady</v>
      </c>
      <c r="B12" s="130"/>
      <c r="C12" s="127">
        <f ca="1">IF(ISERROR(VLOOKUP("Osobní náklady (Kč) *",INDIRECT("HI!$A:$G"),6,0)),0,VLOOKUP("Osobní náklady (Kč) *",INDIRECT("HI!$A:$G"),6,0))</f>
        <v>950.50026201072501</v>
      </c>
      <c r="D12" s="127">
        <f ca="1">IF(ISERROR(VLOOKUP("Osobní náklady (Kč) *",INDIRECT("HI!$A:$G"),5,0)),0,VLOOKUP("Osobní náklady (Kč) *",INDIRECT("HI!$A:$G"),5,0))</f>
        <v>916.33615000000009</v>
      </c>
      <c r="E12" s="128">
        <f ca="1">IF(C12=0,0,D12/C12)</f>
        <v>0.96405670426807366</v>
      </c>
    </row>
    <row r="13" spans="1:5" ht="14.4" customHeight="1" thickBot="1" x14ac:dyDescent="0.35">
      <c r="A13" s="139"/>
      <c r="B13" s="140"/>
      <c r="C13" s="141"/>
      <c r="D13" s="141"/>
      <c r="E13" s="142"/>
    </row>
    <row r="14" spans="1:5" ht="14.4" customHeight="1" thickBot="1" x14ac:dyDescent="0.35">
      <c r="A14" s="143" t="str">
        <f>HYPERLINK("#HI!A1","VÝNOSY CELKEM (v tisících)")</f>
        <v>VÝNOSY CELKEM (v tisících)</v>
      </c>
      <c r="B14" s="144"/>
      <c r="C14" s="145">
        <f ca="1">IF(ISERROR(VLOOKUP("Výnosy celkem",INDIRECT("HI!$A:$G"),6,0)),0,VLOOKUP("Výnosy celkem",INDIRECT("HI!$A:$G"),6,0))</f>
        <v>0</v>
      </c>
      <c r="D14" s="145">
        <f ca="1">IF(ISERROR(VLOOKUP("Výnosy celkem",INDIRECT("HI!$A:$G"),5,0)),0,VLOOKUP("Výnosy celkem",INDIRECT("HI!$A:$G"),5,0))</f>
        <v>0</v>
      </c>
      <c r="E14" s="146">
        <f t="shared" ref="E14:E15" ca="1" si="1">IF(C14=0,0,D14/C14)</f>
        <v>0</v>
      </c>
    </row>
    <row r="15" spans="1:5" ht="14.4" customHeight="1" x14ac:dyDescent="0.3">
      <c r="A15" s="147" t="str">
        <f>HYPERLINK("#HI!A1","Ambulance (body za výkony + Kč za ZUM a ZULP)")</f>
        <v>Ambulance (body za výkony + Kč za ZUM a ZULP)</v>
      </c>
      <c r="B15" s="126"/>
      <c r="C15" s="127">
        <f ca="1">IF(ISERROR(VLOOKUP("Ambulance *",INDIRECT("HI!$A:$G"),6,0)),0,VLOOKUP("Ambulance *",INDIRECT("HI!$A:$G"),6,0))</f>
        <v>0</v>
      </c>
      <c r="D15" s="127">
        <f ca="1">IF(ISERROR(VLOOKUP("Ambulance *",INDIRECT("HI!$A:$G"),5,0)),0,VLOOKUP("Ambulance *",INDIRECT("HI!$A:$G"),5,0))</f>
        <v>0</v>
      </c>
      <c r="E15" s="128">
        <f t="shared" ca="1" si="1"/>
        <v>0</v>
      </c>
    </row>
    <row r="16" spans="1:5" ht="14.4" customHeight="1" x14ac:dyDescent="0.3">
      <c r="A16" s="148" t="str">
        <f>HYPERLINK("#HI!A1","Hospitalizace (casemix * 30000)")</f>
        <v>Hospitalizace (casemix * 30000)</v>
      </c>
      <c r="B16" s="130"/>
      <c r="C16" s="127">
        <f ca="1">IF(ISERROR(VLOOKUP("Hospitalizace *",INDIRECT("HI!$A:$G"),6,0)),0,VLOOKUP("Hospitalizace *",INDIRECT("HI!$A:$G"),6,0))</f>
        <v>0</v>
      </c>
      <c r="D16" s="127">
        <f ca="1">IF(ISERROR(VLOOKUP("Hospitalizace *",INDIRECT("HI!$A:$G"),5,0)),0,VLOOKUP("Hospitalizace *",INDIRECT("HI!$A:$G"),5,0))</f>
        <v>0</v>
      </c>
      <c r="E16" s="128">
        <f ca="1">IF(C16=0,0,D16/C16)</f>
        <v>0</v>
      </c>
    </row>
    <row r="17" spans="1:5" ht="14.4" customHeight="1" thickBot="1" x14ac:dyDescent="0.35">
      <c r="A17" s="149" t="s">
        <v>83</v>
      </c>
      <c r="B17" s="136"/>
      <c r="C17" s="137"/>
      <c r="D17" s="137"/>
      <c r="E17" s="138"/>
    </row>
    <row r="18" spans="1:5" ht="14.4" customHeight="1" thickBot="1" x14ac:dyDescent="0.35">
      <c r="A18" s="150"/>
      <c r="B18" s="151"/>
      <c r="C18" s="152"/>
      <c r="D18" s="152"/>
      <c r="E18" s="153"/>
    </row>
    <row r="19" spans="1:5" ht="14.4" customHeight="1" thickBot="1" x14ac:dyDescent="0.35">
      <c r="A19" s="154" t="s">
        <v>84</v>
      </c>
      <c r="B19" s="155"/>
      <c r="C19" s="156"/>
      <c r="D19" s="156"/>
      <c r="E19" s="157"/>
    </row>
  </sheetData>
  <mergeCells count="1">
    <mergeCell ref="A1:E1"/>
  </mergeCells>
  <conditionalFormatting sqref="E5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6">
    <cfRule type="cellIs" dxfId="4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3" priority="20" operator="lessThan">
      <formula>1</formula>
    </cfRule>
  </conditionalFormatting>
  <conditionalFormatting sqref="E14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42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42" t="s">
        <v>74</v>
      </c>
      <c r="B1" s="242"/>
      <c r="C1" s="242"/>
      <c r="D1" s="242"/>
      <c r="E1" s="242"/>
      <c r="F1" s="242"/>
      <c r="G1" s="243"/>
      <c r="H1" s="243"/>
    </row>
    <row r="2" spans="1:8" ht="14.4" customHeight="1" thickBot="1" x14ac:dyDescent="0.35">
      <c r="A2" s="172" t="s">
        <v>159</v>
      </c>
      <c r="B2" s="77"/>
      <c r="C2" s="77"/>
      <c r="D2" s="77"/>
      <c r="E2" s="77"/>
      <c r="F2" s="77"/>
    </row>
    <row r="3" spans="1:8" ht="14.4" customHeight="1" x14ac:dyDescent="0.3">
      <c r="A3" s="244"/>
      <c r="B3" s="73">
        <v>2014</v>
      </c>
      <c r="C3" s="40">
        <v>2015</v>
      </c>
      <c r="D3" s="7"/>
      <c r="E3" s="248">
        <v>2016</v>
      </c>
      <c r="F3" s="249"/>
      <c r="G3" s="249"/>
      <c r="H3" s="250"/>
    </row>
    <row r="4" spans="1:8" ht="14.4" customHeight="1" thickBot="1" x14ac:dyDescent="0.35">
      <c r="A4" s="245"/>
      <c r="B4" s="246" t="s">
        <v>54</v>
      </c>
      <c r="C4" s="247"/>
      <c r="D4" s="7"/>
      <c r="E4" s="94" t="s">
        <v>54</v>
      </c>
      <c r="F4" s="75" t="s">
        <v>55</v>
      </c>
      <c r="G4" s="75" t="s">
        <v>52</v>
      </c>
      <c r="H4" s="76" t="s">
        <v>56</v>
      </c>
    </row>
    <row r="5" spans="1:8" ht="14.4" customHeight="1" x14ac:dyDescent="0.3">
      <c r="A5" s="78" t="str">
        <f>HYPERLINK("#'Léky Žádanky'!A1","Léky (Kč)")</f>
        <v>Léky (Kč)</v>
      </c>
      <c r="B5" s="27">
        <v>0</v>
      </c>
      <c r="C5" s="29">
        <v>0</v>
      </c>
      <c r="D5" s="8"/>
      <c r="E5" s="83">
        <v>0</v>
      </c>
      <c r="F5" s="28">
        <v>6.0820016765250007E-2</v>
      </c>
      <c r="G5" s="82">
        <f>E5-F5</f>
        <v>-6.0820016765250007E-2</v>
      </c>
      <c r="H5" s="88">
        <f>IF(F5&lt;0.00000001,"",E5/F5)</f>
        <v>0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84">
        <v>0</v>
      </c>
      <c r="F6" s="30">
        <v>6.5745018122750007E-2</v>
      </c>
      <c r="G6" s="85">
        <f>E6-F6</f>
        <v>-6.5745018122750007E-2</v>
      </c>
      <c r="H6" s="89">
        <f>IF(F6&lt;0.00000001,"",E6/F6)</f>
        <v>0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827.31695000000104</v>
      </c>
      <c r="C7" s="31">
        <v>873.65666000000101</v>
      </c>
      <c r="D7" s="8"/>
      <c r="E7" s="84">
        <v>916.33615000000009</v>
      </c>
      <c r="F7" s="30">
        <v>950.50026201072501</v>
      </c>
      <c r="G7" s="85">
        <f>E7-F7</f>
        <v>-34.164112010724921</v>
      </c>
      <c r="H7" s="89">
        <f>IF(F7&lt;0.00000001,"",E7/F7)</f>
        <v>0.96405670426807366</v>
      </c>
    </row>
    <row r="8" spans="1:8" ht="14.4" customHeight="1" thickBot="1" x14ac:dyDescent="0.35">
      <c r="A8" s="1" t="s">
        <v>57</v>
      </c>
      <c r="B8" s="11">
        <v>49.841459999999984</v>
      </c>
      <c r="C8" s="33">
        <v>51.75315999999998</v>
      </c>
      <c r="D8" s="8"/>
      <c r="E8" s="86">
        <v>45.243959999999902</v>
      </c>
      <c r="F8" s="32">
        <v>41.124991238024471</v>
      </c>
      <c r="G8" s="87">
        <f>E8-F8</f>
        <v>4.1189687619754309</v>
      </c>
      <c r="H8" s="90">
        <f>IF(F8&lt;0.00000001,"",E8/F8)</f>
        <v>1.1001573164632557</v>
      </c>
    </row>
    <row r="9" spans="1:8" ht="14.4" customHeight="1" thickBot="1" x14ac:dyDescent="0.35">
      <c r="A9" s="2" t="s">
        <v>58</v>
      </c>
      <c r="B9" s="3">
        <v>877.15841000000103</v>
      </c>
      <c r="C9" s="35">
        <v>925.40982000000099</v>
      </c>
      <c r="D9" s="8"/>
      <c r="E9" s="3">
        <v>961.58010999999999</v>
      </c>
      <c r="F9" s="34">
        <v>991.75181828363748</v>
      </c>
      <c r="G9" s="34">
        <f>E9-F9</f>
        <v>-30.171708283637486</v>
      </c>
      <c r="H9" s="91">
        <f>IF(F9&lt;0.00000001,"",E9/F9)</f>
        <v>0.96957736025545815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59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88</v>
      </c>
    </row>
    <row r="18" spans="1:8" ht="14.4" customHeight="1" x14ac:dyDescent="0.3">
      <c r="A18" s="222" t="s">
        <v>119</v>
      </c>
      <c r="B18" s="223"/>
      <c r="C18" s="223"/>
      <c r="D18" s="223"/>
      <c r="E18" s="223"/>
      <c r="F18" s="223"/>
      <c r="G18" s="223"/>
      <c r="H18" s="223"/>
    </row>
    <row r="19" spans="1:8" x14ac:dyDescent="0.3">
      <c r="A19" s="221" t="s">
        <v>118</v>
      </c>
      <c r="B19" s="223"/>
      <c r="C19" s="223"/>
      <c r="D19" s="223"/>
      <c r="E19" s="223"/>
      <c r="F19" s="223"/>
      <c r="G19" s="223"/>
      <c r="H19" s="223"/>
    </row>
    <row r="20" spans="1:8" ht="14.4" customHeight="1" x14ac:dyDescent="0.3">
      <c r="A20" s="80" t="s">
        <v>132</v>
      </c>
    </row>
    <row r="21" spans="1:8" ht="14.4" customHeight="1" x14ac:dyDescent="0.3">
      <c r="A21" s="80" t="s">
        <v>89</v>
      </c>
    </row>
    <row r="22" spans="1:8" ht="14.4" customHeight="1" x14ac:dyDescent="0.3">
      <c r="A22" s="81" t="s">
        <v>158</v>
      </c>
    </row>
    <row r="23" spans="1:8" ht="14.4" customHeight="1" x14ac:dyDescent="0.3">
      <c r="A23" s="81" t="s">
        <v>90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4" operator="greaterThan">
      <formula>0</formula>
    </cfRule>
  </conditionalFormatting>
  <conditionalFormatting sqref="G11:G13 G15">
    <cfRule type="cellIs" dxfId="40" priority="3" operator="lessThan">
      <formula>0</formula>
    </cfRule>
  </conditionalFormatting>
  <conditionalFormatting sqref="H5:H9">
    <cfRule type="cellIs" dxfId="39" priority="2" operator="greaterThan">
      <formula>1</formula>
    </cfRule>
  </conditionalFormatting>
  <conditionalFormatting sqref="H11:H13 H15">
    <cfRule type="cellIs" dxfId="3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58" customFormat="1" ht="18.600000000000001" customHeight="1" thickBot="1" x14ac:dyDescent="0.4">
      <c r="A1" s="251" t="s">
        <v>161</v>
      </c>
      <c r="B1" s="251"/>
      <c r="C1" s="251"/>
      <c r="D1" s="251"/>
      <c r="E1" s="251"/>
      <c r="F1" s="251"/>
      <c r="G1" s="251"/>
      <c r="H1" s="242"/>
      <c r="I1" s="242"/>
      <c r="J1" s="242"/>
      <c r="K1" s="242"/>
      <c r="L1" s="242"/>
      <c r="M1" s="242"/>
      <c r="N1" s="242"/>
      <c r="O1" s="242"/>
      <c r="P1" s="242"/>
      <c r="Q1" s="242"/>
    </row>
    <row r="2" spans="1:17" s="158" customFormat="1" ht="14.4" customHeight="1" thickBot="1" x14ac:dyDescent="0.3">
      <c r="A2" s="172" t="s">
        <v>159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" customHeight="1" x14ac:dyDescent="0.3">
      <c r="A3" s="58"/>
      <c r="B3" s="252" t="s">
        <v>13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104"/>
      <c r="Q3" s="106"/>
    </row>
    <row r="4" spans="1:17" ht="14.4" customHeight="1" x14ac:dyDescent="0.3">
      <c r="A4" s="59"/>
      <c r="B4" s="20">
        <v>2016</v>
      </c>
      <c r="C4" s="105" t="s">
        <v>14</v>
      </c>
      <c r="D4" s="95" t="s">
        <v>138</v>
      </c>
      <c r="E4" s="95" t="s">
        <v>139</v>
      </c>
      <c r="F4" s="95" t="s">
        <v>140</v>
      </c>
      <c r="G4" s="95" t="s">
        <v>141</v>
      </c>
      <c r="H4" s="95" t="s">
        <v>142</v>
      </c>
      <c r="I4" s="95" t="s">
        <v>143</v>
      </c>
      <c r="J4" s="95" t="s">
        <v>144</v>
      </c>
      <c r="K4" s="95" t="s">
        <v>145</v>
      </c>
      <c r="L4" s="95" t="s">
        <v>146</v>
      </c>
      <c r="M4" s="95" t="s">
        <v>147</v>
      </c>
      <c r="N4" s="95" t="s">
        <v>148</v>
      </c>
      <c r="O4" s="95" t="s">
        <v>149</v>
      </c>
      <c r="P4" s="254" t="s">
        <v>2</v>
      </c>
      <c r="Q4" s="255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160</v>
      </c>
    </row>
    <row r="7" spans="1:17" ht="14.4" customHeight="1" x14ac:dyDescent="0.3">
      <c r="A7" s="15" t="s">
        <v>19</v>
      </c>
      <c r="B7" s="46">
        <v>0.243280067061</v>
      </c>
      <c r="C7" s="47">
        <v>2.0273338921E-2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8">
        <v>0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160</v>
      </c>
    </row>
    <row r="9" spans="1:17" ht="14.4" customHeight="1" x14ac:dyDescent="0.3">
      <c r="A9" s="15" t="s">
        <v>21</v>
      </c>
      <c r="B9" s="46">
        <v>0.26298007249100003</v>
      </c>
      <c r="C9" s="47">
        <v>2.1915006040000001E-2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68">
        <v>0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160</v>
      </c>
    </row>
    <row r="11" spans="1:17" ht="14.4" customHeight="1" x14ac:dyDescent="0.3">
      <c r="A11" s="15" t="s">
        <v>23</v>
      </c>
      <c r="B11" s="46">
        <v>9.3774099519669996</v>
      </c>
      <c r="C11" s="47">
        <v>0.78145082932999999</v>
      </c>
      <c r="D11" s="47">
        <v>0.52488000000000001</v>
      </c>
      <c r="E11" s="47">
        <v>0.20141999999999999</v>
      </c>
      <c r="F11" s="47">
        <v>0.33160000000000001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1.0579000000000001</v>
      </c>
      <c r="Q11" s="68">
        <v>0.45125466644500001</v>
      </c>
    </row>
    <row r="12" spans="1:17" ht="14.4" customHeight="1" x14ac:dyDescent="0.3">
      <c r="A12" s="15" t="s">
        <v>24</v>
      </c>
      <c r="B12" s="46">
        <v>0.46582636399299998</v>
      </c>
      <c r="C12" s="47">
        <v>3.8818863666E-2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8">
        <v>0</v>
      </c>
    </row>
    <row r="13" spans="1:17" ht="14.4" customHeight="1" x14ac:dyDescent="0.3">
      <c r="A13" s="15" t="s">
        <v>25</v>
      </c>
      <c r="B13" s="46">
        <v>0</v>
      </c>
      <c r="C13" s="47">
        <v>0</v>
      </c>
      <c r="D13" s="47">
        <v>0.26378000000000001</v>
      </c>
      <c r="E13" s="47">
        <v>0.85909999999999997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1.1228800000000001</v>
      </c>
      <c r="Q13" s="68" t="s">
        <v>160</v>
      </c>
    </row>
    <row r="14" spans="1:17" ht="14.4" customHeight="1" x14ac:dyDescent="0.3">
      <c r="A14" s="15" t="s">
        <v>26</v>
      </c>
      <c r="B14" s="46">
        <v>88.527902821116996</v>
      </c>
      <c r="C14" s="47">
        <v>7.3773252350930001</v>
      </c>
      <c r="D14" s="47">
        <v>10.343999999999999</v>
      </c>
      <c r="E14" s="47">
        <v>7.8949999999999996</v>
      </c>
      <c r="F14" s="47">
        <v>8.7639999999999993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27.003</v>
      </c>
      <c r="Q14" s="68">
        <v>1.2200898988669999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160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160</v>
      </c>
    </row>
    <row r="17" spans="1:17" ht="14.4" customHeight="1" x14ac:dyDescent="0.3">
      <c r="A17" s="15" t="s">
        <v>29</v>
      </c>
      <c r="B17" s="46">
        <v>3.9592404102650001</v>
      </c>
      <c r="C17" s="47">
        <v>0.32993670085499999</v>
      </c>
      <c r="D17" s="47">
        <v>0</v>
      </c>
      <c r="E17" s="47">
        <v>0.73531000000000002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0.73531000000000002</v>
      </c>
      <c r="Q17" s="68">
        <v>0.74287986967700004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1.0820000000000001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1.0820000000000001</v>
      </c>
      <c r="Q18" s="68" t="s">
        <v>160</v>
      </c>
    </row>
    <row r="19" spans="1:17" ht="14.4" customHeight="1" x14ac:dyDescent="0.3">
      <c r="A19" s="15" t="s">
        <v>31</v>
      </c>
      <c r="B19" s="46">
        <v>45.083099121468003</v>
      </c>
      <c r="C19" s="47">
        <v>3.7569249267889999</v>
      </c>
      <c r="D19" s="47">
        <v>3.1644000000000001</v>
      </c>
      <c r="E19" s="47">
        <v>3.1694300000000002</v>
      </c>
      <c r="F19" s="47">
        <v>3.5840399999999999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9.9178700000000006</v>
      </c>
      <c r="Q19" s="68">
        <v>0.87996346242900003</v>
      </c>
    </row>
    <row r="20" spans="1:17" ht="14.4" customHeight="1" x14ac:dyDescent="0.3">
      <c r="A20" s="15" t="s">
        <v>32</v>
      </c>
      <c r="B20" s="46">
        <v>3802.0010480429</v>
      </c>
      <c r="C20" s="47">
        <v>316.83342067024103</v>
      </c>
      <c r="D20" s="47">
        <v>307.54869000000002</v>
      </c>
      <c r="E20" s="47">
        <v>302.51821000000001</v>
      </c>
      <c r="F20" s="47">
        <v>306.26925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916.33614999999998</v>
      </c>
      <c r="Q20" s="68">
        <v>0.96405670426800005</v>
      </c>
    </row>
    <row r="21" spans="1:17" ht="14.4" customHeight="1" x14ac:dyDescent="0.3">
      <c r="A21" s="16" t="s">
        <v>33</v>
      </c>
      <c r="B21" s="46">
        <v>17.000042408816</v>
      </c>
      <c r="C21" s="47">
        <v>1.416670200734</v>
      </c>
      <c r="D21" s="47">
        <v>1.405</v>
      </c>
      <c r="E21" s="47">
        <v>1.405</v>
      </c>
      <c r="F21" s="47">
        <v>1.405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4.2149999999999999</v>
      </c>
      <c r="Q21" s="68">
        <v>0.99176223179599998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160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160</v>
      </c>
    </row>
    <row r="24" spans="1:17" ht="14.4" customHeight="1" x14ac:dyDescent="0.3">
      <c r="A24" s="16" t="s">
        <v>36</v>
      </c>
      <c r="B24" s="46">
        <v>8.6443874471999999E-2</v>
      </c>
      <c r="C24" s="47">
        <v>7.2036562060000002E-3</v>
      </c>
      <c r="D24" s="47">
        <v>5.6843418860808002E-14</v>
      </c>
      <c r="E24" s="47">
        <v>5.6843418860808002E-14</v>
      </c>
      <c r="F24" s="47">
        <v>0.11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0.11</v>
      </c>
      <c r="Q24" s="68">
        <v>5.0900078540619997</v>
      </c>
    </row>
    <row r="25" spans="1:17" ht="14.4" customHeight="1" x14ac:dyDescent="0.3">
      <c r="A25" s="17" t="s">
        <v>37</v>
      </c>
      <c r="B25" s="49">
        <v>3967.0072731345499</v>
      </c>
      <c r="C25" s="50">
        <v>330.58393942787899</v>
      </c>
      <c r="D25" s="50">
        <v>324.33274999999998</v>
      </c>
      <c r="E25" s="50">
        <v>316.78347000000002</v>
      </c>
      <c r="F25" s="50">
        <v>320.46388999999999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961.58010999999999</v>
      </c>
      <c r="Q25" s="69">
        <v>0.96957736025499996</v>
      </c>
    </row>
    <row r="26" spans="1:17" ht="14.4" customHeight="1" x14ac:dyDescent="0.3">
      <c r="A26" s="15" t="s">
        <v>38</v>
      </c>
      <c r="B26" s="46">
        <v>0</v>
      </c>
      <c r="C26" s="47">
        <v>0</v>
      </c>
      <c r="D26" s="47">
        <v>45.744750000000003</v>
      </c>
      <c r="E26" s="47">
        <v>40.985489999999999</v>
      </c>
      <c r="F26" s="47">
        <v>44.363509999999998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131.09375</v>
      </c>
      <c r="Q26" s="68" t="s">
        <v>160</v>
      </c>
    </row>
    <row r="27" spans="1:17" ht="14.4" customHeight="1" x14ac:dyDescent="0.3">
      <c r="A27" s="18" t="s">
        <v>39</v>
      </c>
      <c r="B27" s="49">
        <v>3967.0072731345499</v>
      </c>
      <c r="C27" s="50">
        <v>330.58393942787899</v>
      </c>
      <c r="D27" s="50">
        <v>370.07749999999999</v>
      </c>
      <c r="E27" s="50">
        <v>357.76895999999999</v>
      </c>
      <c r="F27" s="50">
        <v>364.82740000000001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1092.6738600000001</v>
      </c>
      <c r="Q27" s="69">
        <v>1.1017613881370001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12.5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160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10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160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88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150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9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51" t="s">
        <v>45</v>
      </c>
      <c r="B1" s="251"/>
      <c r="C1" s="251"/>
      <c r="D1" s="251"/>
      <c r="E1" s="251"/>
      <c r="F1" s="251"/>
      <c r="G1" s="251"/>
      <c r="H1" s="256"/>
      <c r="I1" s="256"/>
      <c r="J1" s="256"/>
      <c r="K1" s="256"/>
    </row>
    <row r="2" spans="1:11" s="55" customFormat="1" ht="14.4" customHeight="1" thickBot="1" x14ac:dyDescent="0.35">
      <c r="A2" s="172" t="s">
        <v>159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52" t="s">
        <v>46</v>
      </c>
      <c r="C3" s="253"/>
      <c r="D3" s="253"/>
      <c r="E3" s="253"/>
      <c r="F3" s="259" t="s">
        <v>47</v>
      </c>
      <c r="G3" s="253"/>
      <c r="H3" s="253"/>
      <c r="I3" s="253"/>
      <c r="J3" s="253"/>
      <c r="K3" s="260"/>
    </row>
    <row r="4" spans="1:11" ht="14.4" customHeight="1" x14ac:dyDescent="0.3">
      <c r="A4" s="59"/>
      <c r="B4" s="257"/>
      <c r="C4" s="258"/>
      <c r="D4" s="258"/>
      <c r="E4" s="258"/>
      <c r="F4" s="261" t="s">
        <v>155</v>
      </c>
      <c r="G4" s="263" t="s">
        <v>48</v>
      </c>
      <c r="H4" s="107" t="s">
        <v>78</v>
      </c>
      <c r="I4" s="261" t="s">
        <v>49</v>
      </c>
      <c r="J4" s="263" t="s">
        <v>133</v>
      </c>
      <c r="K4" s="264" t="s">
        <v>157</v>
      </c>
    </row>
    <row r="5" spans="1:11" ht="42" thickBot="1" x14ac:dyDescent="0.35">
      <c r="A5" s="60"/>
      <c r="B5" s="24" t="s">
        <v>151</v>
      </c>
      <c r="C5" s="25" t="s">
        <v>152</v>
      </c>
      <c r="D5" s="26" t="s">
        <v>153</v>
      </c>
      <c r="E5" s="26" t="s">
        <v>154</v>
      </c>
      <c r="F5" s="262"/>
      <c r="G5" s="262"/>
      <c r="H5" s="25" t="s">
        <v>156</v>
      </c>
      <c r="I5" s="262"/>
      <c r="J5" s="262"/>
      <c r="K5" s="265"/>
    </row>
    <row r="6" spans="1:11" ht="14.4" customHeight="1" thickBot="1" x14ac:dyDescent="0.35">
      <c r="A6" s="300" t="s">
        <v>162</v>
      </c>
      <c r="B6" s="282">
        <v>3845.2730259094101</v>
      </c>
      <c r="C6" s="282">
        <v>3953.9071600000002</v>
      </c>
      <c r="D6" s="283">
        <v>108.634134090586</v>
      </c>
      <c r="E6" s="284">
        <v>1.028251344796</v>
      </c>
      <c r="F6" s="282">
        <v>3967.0072731345499</v>
      </c>
      <c r="G6" s="283">
        <v>991.75181828363804</v>
      </c>
      <c r="H6" s="285">
        <v>320.46388999999999</v>
      </c>
      <c r="I6" s="282">
        <v>961.58010999999999</v>
      </c>
      <c r="J6" s="283">
        <v>-30.171708283636999</v>
      </c>
      <c r="K6" s="286">
        <v>0.24239434006300001</v>
      </c>
    </row>
    <row r="7" spans="1:11" ht="14.4" customHeight="1" thickBot="1" x14ac:dyDescent="0.35">
      <c r="A7" s="301" t="s">
        <v>163</v>
      </c>
      <c r="B7" s="282">
        <v>108.866453708653</v>
      </c>
      <c r="C7" s="282">
        <v>114.00036</v>
      </c>
      <c r="D7" s="283">
        <v>5.1339062913470004</v>
      </c>
      <c r="E7" s="284">
        <v>1.047157835278</v>
      </c>
      <c r="F7" s="282">
        <v>98.877399276630996</v>
      </c>
      <c r="G7" s="283">
        <v>24.719349819156999</v>
      </c>
      <c r="H7" s="285">
        <v>9.0955999999999992</v>
      </c>
      <c r="I7" s="282">
        <v>29.183779999999999</v>
      </c>
      <c r="J7" s="283">
        <v>4.4644301808420002</v>
      </c>
      <c r="K7" s="286">
        <v>0.29515116916</v>
      </c>
    </row>
    <row r="8" spans="1:11" ht="14.4" customHeight="1" thickBot="1" x14ac:dyDescent="0.35">
      <c r="A8" s="302" t="s">
        <v>164</v>
      </c>
      <c r="B8" s="282">
        <v>15.306453100452</v>
      </c>
      <c r="C8" s="282">
        <v>23.371359999999999</v>
      </c>
      <c r="D8" s="283">
        <v>8.0649068995469992</v>
      </c>
      <c r="E8" s="284">
        <v>1.5268958684689999</v>
      </c>
      <c r="F8" s="282">
        <v>10.349496455514</v>
      </c>
      <c r="G8" s="283">
        <v>2.587374113878</v>
      </c>
      <c r="H8" s="285">
        <v>0.33160000000000001</v>
      </c>
      <c r="I8" s="282">
        <v>2.1807799999999999</v>
      </c>
      <c r="J8" s="283">
        <v>-0.40659411387799999</v>
      </c>
      <c r="K8" s="286">
        <v>0.21071363320600001</v>
      </c>
    </row>
    <row r="9" spans="1:11" ht="14.4" customHeight="1" thickBot="1" x14ac:dyDescent="0.35">
      <c r="A9" s="303" t="s">
        <v>165</v>
      </c>
      <c r="B9" s="287">
        <v>0</v>
      </c>
      <c r="C9" s="287">
        <v>0.16269</v>
      </c>
      <c r="D9" s="288">
        <v>0.16269</v>
      </c>
      <c r="E9" s="289" t="s">
        <v>166</v>
      </c>
      <c r="F9" s="287">
        <v>0.243280067061</v>
      </c>
      <c r="G9" s="288">
        <v>6.0820016764999998E-2</v>
      </c>
      <c r="H9" s="290">
        <v>0</v>
      </c>
      <c r="I9" s="287">
        <v>0</v>
      </c>
      <c r="J9" s="288">
        <v>-6.0820016764999998E-2</v>
      </c>
      <c r="K9" s="291">
        <v>0</v>
      </c>
    </row>
    <row r="10" spans="1:11" ht="14.4" customHeight="1" thickBot="1" x14ac:dyDescent="0.35">
      <c r="A10" s="304" t="s">
        <v>167</v>
      </c>
      <c r="B10" s="282">
        <v>0</v>
      </c>
      <c r="C10" s="282">
        <v>0.16269</v>
      </c>
      <c r="D10" s="283">
        <v>0.16269</v>
      </c>
      <c r="E10" s="292" t="s">
        <v>166</v>
      </c>
      <c r="F10" s="282">
        <v>0.243280067061</v>
      </c>
      <c r="G10" s="283">
        <v>6.0820016764999998E-2</v>
      </c>
      <c r="H10" s="285">
        <v>0</v>
      </c>
      <c r="I10" s="282">
        <v>0</v>
      </c>
      <c r="J10" s="283">
        <v>-6.0820016764999998E-2</v>
      </c>
      <c r="K10" s="286">
        <v>0</v>
      </c>
    </row>
    <row r="11" spans="1:11" ht="14.4" customHeight="1" thickBot="1" x14ac:dyDescent="0.35">
      <c r="A11" s="303" t="s">
        <v>168</v>
      </c>
      <c r="B11" s="287">
        <v>0</v>
      </c>
      <c r="C11" s="287">
        <v>0.22214</v>
      </c>
      <c r="D11" s="288">
        <v>0.22214</v>
      </c>
      <c r="E11" s="289" t="s">
        <v>166</v>
      </c>
      <c r="F11" s="287">
        <v>0.26298007249100003</v>
      </c>
      <c r="G11" s="288">
        <v>6.5745018121999996E-2</v>
      </c>
      <c r="H11" s="290">
        <v>0</v>
      </c>
      <c r="I11" s="287">
        <v>0</v>
      </c>
      <c r="J11" s="288">
        <v>-6.5745018121999996E-2</v>
      </c>
      <c r="K11" s="291">
        <v>0</v>
      </c>
    </row>
    <row r="12" spans="1:11" ht="14.4" customHeight="1" thickBot="1" x14ac:dyDescent="0.35">
      <c r="A12" s="304" t="s">
        <v>169</v>
      </c>
      <c r="B12" s="282">
        <v>0</v>
      </c>
      <c r="C12" s="282">
        <v>0.22214</v>
      </c>
      <c r="D12" s="283">
        <v>0.22214</v>
      </c>
      <c r="E12" s="292" t="s">
        <v>166</v>
      </c>
      <c r="F12" s="282">
        <v>0.26298007249100003</v>
      </c>
      <c r="G12" s="283">
        <v>6.5745018121999996E-2</v>
      </c>
      <c r="H12" s="285">
        <v>0</v>
      </c>
      <c r="I12" s="282">
        <v>0</v>
      </c>
      <c r="J12" s="283">
        <v>-6.5745018121999996E-2</v>
      </c>
      <c r="K12" s="286">
        <v>0</v>
      </c>
    </row>
    <row r="13" spans="1:11" ht="14.4" customHeight="1" thickBot="1" x14ac:dyDescent="0.35">
      <c r="A13" s="303" t="s">
        <v>170</v>
      </c>
      <c r="B13" s="287">
        <v>15.306453100452</v>
      </c>
      <c r="C13" s="287">
        <v>19.866630000000001</v>
      </c>
      <c r="D13" s="288">
        <v>4.5601768995469998</v>
      </c>
      <c r="E13" s="293">
        <v>1.2979251214900001</v>
      </c>
      <c r="F13" s="287">
        <v>9.3774099519669996</v>
      </c>
      <c r="G13" s="288">
        <v>2.3443524879909998</v>
      </c>
      <c r="H13" s="290">
        <v>0.33160000000000001</v>
      </c>
      <c r="I13" s="287">
        <v>1.0579000000000001</v>
      </c>
      <c r="J13" s="288">
        <v>-1.286452487991</v>
      </c>
      <c r="K13" s="291">
        <v>0.11281366661099999</v>
      </c>
    </row>
    <row r="14" spans="1:11" ht="14.4" customHeight="1" thickBot="1" x14ac:dyDescent="0.35">
      <c r="A14" s="304" t="s">
        <v>171</v>
      </c>
      <c r="B14" s="282">
        <v>0</v>
      </c>
      <c r="C14" s="282">
        <v>0.2742</v>
      </c>
      <c r="D14" s="283">
        <v>0.2742</v>
      </c>
      <c r="E14" s="292" t="s">
        <v>160</v>
      </c>
      <c r="F14" s="282">
        <v>0.25708915034599999</v>
      </c>
      <c r="G14" s="283">
        <v>6.4272287585999996E-2</v>
      </c>
      <c r="H14" s="285">
        <v>0</v>
      </c>
      <c r="I14" s="282">
        <v>3.7269999999999998E-2</v>
      </c>
      <c r="J14" s="283">
        <v>-2.7002287585999998E-2</v>
      </c>
      <c r="K14" s="286">
        <v>0.14496916711400001</v>
      </c>
    </row>
    <row r="15" spans="1:11" ht="14.4" customHeight="1" thickBot="1" x14ac:dyDescent="0.35">
      <c r="A15" s="304" t="s">
        <v>172</v>
      </c>
      <c r="B15" s="282">
        <v>2.9999999055069999</v>
      </c>
      <c r="C15" s="282">
        <v>4.1914400000000001</v>
      </c>
      <c r="D15" s="283">
        <v>1.1914400944920001</v>
      </c>
      <c r="E15" s="284">
        <v>1.397146710673</v>
      </c>
      <c r="F15" s="282">
        <v>3.0916182237299998</v>
      </c>
      <c r="G15" s="283">
        <v>0.77290455593200003</v>
      </c>
      <c r="H15" s="285">
        <v>0.33160000000000001</v>
      </c>
      <c r="I15" s="282">
        <v>0.67054999999999998</v>
      </c>
      <c r="J15" s="283">
        <v>-0.102354555932</v>
      </c>
      <c r="K15" s="286">
        <v>0.21689288633699999</v>
      </c>
    </row>
    <row r="16" spans="1:11" ht="14.4" customHeight="1" thickBot="1" x14ac:dyDescent="0.35">
      <c r="A16" s="304" t="s">
        <v>173</v>
      </c>
      <c r="B16" s="282">
        <v>0.99999996850200001</v>
      </c>
      <c r="C16" s="282">
        <v>0.3009</v>
      </c>
      <c r="D16" s="283">
        <v>-0.69909996850199996</v>
      </c>
      <c r="E16" s="284">
        <v>0.30090000947700002</v>
      </c>
      <c r="F16" s="282">
        <v>0.33121897348599999</v>
      </c>
      <c r="G16" s="283">
        <v>8.2804743370999995E-2</v>
      </c>
      <c r="H16" s="285">
        <v>0</v>
      </c>
      <c r="I16" s="282">
        <v>0</v>
      </c>
      <c r="J16" s="283">
        <v>-8.2804743370999995E-2</v>
      </c>
      <c r="K16" s="286">
        <v>0</v>
      </c>
    </row>
    <row r="17" spans="1:11" ht="14.4" customHeight="1" thickBot="1" x14ac:dyDescent="0.35">
      <c r="A17" s="304" t="s">
        <v>174</v>
      </c>
      <c r="B17" s="282">
        <v>11.306453226442001</v>
      </c>
      <c r="C17" s="282">
        <v>13.83684</v>
      </c>
      <c r="D17" s="283">
        <v>2.5303867735569998</v>
      </c>
      <c r="E17" s="284">
        <v>1.223800224781</v>
      </c>
      <c r="F17" s="282">
        <v>4.1466224670339997</v>
      </c>
      <c r="G17" s="283">
        <v>1.0366556167580001</v>
      </c>
      <c r="H17" s="285">
        <v>0</v>
      </c>
      <c r="I17" s="282">
        <v>0.19117999999999999</v>
      </c>
      <c r="J17" s="283">
        <v>-0.84547561675799998</v>
      </c>
      <c r="K17" s="286">
        <v>4.6104993044000002E-2</v>
      </c>
    </row>
    <row r="18" spans="1:11" ht="14.4" customHeight="1" thickBot="1" x14ac:dyDescent="0.35">
      <c r="A18" s="304" t="s">
        <v>175</v>
      </c>
      <c r="B18" s="282">
        <v>0</v>
      </c>
      <c r="C18" s="282">
        <v>1.26325</v>
      </c>
      <c r="D18" s="283">
        <v>1.26325</v>
      </c>
      <c r="E18" s="292" t="s">
        <v>160</v>
      </c>
      <c r="F18" s="282">
        <v>1.5508611373679999</v>
      </c>
      <c r="G18" s="283">
        <v>0.38771528434199998</v>
      </c>
      <c r="H18" s="285">
        <v>0</v>
      </c>
      <c r="I18" s="282">
        <v>0.15890000000000001</v>
      </c>
      <c r="J18" s="283">
        <v>-0.22881528434199999</v>
      </c>
      <c r="K18" s="286">
        <v>0.102459205515</v>
      </c>
    </row>
    <row r="19" spans="1:11" ht="14.4" customHeight="1" thickBot="1" x14ac:dyDescent="0.35">
      <c r="A19" s="303" t="s">
        <v>176</v>
      </c>
      <c r="B19" s="287">
        <v>0</v>
      </c>
      <c r="C19" s="287">
        <v>0.40114</v>
      </c>
      <c r="D19" s="288">
        <v>0.40114</v>
      </c>
      <c r="E19" s="289" t="s">
        <v>160</v>
      </c>
      <c r="F19" s="287">
        <v>0.46582636399299998</v>
      </c>
      <c r="G19" s="288">
        <v>0.116456590998</v>
      </c>
      <c r="H19" s="290">
        <v>0</v>
      </c>
      <c r="I19" s="287">
        <v>0</v>
      </c>
      <c r="J19" s="288">
        <v>-0.116456590998</v>
      </c>
      <c r="K19" s="291">
        <v>0</v>
      </c>
    </row>
    <row r="20" spans="1:11" ht="14.4" customHeight="1" thickBot="1" x14ac:dyDescent="0.35">
      <c r="A20" s="304" t="s">
        <v>177</v>
      </c>
      <c r="B20" s="282">
        <v>0</v>
      </c>
      <c r="C20" s="282">
        <v>0.40114</v>
      </c>
      <c r="D20" s="283">
        <v>0.40114</v>
      </c>
      <c r="E20" s="292" t="s">
        <v>160</v>
      </c>
      <c r="F20" s="282">
        <v>0.46582636399299998</v>
      </c>
      <c r="G20" s="283">
        <v>0.116456590998</v>
      </c>
      <c r="H20" s="285">
        <v>0</v>
      </c>
      <c r="I20" s="282">
        <v>0</v>
      </c>
      <c r="J20" s="283">
        <v>-0.116456590998</v>
      </c>
      <c r="K20" s="286">
        <v>0</v>
      </c>
    </row>
    <row r="21" spans="1:11" ht="14.4" customHeight="1" thickBot="1" x14ac:dyDescent="0.35">
      <c r="A21" s="303" t="s">
        <v>178</v>
      </c>
      <c r="B21" s="287">
        <v>0</v>
      </c>
      <c r="C21" s="287">
        <v>2.7187600000000001</v>
      </c>
      <c r="D21" s="288">
        <v>2.7187600000000001</v>
      </c>
      <c r="E21" s="289" t="s">
        <v>160</v>
      </c>
      <c r="F21" s="287">
        <v>0</v>
      </c>
      <c r="G21" s="288">
        <v>0</v>
      </c>
      <c r="H21" s="290">
        <v>0</v>
      </c>
      <c r="I21" s="287">
        <v>1.1228800000000001</v>
      </c>
      <c r="J21" s="288">
        <v>1.1228800000000001</v>
      </c>
      <c r="K21" s="294" t="s">
        <v>160</v>
      </c>
    </row>
    <row r="22" spans="1:11" ht="14.4" customHeight="1" thickBot="1" x14ac:dyDescent="0.35">
      <c r="A22" s="304" t="s">
        <v>179</v>
      </c>
      <c r="B22" s="282">
        <v>0</v>
      </c>
      <c r="C22" s="282">
        <v>2.7187600000000001</v>
      </c>
      <c r="D22" s="283">
        <v>2.7187600000000001</v>
      </c>
      <c r="E22" s="292" t="s">
        <v>160</v>
      </c>
      <c r="F22" s="282">
        <v>0</v>
      </c>
      <c r="G22" s="283">
        <v>0</v>
      </c>
      <c r="H22" s="285">
        <v>0</v>
      </c>
      <c r="I22" s="282">
        <v>1.1228800000000001</v>
      </c>
      <c r="J22" s="283">
        <v>1.1228800000000001</v>
      </c>
      <c r="K22" s="295" t="s">
        <v>160</v>
      </c>
    </row>
    <row r="23" spans="1:11" ht="14.4" customHeight="1" thickBot="1" x14ac:dyDescent="0.35">
      <c r="A23" s="302" t="s">
        <v>26</v>
      </c>
      <c r="B23" s="282">
        <v>93.560000608199999</v>
      </c>
      <c r="C23" s="282">
        <v>90.629000000000005</v>
      </c>
      <c r="D23" s="283">
        <v>-2.9310006082000002</v>
      </c>
      <c r="E23" s="284">
        <v>0.96867250332199994</v>
      </c>
      <c r="F23" s="282">
        <v>88.527902821116996</v>
      </c>
      <c r="G23" s="283">
        <v>22.131975705279</v>
      </c>
      <c r="H23" s="285">
        <v>8.7639999999999993</v>
      </c>
      <c r="I23" s="282">
        <v>27.003</v>
      </c>
      <c r="J23" s="283">
        <v>4.8710242947199998</v>
      </c>
      <c r="K23" s="286">
        <v>0.30502247471600002</v>
      </c>
    </row>
    <row r="24" spans="1:11" ht="14.4" customHeight="1" thickBot="1" x14ac:dyDescent="0.35">
      <c r="A24" s="303" t="s">
        <v>180</v>
      </c>
      <c r="B24" s="287">
        <v>93.560000608199999</v>
      </c>
      <c r="C24" s="287">
        <v>90.629000000000005</v>
      </c>
      <c r="D24" s="288">
        <v>-2.9310006082000002</v>
      </c>
      <c r="E24" s="293">
        <v>0.96867250332199994</v>
      </c>
      <c r="F24" s="287">
        <v>88.527902821116996</v>
      </c>
      <c r="G24" s="288">
        <v>22.131975705279</v>
      </c>
      <c r="H24" s="290">
        <v>8.7639999999999993</v>
      </c>
      <c r="I24" s="287">
        <v>27.003</v>
      </c>
      <c r="J24" s="288">
        <v>4.8710242947199998</v>
      </c>
      <c r="K24" s="291">
        <v>0.30502247471600002</v>
      </c>
    </row>
    <row r="25" spans="1:11" ht="14.4" customHeight="1" thickBot="1" x14ac:dyDescent="0.35">
      <c r="A25" s="304" t="s">
        <v>181</v>
      </c>
      <c r="B25" s="282">
        <v>32.311707951845001</v>
      </c>
      <c r="C25" s="282">
        <v>31.922999999999998</v>
      </c>
      <c r="D25" s="283">
        <v>-0.38870795184500001</v>
      </c>
      <c r="E25" s="284">
        <v>0.98797005864099996</v>
      </c>
      <c r="F25" s="282">
        <v>31.496690496629</v>
      </c>
      <c r="G25" s="283">
        <v>7.8741726241569996</v>
      </c>
      <c r="H25" s="285">
        <v>2.3719999999999999</v>
      </c>
      <c r="I25" s="282">
        <v>7.1239999999999997</v>
      </c>
      <c r="J25" s="283">
        <v>-0.75017262415700003</v>
      </c>
      <c r="K25" s="286">
        <v>0.22618249370499999</v>
      </c>
    </row>
    <row r="26" spans="1:11" ht="14.4" customHeight="1" thickBot="1" x14ac:dyDescent="0.35">
      <c r="A26" s="304" t="s">
        <v>182</v>
      </c>
      <c r="B26" s="282">
        <v>34.999998897584</v>
      </c>
      <c r="C26" s="282">
        <v>31.248000000000001</v>
      </c>
      <c r="D26" s="283">
        <v>-3.751998897584</v>
      </c>
      <c r="E26" s="284">
        <v>0.89280002812100001</v>
      </c>
      <c r="F26" s="282">
        <v>29.932919514539002</v>
      </c>
      <c r="G26" s="283">
        <v>7.4832298786339999</v>
      </c>
      <c r="H26" s="285">
        <v>2.964</v>
      </c>
      <c r="I26" s="282">
        <v>8.6679999999999993</v>
      </c>
      <c r="J26" s="283">
        <v>1.1847701213649999</v>
      </c>
      <c r="K26" s="286">
        <v>0.28958084077899998</v>
      </c>
    </row>
    <row r="27" spans="1:11" ht="14.4" customHeight="1" thickBot="1" x14ac:dyDescent="0.35">
      <c r="A27" s="304" t="s">
        <v>183</v>
      </c>
      <c r="B27" s="282">
        <v>25.999999181063</v>
      </c>
      <c r="C27" s="282">
        <v>27.457999999999998</v>
      </c>
      <c r="D27" s="283">
        <v>1.4580008189360001</v>
      </c>
      <c r="E27" s="284">
        <v>1.0560769563400001</v>
      </c>
      <c r="F27" s="282">
        <v>27.098292809949001</v>
      </c>
      <c r="G27" s="283">
        <v>6.7745732024869998</v>
      </c>
      <c r="H27" s="285">
        <v>3.4279999999999999</v>
      </c>
      <c r="I27" s="282">
        <v>11.211</v>
      </c>
      <c r="J27" s="283">
        <v>4.4364267975120004</v>
      </c>
      <c r="K27" s="286">
        <v>0.41371609933600001</v>
      </c>
    </row>
    <row r="28" spans="1:11" ht="14.4" customHeight="1" thickBot="1" x14ac:dyDescent="0.35">
      <c r="A28" s="304" t="s">
        <v>184</v>
      </c>
      <c r="B28" s="282">
        <v>0.248294577706</v>
      </c>
      <c r="C28" s="282">
        <v>0</v>
      </c>
      <c r="D28" s="283">
        <v>-0.248294577706</v>
      </c>
      <c r="E28" s="284">
        <v>0</v>
      </c>
      <c r="F28" s="282">
        <v>0</v>
      </c>
      <c r="G28" s="283">
        <v>0</v>
      </c>
      <c r="H28" s="285">
        <v>0</v>
      </c>
      <c r="I28" s="282">
        <v>0</v>
      </c>
      <c r="J28" s="283">
        <v>0</v>
      </c>
      <c r="K28" s="286">
        <v>3</v>
      </c>
    </row>
    <row r="29" spans="1:11" ht="14.4" customHeight="1" thickBot="1" x14ac:dyDescent="0.35">
      <c r="A29" s="305" t="s">
        <v>185</v>
      </c>
      <c r="B29" s="287">
        <v>66.406687796865995</v>
      </c>
      <c r="C29" s="287">
        <v>50.243259999999999</v>
      </c>
      <c r="D29" s="288">
        <v>-16.163427796865999</v>
      </c>
      <c r="E29" s="293">
        <v>0.75659939784499997</v>
      </c>
      <c r="F29" s="287">
        <v>49.042339531734001</v>
      </c>
      <c r="G29" s="288">
        <v>12.260584882932999</v>
      </c>
      <c r="H29" s="290">
        <v>3.5840399999999999</v>
      </c>
      <c r="I29" s="287">
        <v>11.73518</v>
      </c>
      <c r="J29" s="288">
        <v>-0.52540488293300003</v>
      </c>
      <c r="K29" s="291">
        <v>0.23928670842399999</v>
      </c>
    </row>
    <row r="30" spans="1:11" ht="14.4" customHeight="1" thickBot="1" x14ac:dyDescent="0.35">
      <c r="A30" s="302" t="s">
        <v>29</v>
      </c>
      <c r="B30" s="282">
        <v>21.623146560443999</v>
      </c>
      <c r="C30" s="282">
        <v>3.8030300000000001</v>
      </c>
      <c r="D30" s="283">
        <v>-17.820116560443999</v>
      </c>
      <c r="E30" s="284">
        <v>0.175877733121</v>
      </c>
      <c r="F30" s="282">
        <v>3.9592404102650001</v>
      </c>
      <c r="G30" s="283">
        <v>0.98981010256599999</v>
      </c>
      <c r="H30" s="285">
        <v>0</v>
      </c>
      <c r="I30" s="282">
        <v>0.73531000000000002</v>
      </c>
      <c r="J30" s="283">
        <v>-0.25450010256599997</v>
      </c>
      <c r="K30" s="286">
        <v>0.18571996741899999</v>
      </c>
    </row>
    <row r="31" spans="1:11" ht="14.4" customHeight="1" thickBot="1" x14ac:dyDescent="0.35">
      <c r="A31" s="306" t="s">
        <v>186</v>
      </c>
      <c r="B31" s="282">
        <v>21.623146560443999</v>
      </c>
      <c r="C31" s="282">
        <v>3.8030300000000001</v>
      </c>
      <c r="D31" s="283">
        <v>-17.820116560443999</v>
      </c>
      <c r="E31" s="284">
        <v>0.175877733121</v>
      </c>
      <c r="F31" s="282">
        <v>3.9592404102650001</v>
      </c>
      <c r="G31" s="283">
        <v>0.98981010256599999</v>
      </c>
      <c r="H31" s="285">
        <v>0</v>
      </c>
      <c r="I31" s="282">
        <v>0.73531000000000002</v>
      </c>
      <c r="J31" s="283">
        <v>-0.25450010256599997</v>
      </c>
      <c r="K31" s="286">
        <v>0.18571996741899999</v>
      </c>
    </row>
    <row r="32" spans="1:11" ht="14.4" customHeight="1" thickBot="1" x14ac:dyDescent="0.35">
      <c r="A32" s="304" t="s">
        <v>187</v>
      </c>
      <c r="B32" s="282">
        <v>8.0375081878210004</v>
      </c>
      <c r="C32" s="282">
        <v>0</v>
      </c>
      <c r="D32" s="283">
        <v>-8.0375081878210004</v>
      </c>
      <c r="E32" s="284">
        <v>0</v>
      </c>
      <c r="F32" s="282">
        <v>0</v>
      </c>
      <c r="G32" s="283">
        <v>0</v>
      </c>
      <c r="H32" s="285">
        <v>0</v>
      </c>
      <c r="I32" s="282">
        <v>0</v>
      </c>
      <c r="J32" s="283">
        <v>0</v>
      </c>
      <c r="K32" s="286">
        <v>3</v>
      </c>
    </row>
    <row r="33" spans="1:11" ht="14.4" customHeight="1" thickBot="1" x14ac:dyDescent="0.35">
      <c r="A33" s="304" t="s">
        <v>188</v>
      </c>
      <c r="B33" s="282">
        <v>0</v>
      </c>
      <c r="C33" s="282">
        <v>3.3306690738754701E-16</v>
      </c>
      <c r="D33" s="283">
        <v>3.3306690738754701E-16</v>
      </c>
      <c r="E33" s="284">
        <v>6.7413492557336797E+307</v>
      </c>
      <c r="F33" s="282">
        <v>-0.92169209114799999</v>
      </c>
      <c r="G33" s="283">
        <v>-0.230423022787</v>
      </c>
      <c r="H33" s="285">
        <v>0</v>
      </c>
      <c r="I33" s="282">
        <v>0</v>
      </c>
      <c r="J33" s="283">
        <v>0.230423022787</v>
      </c>
      <c r="K33" s="286">
        <v>0</v>
      </c>
    </row>
    <row r="34" spans="1:11" ht="14.4" customHeight="1" thickBot="1" x14ac:dyDescent="0.35">
      <c r="A34" s="304" t="s">
        <v>189</v>
      </c>
      <c r="B34" s="282">
        <v>11.999999622029</v>
      </c>
      <c r="C34" s="282">
        <v>2.1282999999999999</v>
      </c>
      <c r="D34" s="283">
        <v>-9.8716996220290003</v>
      </c>
      <c r="E34" s="284">
        <v>0.17735833891899999</v>
      </c>
      <c r="F34" s="282">
        <v>2.4731386873600001</v>
      </c>
      <c r="G34" s="283">
        <v>0.61828467184000002</v>
      </c>
      <c r="H34" s="285">
        <v>0</v>
      </c>
      <c r="I34" s="282">
        <v>0</v>
      </c>
      <c r="J34" s="283">
        <v>-0.61828467184000002</v>
      </c>
      <c r="K34" s="286">
        <v>0</v>
      </c>
    </row>
    <row r="35" spans="1:11" ht="14.4" customHeight="1" thickBot="1" x14ac:dyDescent="0.35">
      <c r="A35" s="304" t="s">
        <v>190</v>
      </c>
      <c r="B35" s="282">
        <v>1.5856387505930001</v>
      </c>
      <c r="C35" s="282">
        <v>1.6747300000000001</v>
      </c>
      <c r="D35" s="283">
        <v>8.9091249405999995E-2</v>
      </c>
      <c r="E35" s="284">
        <v>1.0561863472199999</v>
      </c>
      <c r="F35" s="282">
        <v>2.407793814053</v>
      </c>
      <c r="G35" s="283">
        <v>0.60194845351299997</v>
      </c>
      <c r="H35" s="285">
        <v>0</v>
      </c>
      <c r="I35" s="282">
        <v>0.73531000000000002</v>
      </c>
      <c r="J35" s="283">
        <v>0.13336154648599999</v>
      </c>
      <c r="K35" s="286">
        <v>0.3053874446</v>
      </c>
    </row>
    <row r="36" spans="1:11" ht="14.4" customHeight="1" thickBot="1" x14ac:dyDescent="0.35">
      <c r="A36" s="307" t="s">
        <v>30</v>
      </c>
      <c r="B36" s="287">
        <v>0</v>
      </c>
      <c r="C36" s="287">
        <v>1.232</v>
      </c>
      <c r="D36" s="288">
        <v>1.232</v>
      </c>
      <c r="E36" s="289" t="s">
        <v>160</v>
      </c>
      <c r="F36" s="287">
        <v>0</v>
      </c>
      <c r="G36" s="288">
        <v>0</v>
      </c>
      <c r="H36" s="290">
        <v>0</v>
      </c>
      <c r="I36" s="287">
        <v>1.0820000000000001</v>
      </c>
      <c r="J36" s="288">
        <v>1.0820000000000001</v>
      </c>
      <c r="K36" s="294" t="s">
        <v>160</v>
      </c>
    </row>
    <row r="37" spans="1:11" ht="14.4" customHeight="1" thickBot="1" x14ac:dyDescent="0.35">
      <c r="A37" s="303" t="s">
        <v>191</v>
      </c>
      <c r="B37" s="287">
        <v>0</v>
      </c>
      <c r="C37" s="287">
        <v>1.232</v>
      </c>
      <c r="D37" s="288">
        <v>1.232</v>
      </c>
      <c r="E37" s="289" t="s">
        <v>160</v>
      </c>
      <c r="F37" s="287">
        <v>0</v>
      </c>
      <c r="G37" s="288">
        <v>0</v>
      </c>
      <c r="H37" s="290">
        <v>0</v>
      </c>
      <c r="I37" s="287">
        <v>1.0820000000000001</v>
      </c>
      <c r="J37" s="288">
        <v>1.0820000000000001</v>
      </c>
      <c r="K37" s="294" t="s">
        <v>160</v>
      </c>
    </row>
    <row r="38" spans="1:11" ht="14.4" customHeight="1" thickBot="1" x14ac:dyDescent="0.35">
      <c r="A38" s="304" t="s">
        <v>192</v>
      </c>
      <c r="B38" s="282">
        <v>0</v>
      </c>
      <c r="C38" s="282">
        <v>1.232</v>
      </c>
      <c r="D38" s="283">
        <v>1.232</v>
      </c>
      <c r="E38" s="292" t="s">
        <v>160</v>
      </c>
      <c r="F38" s="282">
        <v>0</v>
      </c>
      <c r="G38" s="283">
        <v>0</v>
      </c>
      <c r="H38" s="285">
        <v>0</v>
      </c>
      <c r="I38" s="282">
        <v>1.0820000000000001</v>
      </c>
      <c r="J38" s="283">
        <v>1.0820000000000001</v>
      </c>
      <c r="K38" s="295" t="s">
        <v>160</v>
      </c>
    </row>
    <row r="39" spans="1:11" ht="14.4" customHeight="1" thickBot="1" x14ac:dyDescent="0.35">
      <c r="A39" s="302" t="s">
        <v>31</v>
      </c>
      <c r="B39" s="282">
        <v>44.783541236422003</v>
      </c>
      <c r="C39" s="282">
        <v>45.20823</v>
      </c>
      <c r="D39" s="283">
        <v>0.42468876357699997</v>
      </c>
      <c r="E39" s="284">
        <v>1.0094831438480001</v>
      </c>
      <c r="F39" s="282">
        <v>45.083099121468003</v>
      </c>
      <c r="G39" s="283">
        <v>11.270774780367001</v>
      </c>
      <c r="H39" s="285">
        <v>3.5840399999999999</v>
      </c>
      <c r="I39" s="282">
        <v>9.9178700000000006</v>
      </c>
      <c r="J39" s="283">
        <v>-1.352904780367</v>
      </c>
      <c r="K39" s="286">
        <v>0.21999086560700001</v>
      </c>
    </row>
    <row r="40" spans="1:11" ht="14.4" customHeight="1" thickBot="1" x14ac:dyDescent="0.35">
      <c r="A40" s="303" t="s">
        <v>193</v>
      </c>
      <c r="B40" s="287">
        <v>22.455456364566999</v>
      </c>
      <c r="C40" s="287">
        <v>22.66911</v>
      </c>
      <c r="D40" s="288">
        <v>0.213653635432</v>
      </c>
      <c r="E40" s="293">
        <v>1.009514553254</v>
      </c>
      <c r="F40" s="287">
        <v>22.113995045054001</v>
      </c>
      <c r="G40" s="288">
        <v>5.5284987612630001</v>
      </c>
      <c r="H40" s="290">
        <v>1.75576</v>
      </c>
      <c r="I40" s="287">
        <v>4.16303</v>
      </c>
      <c r="J40" s="288">
        <v>-1.3654687612630001</v>
      </c>
      <c r="K40" s="291">
        <v>0.18825318498599999</v>
      </c>
    </row>
    <row r="41" spans="1:11" ht="14.4" customHeight="1" thickBot="1" x14ac:dyDescent="0.35">
      <c r="A41" s="304" t="s">
        <v>194</v>
      </c>
      <c r="B41" s="282">
        <v>6.4837612672110003</v>
      </c>
      <c r="C41" s="282">
        <v>6.0316000000000001</v>
      </c>
      <c r="D41" s="283">
        <v>-0.45216126721099997</v>
      </c>
      <c r="E41" s="284">
        <v>0.93026250526800003</v>
      </c>
      <c r="F41" s="282">
        <v>3.762911732389</v>
      </c>
      <c r="G41" s="283">
        <v>0.94072793309699998</v>
      </c>
      <c r="H41" s="285">
        <v>0.6099</v>
      </c>
      <c r="I41" s="282">
        <v>1.6207</v>
      </c>
      <c r="J41" s="283">
        <v>0.67997206690199996</v>
      </c>
      <c r="K41" s="286">
        <v>0.43070369842799999</v>
      </c>
    </row>
    <row r="42" spans="1:11" ht="14.4" customHeight="1" thickBot="1" x14ac:dyDescent="0.35">
      <c r="A42" s="304" t="s">
        <v>195</v>
      </c>
      <c r="B42" s="282">
        <v>15.971695097354999</v>
      </c>
      <c r="C42" s="282">
        <v>16.637509999999999</v>
      </c>
      <c r="D42" s="283">
        <v>0.66581490264400001</v>
      </c>
      <c r="E42" s="284">
        <v>1.0416871783849999</v>
      </c>
      <c r="F42" s="282">
        <v>18.351083312665001</v>
      </c>
      <c r="G42" s="283">
        <v>4.5877708281659997</v>
      </c>
      <c r="H42" s="285">
        <v>1.1458600000000001</v>
      </c>
      <c r="I42" s="282">
        <v>2.5423300000000002</v>
      </c>
      <c r="J42" s="283">
        <v>-2.0454408281659999</v>
      </c>
      <c r="K42" s="286">
        <v>0.13853841523499999</v>
      </c>
    </row>
    <row r="43" spans="1:11" ht="14.4" customHeight="1" thickBot="1" x14ac:dyDescent="0.35">
      <c r="A43" s="303" t="s">
        <v>196</v>
      </c>
      <c r="B43" s="287">
        <v>0.99999996850200001</v>
      </c>
      <c r="C43" s="287">
        <v>1.08</v>
      </c>
      <c r="D43" s="288">
        <v>8.0000031496999996E-2</v>
      </c>
      <c r="E43" s="293">
        <v>1.080000034017</v>
      </c>
      <c r="F43" s="287">
        <v>1.0000002756549999</v>
      </c>
      <c r="G43" s="288">
        <v>0.25000006891299997</v>
      </c>
      <c r="H43" s="290">
        <v>0</v>
      </c>
      <c r="I43" s="287">
        <v>0.27</v>
      </c>
      <c r="J43" s="288">
        <v>1.9999931086000001E-2</v>
      </c>
      <c r="K43" s="291">
        <v>0.26999992557199998</v>
      </c>
    </row>
    <row r="44" spans="1:11" ht="14.4" customHeight="1" thickBot="1" x14ac:dyDescent="0.35">
      <c r="A44" s="304" t="s">
        <v>197</v>
      </c>
      <c r="B44" s="282">
        <v>0.99999996850200001</v>
      </c>
      <c r="C44" s="282">
        <v>1.08</v>
      </c>
      <c r="D44" s="283">
        <v>8.0000031496999996E-2</v>
      </c>
      <c r="E44" s="284">
        <v>1.080000034017</v>
      </c>
      <c r="F44" s="282">
        <v>1.0000002756549999</v>
      </c>
      <c r="G44" s="283">
        <v>0.25000006891299997</v>
      </c>
      <c r="H44" s="285">
        <v>0</v>
      </c>
      <c r="I44" s="282">
        <v>0.27</v>
      </c>
      <c r="J44" s="283">
        <v>1.9999931086000001E-2</v>
      </c>
      <c r="K44" s="286">
        <v>0.26999992557199998</v>
      </c>
    </row>
    <row r="45" spans="1:11" ht="14.4" customHeight="1" thickBot="1" x14ac:dyDescent="0.35">
      <c r="A45" s="303" t="s">
        <v>198</v>
      </c>
      <c r="B45" s="287">
        <v>21.328084903352998</v>
      </c>
      <c r="C45" s="287">
        <v>21.459119999999999</v>
      </c>
      <c r="D45" s="288">
        <v>0.13103509664599999</v>
      </c>
      <c r="E45" s="293">
        <v>1.006143781649</v>
      </c>
      <c r="F45" s="287">
        <v>21.969103800757001</v>
      </c>
      <c r="G45" s="288">
        <v>5.4922759501889997</v>
      </c>
      <c r="H45" s="290">
        <v>1.8282799999999999</v>
      </c>
      <c r="I45" s="287">
        <v>5.4848400000000002</v>
      </c>
      <c r="J45" s="288">
        <v>-7.4359501889999999E-3</v>
      </c>
      <c r="K45" s="291">
        <v>0.24966152692099999</v>
      </c>
    </row>
    <row r="46" spans="1:11" ht="14.4" customHeight="1" thickBot="1" x14ac:dyDescent="0.35">
      <c r="A46" s="304" t="s">
        <v>199</v>
      </c>
      <c r="B46" s="282">
        <v>21.328084903352998</v>
      </c>
      <c r="C46" s="282">
        <v>21.459119999999999</v>
      </c>
      <c r="D46" s="283">
        <v>0.13103509664599999</v>
      </c>
      <c r="E46" s="284">
        <v>1.006143781649</v>
      </c>
      <c r="F46" s="282">
        <v>21.969103800757001</v>
      </c>
      <c r="G46" s="283">
        <v>5.4922759501889997</v>
      </c>
      <c r="H46" s="285">
        <v>1.8282799999999999</v>
      </c>
      <c r="I46" s="282">
        <v>5.4848400000000002</v>
      </c>
      <c r="J46" s="283">
        <v>-7.4359501889999999E-3</v>
      </c>
      <c r="K46" s="286">
        <v>0.24966152692099999</v>
      </c>
    </row>
    <row r="47" spans="1:11" ht="14.4" customHeight="1" thickBot="1" x14ac:dyDescent="0.35">
      <c r="A47" s="301" t="s">
        <v>32</v>
      </c>
      <c r="B47" s="282">
        <v>3652.9998849393501</v>
      </c>
      <c r="C47" s="282">
        <v>3772.6526399999998</v>
      </c>
      <c r="D47" s="283">
        <v>119.652755060647</v>
      </c>
      <c r="E47" s="284">
        <v>1.0327546561259999</v>
      </c>
      <c r="F47" s="282">
        <v>3802.0010480429</v>
      </c>
      <c r="G47" s="283">
        <v>950.50026201072399</v>
      </c>
      <c r="H47" s="285">
        <v>306.26925</v>
      </c>
      <c r="I47" s="282">
        <v>916.33614999999998</v>
      </c>
      <c r="J47" s="283">
        <v>-34.164112010723997</v>
      </c>
      <c r="K47" s="286">
        <v>0.24101417606700001</v>
      </c>
    </row>
    <row r="48" spans="1:11" ht="14.4" customHeight="1" thickBot="1" x14ac:dyDescent="0.35">
      <c r="A48" s="307" t="s">
        <v>200</v>
      </c>
      <c r="B48" s="287">
        <v>2707.9999147045601</v>
      </c>
      <c r="C48" s="287">
        <v>2794.5590000000002</v>
      </c>
      <c r="D48" s="288">
        <v>86.559085295436006</v>
      </c>
      <c r="E48" s="293">
        <v>1.031964212711</v>
      </c>
      <c r="F48" s="287">
        <v>2808.0007740411502</v>
      </c>
      <c r="G48" s="288">
        <v>702.000193510288</v>
      </c>
      <c r="H48" s="290">
        <v>226.02799999999999</v>
      </c>
      <c r="I48" s="287">
        <v>676.26199999999994</v>
      </c>
      <c r="J48" s="288">
        <v>-25.738193510287001</v>
      </c>
      <c r="K48" s="291">
        <v>0.240833979196</v>
      </c>
    </row>
    <row r="49" spans="1:11" ht="14.4" customHeight="1" thickBot="1" x14ac:dyDescent="0.35">
      <c r="A49" s="303" t="s">
        <v>201</v>
      </c>
      <c r="B49" s="287">
        <v>2699.9999149565401</v>
      </c>
      <c r="C49" s="287">
        <v>2794.5590000000002</v>
      </c>
      <c r="D49" s="288">
        <v>94.559085043454999</v>
      </c>
      <c r="E49" s="293">
        <v>1.0350218844520001</v>
      </c>
      <c r="F49" s="287">
        <v>2800.0007718359002</v>
      </c>
      <c r="G49" s="288">
        <v>700.00019295897596</v>
      </c>
      <c r="H49" s="290">
        <v>226.02799999999999</v>
      </c>
      <c r="I49" s="287">
        <v>676.26199999999994</v>
      </c>
      <c r="J49" s="288">
        <v>-23.738192958976001</v>
      </c>
      <c r="K49" s="291">
        <v>0.24152207628</v>
      </c>
    </row>
    <row r="50" spans="1:11" ht="14.4" customHeight="1" thickBot="1" x14ac:dyDescent="0.35">
      <c r="A50" s="304" t="s">
        <v>202</v>
      </c>
      <c r="B50" s="282">
        <v>2699.9999149565401</v>
      </c>
      <c r="C50" s="282">
        <v>2794.5590000000002</v>
      </c>
      <c r="D50" s="283">
        <v>94.559085043454999</v>
      </c>
      <c r="E50" s="284">
        <v>1.0350218844520001</v>
      </c>
      <c r="F50" s="282">
        <v>2800.0007718359002</v>
      </c>
      <c r="G50" s="283">
        <v>700.00019295897596</v>
      </c>
      <c r="H50" s="285">
        <v>226.02799999999999</v>
      </c>
      <c r="I50" s="282">
        <v>676.26199999999994</v>
      </c>
      <c r="J50" s="283">
        <v>-23.738192958976001</v>
      </c>
      <c r="K50" s="286">
        <v>0.24152207628</v>
      </c>
    </row>
    <row r="51" spans="1:11" ht="14.4" customHeight="1" thickBot="1" x14ac:dyDescent="0.35">
      <c r="A51" s="303" t="s">
        <v>203</v>
      </c>
      <c r="B51" s="287">
        <v>7.9999997480190004</v>
      </c>
      <c r="C51" s="287">
        <v>0</v>
      </c>
      <c r="D51" s="288">
        <v>-7.9999997480190004</v>
      </c>
      <c r="E51" s="293">
        <v>0</v>
      </c>
      <c r="F51" s="287">
        <v>8.0000022052449999</v>
      </c>
      <c r="G51" s="288">
        <v>2.000000551311</v>
      </c>
      <c r="H51" s="290">
        <v>0</v>
      </c>
      <c r="I51" s="287">
        <v>0</v>
      </c>
      <c r="J51" s="288">
        <v>-2.000000551311</v>
      </c>
      <c r="K51" s="291">
        <v>0</v>
      </c>
    </row>
    <row r="52" spans="1:11" ht="14.4" customHeight="1" thickBot="1" x14ac:dyDescent="0.35">
      <c r="A52" s="304" t="s">
        <v>204</v>
      </c>
      <c r="B52" s="282">
        <v>7.9999997480190004</v>
      </c>
      <c r="C52" s="282">
        <v>0</v>
      </c>
      <c r="D52" s="283">
        <v>-7.9999997480190004</v>
      </c>
      <c r="E52" s="284">
        <v>0</v>
      </c>
      <c r="F52" s="282">
        <v>8.0000022052449999</v>
      </c>
      <c r="G52" s="283">
        <v>2.000000551311</v>
      </c>
      <c r="H52" s="285">
        <v>0</v>
      </c>
      <c r="I52" s="282">
        <v>0</v>
      </c>
      <c r="J52" s="283">
        <v>-2.000000551311</v>
      </c>
      <c r="K52" s="286">
        <v>0</v>
      </c>
    </row>
    <row r="53" spans="1:11" ht="14.4" customHeight="1" thickBot="1" x14ac:dyDescent="0.35">
      <c r="A53" s="302" t="s">
        <v>205</v>
      </c>
      <c r="B53" s="282">
        <v>917.99997108522405</v>
      </c>
      <c r="C53" s="282">
        <v>950.14873</v>
      </c>
      <c r="D53" s="283">
        <v>32.148758914775001</v>
      </c>
      <c r="E53" s="284">
        <v>1.0350204356499999</v>
      </c>
      <c r="F53" s="282">
        <v>952.00026242420802</v>
      </c>
      <c r="G53" s="283">
        <v>238.000065606052</v>
      </c>
      <c r="H53" s="285">
        <v>76.849999999999994</v>
      </c>
      <c r="I53" s="282">
        <v>229.92949999999999</v>
      </c>
      <c r="J53" s="283">
        <v>-8.0705656060509998</v>
      </c>
      <c r="K53" s="286">
        <v>0.24152251745600001</v>
      </c>
    </row>
    <row r="54" spans="1:11" ht="14.4" customHeight="1" thickBot="1" x14ac:dyDescent="0.35">
      <c r="A54" s="303" t="s">
        <v>206</v>
      </c>
      <c r="B54" s="287">
        <v>242.99999234608899</v>
      </c>
      <c r="C54" s="287">
        <v>251.50898000000001</v>
      </c>
      <c r="D54" s="288">
        <v>8.5089876539109994</v>
      </c>
      <c r="E54" s="293">
        <v>1.0350164112010001</v>
      </c>
      <c r="F54" s="287">
        <v>252.00006946523101</v>
      </c>
      <c r="G54" s="288">
        <v>63.000017366306999</v>
      </c>
      <c r="H54" s="290">
        <v>20.343</v>
      </c>
      <c r="I54" s="287">
        <v>60.863999999999997</v>
      </c>
      <c r="J54" s="288">
        <v>-2.1360173663070001</v>
      </c>
      <c r="K54" s="291">
        <v>0.24152374294599999</v>
      </c>
    </row>
    <row r="55" spans="1:11" ht="14.4" customHeight="1" thickBot="1" x14ac:dyDescent="0.35">
      <c r="A55" s="304" t="s">
        <v>207</v>
      </c>
      <c r="B55" s="282">
        <v>242.99999234608899</v>
      </c>
      <c r="C55" s="282">
        <v>251.50898000000001</v>
      </c>
      <c r="D55" s="283">
        <v>8.5089876539109994</v>
      </c>
      <c r="E55" s="284">
        <v>1.0350164112010001</v>
      </c>
      <c r="F55" s="282">
        <v>252.00006946523101</v>
      </c>
      <c r="G55" s="283">
        <v>63.000017366306999</v>
      </c>
      <c r="H55" s="285">
        <v>20.343</v>
      </c>
      <c r="I55" s="282">
        <v>60.863999999999997</v>
      </c>
      <c r="J55" s="283">
        <v>-2.1360173663070001</v>
      </c>
      <c r="K55" s="286">
        <v>0.24152374294599999</v>
      </c>
    </row>
    <row r="56" spans="1:11" ht="14.4" customHeight="1" thickBot="1" x14ac:dyDescent="0.35">
      <c r="A56" s="303" t="s">
        <v>208</v>
      </c>
      <c r="B56" s="287">
        <v>674.99997873913503</v>
      </c>
      <c r="C56" s="287">
        <v>698.63975000000005</v>
      </c>
      <c r="D56" s="288">
        <v>23.639771260863998</v>
      </c>
      <c r="E56" s="293">
        <v>1.0350218844520001</v>
      </c>
      <c r="F56" s="287">
        <v>700.00019295897596</v>
      </c>
      <c r="G56" s="288">
        <v>175.00004823974399</v>
      </c>
      <c r="H56" s="290">
        <v>56.506999999999998</v>
      </c>
      <c r="I56" s="287">
        <v>169.06549999999999</v>
      </c>
      <c r="J56" s="288">
        <v>-5.9345482397440001</v>
      </c>
      <c r="K56" s="291">
        <v>0.24152207628</v>
      </c>
    </row>
    <row r="57" spans="1:11" ht="14.4" customHeight="1" thickBot="1" x14ac:dyDescent="0.35">
      <c r="A57" s="304" t="s">
        <v>209</v>
      </c>
      <c r="B57" s="282">
        <v>674.99997873913503</v>
      </c>
      <c r="C57" s="282">
        <v>698.63975000000005</v>
      </c>
      <c r="D57" s="283">
        <v>23.639771260863998</v>
      </c>
      <c r="E57" s="284">
        <v>1.0350218844520001</v>
      </c>
      <c r="F57" s="282">
        <v>700.00019295897596</v>
      </c>
      <c r="G57" s="283">
        <v>175.00004823974399</v>
      </c>
      <c r="H57" s="285">
        <v>56.506999999999998</v>
      </c>
      <c r="I57" s="282">
        <v>169.06549999999999</v>
      </c>
      <c r="J57" s="283">
        <v>-5.9345482397440001</v>
      </c>
      <c r="K57" s="286">
        <v>0.24152207628</v>
      </c>
    </row>
    <row r="58" spans="1:11" ht="14.4" customHeight="1" thickBot="1" x14ac:dyDescent="0.35">
      <c r="A58" s="302" t="s">
        <v>210</v>
      </c>
      <c r="B58" s="282">
        <v>26.999999149564999</v>
      </c>
      <c r="C58" s="282">
        <v>27.94491</v>
      </c>
      <c r="D58" s="283">
        <v>0.94491085043400003</v>
      </c>
      <c r="E58" s="284">
        <v>1.034996699266</v>
      </c>
      <c r="F58" s="282">
        <v>42.000011577537997</v>
      </c>
      <c r="G58" s="283">
        <v>10.500002894384</v>
      </c>
      <c r="H58" s="285">
        <v>3.3912499999999999</v>
      </c>
      <c r="I58" s="282">
        <v>10.14465</v>
      </c>
      <c r="J58" s="283">
        <v>-0.35535289438399997</v>
      </c>
      <c r="K58" s="286">
        <v>0.24153921913199999</v>
      </c>
    </row>
    <row r="59" spans="1:11" ht="14.4" customHeight="1" thickBot="1" x14ac:dyDescent="0.35">
      <c r="A59" s="303" t="s">
        <v>211</v>
      </c>
      <c r="B59" s="287">
        <v>26.999999149564999</v>
      </c>
      <c r="C59" s="287">
        <v>27.94491</v>
      </c>
      <c r="D59" s="288">
        <v>0.94491085043400003</v>
      </c>
      <c r="E59" s="293">
        <v>1.034996699266</v>
      </c>
      <c r="F59" s="287">
        <v>42.000011577537997</v>
      </c>
      <c r="G59" s="288">
        <v>10.500002894384</v>
      </c>
      <c r="H59" s="290">
        <v>3.3912499999999999</v>
      </c>
      <c r="I59" s="287">
        <v>10.14465</v>
      </c>
      <c r="J59" s="288">
        <v>-0.35535289438399997</v>
      </c>
      <c r="K59" s="291">
        <v>0.24153921913199999</v>
      </c>
    </row>
    <row r="60" spans="1:11" ht="14.4" customHeight="1" thickBot="1" x14ac:dyDescent="0.35">
      <c r="A60" s="304" t="s">
        <v>212</v>
      </c>
      <c r="B60" s="282">
        <v>26.999999149564999</v>
      </c>
      <c r="C60" s="282">
        <v>27.94491</v>
      </c>
      <c r="D60" s="283">
        <v>0.94491085043400003</v>
      </c>
      <c r="E60" s="284">
        <v>1.034996699266</v>
      </c>
      <c r="F60" s="282">
        <v>42.000011577537997</v>
      </c>
      <c r="G60" s="283">
        <v>10.500002894384</v>
      </c>
      <c r="H60" s="285">
        <v>3.3912499999999999</v>
      </c>
      <c r="I60" s="282">
        <v>10.14465</v>
      </c>
      <c r="J60" s="283">
        <v>-0.35535289438399997</v>
      </c>
      <c r="K60" s="286">
        <v>0.24153921913199999</v>
      </c>
    </row>
    <row r="61" spans="1:11" ht="14.4" customHeight="1" thickBot="1" x14ac:dyDescent="0.35">
      <c r="A61" s="301" t="s">
        <v>213</v>
      </c>
      <c r="B61" s="282">
        <v>0</v>
      </c>
      <c r="C61" s="282">
        <v>0.15090000000000001</v>
      </c>
      <c r="D61" s="283">
        <v>0.15090000000000001</v>
      </c>
      <c r="E61" s="292" t="s">
        <v>160</v>
      </c>
      <c r="F61" s="282">
        <v>8.6443874471999999E-2</v>
      </c>
      <c r="G61" s="283">
        <v>2.1610968618E-2</v>
      </c>
      <c r="H61" s="285">
        <v>0.11</v>
      </c>
      <c r="I61" s="282">
        <v>0.11</v>
      </c>
      <c r="J61" s="283">
        <v>8.8389031381000002E-2</v>
      </c>
      <c r="K61" s="286">
        <v>1.2725019635129999</v>
      </c>
    </row>
    <row r="62" spans="1:11" ht="14.4" customHeight="1" thickBot="1" x14ac:dyDescent="0.35">
      <c r="A62" s="302" t="s">
        <v>214</v>
      </c>
      <c r="B62" s="282">
        <v>0</v>
      </c>
      <c r="C62" s="282">
        <v>0.15090000000000001</v>
      </c>
      <c r="D62" s="283">
        <v>0.15090000000000001</v>
      </c>
      <c r="E62" s="292" t="s">
        <v>160</v>
      </c>
      <c r="F62" s="282">
        <v>8.6443874471999999E-2</v>
      </c>
      <c r="G62" s="283">
        <v>2.1610968618E-2</v>
      </c>
      <c r="H62" s="285">
        <v>0.11</v>
      </c>
      <c r="I62" s="282">
        <v>0.11</v>
      </c>
      <c r="J62" s="283">
        <v>8.8389031381000002E-2</v>
      </c>
      <c r="K62" s="286">
        <v>1.2725019635129999</v>
      </c>
    </row>
    <row r="63" spans="1:11" ht="14.4" customHeight="1" thickBot="1" x14ac:dyDescent="0.35">
      <c r="A63" s="303" t="s">
        <v>215</v>
      </c>
      <c r="B63" s="287">
        <v>0</v>
      </c>
      <c r="C63" s="287">
        <v>0.15090000000000001</v>
      </c>
      <c r="D63" s="288">
        <v>0.15090000000000001</v>
      </c>
      <c r="E63" s="289" t="s">
        <v>160</v>
      </c>
      <c r="F63" s="287">
        <v>8.6443874471999999E-2</v>
      </c>
      <c r="G63" s="288">
        <v>2.1610968618E-2</v>
      </c>
      <c r="H63" s="290">
        <v>0.11</v>
      </c>
      <c r="I63" s="287">
        <v>0.11</v>
      </c>
      <c r="J63" s="288">
        <v>8.8389031381000002E-2</v>
      </c>
      <c r="K63" s="291">
        <v>1.2725019635129999</v>
      </c>
    </row>
    <row r="64" spans="1:11" ht="14.4" customHeight="1" thickBot="1" x14ac:dyDescent="0.35">
      <c r="A64" s="304" t="s">
        <v>216</v>
      </c>
      <c r="B64" s="282">
        <v>0</v>
      </c>
      <c r="C64" s="282">
        <v>5.0900000000000001E-2</v>
      </c>
      <c r="D64" s="283">
        <v>5.0900000000000001E-2</v>
      </c>
      <c r="E64" s="292" t="s">
        <v>166</v>
      </c>
      <c r="F64" s="282">
        <v>0</v>
      </c>
      <c r="G64" s="283">
        <v>0</v>
      </c>
      <c r="H64" s="285">
        <v>0</v>
      </c>
      <c r="I64" s="282">
        <v>0</v>
      </c>
      <c r="J64" s="283">
        <v>0</v>
      </c>
      <c r="K64" s="295" t="s">
        <v>160</v>
      </c>
    </row>
    <row r="65" spans="1:11" ht="14.4" customHeight="1" thickBot="1" x14ac:dyDescent="0.35">
      <c r="A65" s="304" t="s">
        <v>217</v>
      </c>
      <c r="B65" s="282">
        <v>0</v>
      </c>
      <c r="C65" s="282">
        <v>0.1</v>
      </c>
      <c r="D65" s="283">
        <v>0.1</v>
      </c>
      <c r="E65" s="292" t="s">
        <v>160</v>
      </c>
      <c r="F65" s="282">
        <v>8.6443874471999999E-2</v>
      </c>
      <c r="G65" s="283">
        <v>2.1610968618E-2</v>
      </c>
      <c r="H65" s="285">
        <v>0.11</v>
      </c>
      <c r="I65" s="282">
        <v>0.11</v>
      </c>
      <c r="J65" s="283">
        <v>8.8389031381000002E-2</v>
      </c>
      <c r="K65" s="286">
        <v>1.2725019635129999</v>
      </c>
    </row>
    <row r="66" spans="1:11" ht="14.4" customHeight="1" thickBot="1" x14ac:dyDescent="0.35">
      <c r="A66" s="301" t="s">
        <v>218</v>
      </c>
      <c r="B66" s="282">
        <v>16.99999946454</v>
      </c>
      <c r="C66" s="282">
        <v>16.86</v>
      </c>
      <c r="D66" s="283">
        <v>-0.13999946454000001</v>
      </c>
      <c r="E66" s="284">
        <v>0.99176473712000002</v>
      </c>
      <c r="F66" s="282">
        <v>17.000042408816</v>
      </c>
      <c r="G66" s="283">
        <v>4.2500106022040001</v>
      </c>
      <c r="H66" s="285">
        <v>1.405</v>
      </c>
      <c r="I66" s="282">
        <v>4.2149999999999999</v>
      </c>
      <c r="J66" s="283">
        <v>-3.5010602203999999E-2</v>
      </c>
      <c r="K66" s="286">
        <v>0.247940557949</v>
      </c>
    </row>
    <row r="67" spans="1:11" ht="14.4" customHeight="1" thickBot="1" x14ac:dyDescent="0.35">
      <c r="A67" s="302" t="s">
        <v>219</v>
      </c>
      <c r="B67" s="282">
        <v>16.99999946454</v>
      </c>
      <c r="C67" s="282">
        <v>16.86</v>
      </c>
      <c r="D67" s="283">
        <v>-0.13999946454000001</v>
      </c>
      <c r="E67" s="284">
        <v>0.99176473712000002</v>
      </c>
      <c r="F67" s="282">
        <v>17.000042408816</v>
      </c>
      <c r="G67" s="283">
        <v>4.2500106022040001</v>
      </c>
      <c r="H67" s="285">
        <v>1.405</v>
      </c>
      <c r="I67" s="282">
        <v>4.2149999999999999</v>
      </c>
      <c r="J67" s="283">
        <v>-3.5010602203999999E-2</v>
      </c>
      <c r="K67" s="286">
        <v>0.247940557949</v>
      </c>
    </row>
    <row r="68" spans="1:11" ht="14.4" customHeight="1" thickBot="1" x14ac:dyDescent="0.35">
      <c r="A68" s="303" t="s">
        <v>220</v>
      </c>
      <c r="B68" s="287">
        <v>16.99999946454</v>
      </c>
      <c r="C68" s="287">
        <v>16.86</v>
      </c>
      <c r="D68" s="288">
        <v>-0.13999946454000001</v>
      </c>
      <c r="E68" s="293">
        <v>0.99176473712000002</v>
      </c>
      <c r="F68" s="287">
        <v>17.000042408816</v>
      </c>
      <c r="G68" s="288">
        <v>4.2500106022040001</v>
      </c>
      <c r="H68" s="290">
        <v>1.405</v>
      </c>
      <c r="I68" s="287">
        <v>4.2149999999999999</v>
      </c>
      <c r="J68" s="288">
        <v>-3.5010602203999999E-2</v>
      </c>
      <c r="K68" s="291">
        <v>0.247940557949</v>
      </c>
    </row>
    <row r="69" spans="1:11" ht="14.4" customHeight="1" thickBot="1" x14ac:dyDescent="0.35">
      <c r="A69" s="304" t="s">
        <v>221</v>
      </c>
      <c r="B69" s="282">
        <v>16.99999946454</v>
      </c>
      <c r="C69" s="282">
        <v>16.86</v>
      </c>
      <c r="D69" s="283">
        <v>-0.13999946454000001</v>
      </c>
      <c r="E69" s="284">
        <v>0.99176473712000002</v>
      </c>
      <c r="F69" s="282">
        <v>17.000042408816</v>
      </c>
      <c r="G69" s="283">
        <v>4.2500106022040001</v>
      </c>
      <c r="H69" s="285">
        <v>1.405</v>
      </c>
      <c r="I69" s="282">
        <v>4.2149999999999999</v>
      </c>
      <c r="J69" s="283">
        <v>-3.5010602203999999E-2</v>
      </c>
      <c r="K69" s="286">
        <v>0.247940557949</v>
      </c>
    </row>
    <row r="70" spans="1:11" ht="14.4" customHeight="1" thickBot="1" x14ac:dyDescent="0.35">
      <c r="A70" s="300" t="s">
        <v>222</v>
      </c>
      <c r="B70" s="282">
        <v>10.231484933615</v>
      </c>
      <c r="C70" s="282">
        <v>4.96868</v>
      </c>
      <c r="D70" s="283">
        <v>-5.2628049336149996</v>
      </c>
      <c r="E70" s="284">
        <v>0.48562647868199998</v>
      </c>
      <c r="F70" s="282">
        <v>3.9967298604080002</v>
      </c>
      <c r="G70" s="283">
        <v>0.99918246510200004</v>
      </c>
      <c r="H70" s="285">
        <v>0</v>
      </c>
      <c r="I70" s="282">
        <v>0</v>
      </c>
      <c r="J70" s="283">
        <v>-0.99918246510200004</v>
      </c>
      <c r="K70" s="286">
        <v>0</v>
      </c>
    </row>
    <row r="71" spans="1:11" ht="14.4" customHeight="1" thickBot="1" x14ac:dyDescent="0.35">
      <c r="A71" s="301" t="s">
        <v>223</v>
      </c>
      <c r="B71" s="282">
        <v>10.231484933615</v>
      </c>
      <c r="C71" s="282">
        <v>4.96868</v>
      </c>
      <c r="D71" s="283">
        <v>-5.2628049336149996</v>
      </c>
      <c r="E71" s="284">
        <v>0.48562647868199998</v>
      </c>
      <c r="F71" s="282">
        <v>3.9967298604080002</v>
      </c>
      <c r="G71" s="283">
        <v>0.99918246510200004</v>
      </c>
      <c r="H71" s="285">
        <v>0</v>
      </c>
      <c r="I71" s="282">
        <v>0</v>
      </c>
      <c r="J71" s="283">
        <v>-0.99918246510200004</v>
      </c>
      <c r="K71" s="286">
        <v>0</v>
      </c>
    </row>
    <row r="72" spans="1:11" ht="14.4" customHeight="1" thickBot="1" x14ac:dyDescent="0.35">
      <c r="A72" s="307" t="s">
        <v>224</v>
      </c>
      <c r="B72" s="287">
        <v>10.231484933615</v>
      </c>
      <c r="C72" s="287">
        <v>4.96868</v>
      </c>
      <c r="D72" s="288">
        <v>-5.2628049336149996</v>
      </c>
      <c r="E72" s="293">
        <v>0.48562647868199998</v>
      </c>
      <c r="F72" s="287">
        <v>3.9967298604080002</v>
      </c>
      <c r="G72" s="288">
        <v>0.99918246510200004</v>
      </c>
      <c r="H72" s="290">
        <v>0</v>
      </c>
      <c r="I72" s="287">
        <v>0</v>
      </c>
      <c r="J72" s="288">
        <v>-0.99918246510200004</v>
      </c>
      <c r="K72" s="291">
        <v>0</v>
      </c>
    </row>
    <row r="73" spans="1:11" ht="14.4" customHeight="1" thickBot="1" x14ac:dyDescent="0.35">
      <c r="A73" s="303" t="s">
        <v>225</v>
      </c>
      <c r="B73" s="287">
        <v>0</v>
      </c>
      <c r="C73" s="287">
        <v>8.0000000000000007E-5</v>
      </c>
      <c r="D73" s="288">
        <v>8.0000000000000007E-5</v>
      </c>
      <c r="E73" s="289" t="s">
        <v>160</v>
      </c>
      <c r="F73" s="287">
        <v>0</v>
      </c>
      <c r="G73" s="288">
        <v>0</v>
      </c>
      <c r="H73" s="290">
        <v>0</v>
      </c>
      <c r="I73" s="287">
        <v>0</v>
      </c>
      <c r="J73" s="288">
        <v>0</v>
      </c>
      <c r="K73" s="294" t="s">
        <v>160</v>
      </c>
    </row>
    <row r="74" spans="1:11" ht="14.4" customHeight="1" thickBot="1" x14ac:dyDescent="0.35">
      <c r="A74" s="304" t="s">
        <v>226</v>
      </c>
      <c r="B74" s="282">
        <v>0</v>
      </c>
      <c r="C74" s="282">
        <v>8.0000000000000007E-5</v>
      </c>
      <c r="D74" s="283">
        <v>8.0000000000000007E-5</v>
      </c>
      <c r="E74" s="292" t="s">
        <v>160</v>
      </c>
      <c r="F74" s="282">
        <v>0</v>
      </c>
      <c r="G74" s="283">
        <v>0</v>
      </c>
      <c r="H74" s="285">
        <v>0</v>
      </c>
      <c r="I74" s="282">
        <v>0</v>
      </c>
      <c r="J74" s="283">
        <v>0</v>
      </c>
      <c r="K74" s="295" t="s">
        <v>160</v>
      </c>
    </row>
    <row r="75" spans="1:11" ht="14.4" customHeight="1" thickBot="1" x14ac:dyDescent="0.35">
      <c r="A75" s="303" t="s">
        <v>227</v>
      </c>
      <c r="B75" s="287">
        <v>10.231484933615</v>
      </c>
      <c r="C75" s="287">
        <v>4.9686000000000003</v>
      </c>
      <c r="D75" s="288">
        <v>-5.2628849336150001</v>
      </c>
      <c r="E75" s="293">
        <v>0.48561865968000001</v>
      </c>
      <c r="F75" s="287">
        <v>3.9967298604080002</v>
      </c>
      <c r="G75" s="288">
        <v>0.99918246510200004</v>
      </c>
      <c r="H75" s="290">
        <v>0</v>
      </c>
      <c r="I75" s="287">
        <v>0</v>
      </c>
      <c r="J75" s="288">
        <v>-0.99918246510200004</v>
      </c>
      <c r="K75" s="291">
        <v>0</v>
      </c>
    </row>
    <row r="76" spans="1:11" ht="14.4" customHeight="1" thickBot="1" x14ac:dyDescent="0.35">
      <c r="A76" s="304" t="s">
        <v>228</v>
      </c>
      <c r="B76" s="282">
        <v>0</v>
      </c>
      <c r="C76" s="282">
        <v>0.01</v>
      </c>
      <c r="D76" s="283">
        <v>0.01</v>
      </c>
      <c r="E76" s="292" t="s">
        <v>160</v>
      </c>
      <c r="F76" s="282">
        <v>9.9341064629999993E-3</v>
      </c>
      <c r="G76" s="283">
        <v>2.4835266149999999E-3</v>
      </c>
      <c r="H76" s="285">
        <v>0</v>
      </c>
      <c r="I76" s="282">
        <v>0</v>
      </c>
      <c r="J76" s="283">
        <v>-2.4835266149999999E-3</v>
      </c>
      <c r="K76" s="286">
        <v>0</v>
      </c>
    </row>
    <row r="77" spans="1:11" ht="14.4" customHeight="1" thickBot="1" x14ac:dyDescent="0.35">
      <c r="A77" s="304" t="s">
        <v>229</v>
      </c>
      <c r="B77" s="282">
        <v>10.231484933615</v>
      </c>
      <c r="C77" s="282">
        <v>4.9585999999999997</v>
      </c>
      <c r="D77" s="283">
        <v>-5.2728849336149999</v>
      </c>
      <c r="E77" s="284">
        <v>0.48464128444400001</v>
      </c>
      <c r="F77" s="282">
        <v>3.9867957539450001</v>
      </c>
      <c r="G77" s="283">
        <v>0.996698938486</v>
      </c>
      <c r="H77" s="285">
        <v>0</v>
      </c>
      <c r="I77" s="282">
        <v>0</v>
      </c>
      <c r="J77" s="283">
        <v>-0.996698938486</v>
      </c>
      <c r="K77" s="286">
        <v>0</v>
      </c>
    </row>
    <row r="78" spans="1:11" ht="14.4" customHeight="1" thickBot="1" x14ac:dyDescent="0.35">
      <c r="A78" s="300" t="s">
        <v>230</v>
      </c>
      <c r="B78" s="282">
        <v>598.83737160582905</v>
      </c>
      <c r="C78" s="282">
        <v>577.62096000000099</v>
      </c>
      <c r="D78" s="283">
        <v>-21.216411605828</v>
      </c>
      <c r="E78" s="284">
        <v>0.96457066206599995</v>
      </c>
      <c r="F78" s="282">
        <v>0</v>
      </c>
      <c r="G78" s="283">
        <v>0</v>
      </c>
      <c r="H78" s="285">
        <v>44.363509999999998</v>
      </c>
      <c r="I78" s="282">
        <v>131.09375</v>
      </c>
      <c r="J78" s="283">
        <v>131.09375</v>
      </c>
      <c r="K78" s="295" t="s">
        <v>166</v>
      </c>
    </row>
    <row r="79" spans="1:11" ht="14.4" customHeight="1" thickBot="1" x14ac:dyDescent="0.35">
      <c r="A79" s="305" t="s">
        <v>231</v>
      </c>
      <c r="B79" s="287">
        <v>598.83737160582905</v>
      </c>
      <c r="C79" s="287">
        <v>577.62096000000099</v>
      </c>
      <c r="D79" s="288">
        <v>-21.216411605828</v>
      </c>
      <c r="E79" s="293">
        <v>0.96457066206599995</v>
      </c>
      <c r="F79" s="287">
        <v>0</v>
      </c>
      <c r="G79" s="288">
        <v>0</v>
      </c>
      <c r="H79" s="290">
        <v>44.363509999999998</v>
      </c>
      <c r="I79" s="287">
        <v>131.09375</v>
      </c>
      <c r="J79" s="288">
        <v>131.09375</v>
      </c>
      <c r="K79" s="294" t="s">
        <v>166</v>
      </c>
    </row>
    <row r="80" spans="1:11" ht="14.4" customHeight="1" thickBot="1" x14ac:dyDescent="0.35">
      <c r="A80" s="307" t="s">
        <v>38</v>
      </c>
      <c r="B80" s="287">
        <v>598.83737160582905</v>
      </c>
      <c r="C80" s="287">
        <v>577.62096000000099</v>
      </c>
      <c r="D80" s="288">
        <v>-21.216411605828</v>
      </c>
      <c r="E80" s="293">
        <v>0.96457066206599995</v>
      </c>
      <c r="F80" s="287">
        <v>0</v>
      </c>
      <c r="G80" s="288">
        <v>0</v>
      </c>
      <c r="H80" s="290">
        <v>44.363509999999998</v>
      </c>
      <c r="I80" s="287">
        <v>131.09375</v>
      </c>
      <c r="J80" s="288">
        <v>131.09375</v>
      </c>
      <c r="K80" s="294" t="s">
        <v>166</v>
      </c>
    </row>
    <row r="81" spans="1:11" ht="14.4" customHeight="1" thickBot="1" x14ac:dyDescent="0.35">
      <c r="A81" s="303" t="s">
        <v>232</v>
      </c>
      <c r="B81" s="287">
        <v>0</v>
      </c>
      <c r="C81" s="287">
        <v>0</v>
      </c>
      <c r="D81" s="288">
        <v>0</v>
      </c>
      <c r="E81" s="289" t="s">
        <v>160</v>
      </c>
      <c r="F81" s="287">
        <v>0</v>
      </c>
      <c r="G81" s="288">
        <v>0</v>
      </c>
      <c r="H81" s="290">
        <v>0</v>
      </c>
      <c r="I81" s="287">
        <v>7.3499999999999996E-2</v>
      </c>
      <c r="J81" s="288">
        <v>7.3499999999999996E-2</v>
      </c>
      <c r="K81" s="294" t="s">
        <v>166</v>
      </c>
    </row>
    <row r="82" spans="1:11" ht="14.4" customHeight="1" thickBot="1" x14ac:dyDescent="0.35">
      <c r="A82" s="304" t="s">
        <v>233</v>
      </c>
      <c r="B82" s="282">
        <v>0</v>
      </c>
      <c r="C82" s="282">
        <v>0</v>
      </c>
      <c r="D82" s="283">
        <v>0</v>
      </c>
      <c r="E82" s="284">
        <v>1</v>
      </c>
      <c r="F82" s="282">
        <v>0</v>
      </c>
      <c r="G82" s="283">
        <v>0</v>
      </c>
      <c r="H82" s="285">
        <v>0</v>
      </c>
      <c r="I82" s="282">
        <v>7.3499999999999996E-2</v>
      </c>
      <c r="J82" s="283">
        <v>7.3499999999999996E-2</v>
      </c>
      <c r="K82" s="295" t="s">
        <v>166</v>
      </c>
    </row>
    <row r="83" spans="1:11" ht="14.4" customHeight="1" thickBot="1" x14ac:dyDescent="0.35">
      <c r="A83" s="303" t="s">
        <v>234</v>
      </c>
      <c r="B83" s="287">
        <v>12.389070186610001</v>
      </c>
      <c r="C83" s="287">
        <v>11.81488</v>
      </c>
      <c r="D83" s="288">
        <v>-0.57419018660999999</v>
      </c>
      <c r="E83" s="293">
        <v>0.95365348827899998</v>
      </c>
      <c r="F83" s="287">
        <v>0</v>
      </c>
      <c r="G83" s="288">
        <v>0</v>
      </c>
      <c r="H83" s="290">
        <v>1.2146999999999999</v>
      </c>
      <c r="I83" s="287">
        <v>3.1972</v>
      </c>
      <c r="J83" s="288">
        <v>3.1972</v>
      </c>
      <c r="K83" s="294" t="s">
        <v>166</v>
      </c>
    </row>
    <row r="84" spans="1:11" ht="14.4" customHeight="1" thickBot="1" x14ac:dyDescent="0.35">
      <c r="A84" s="304" t="s">
        <v>235</v>
      </c>
      <c r="B84" s="282">
        <v>12.389070186610001</v>
      </c>
      <c r="C84" s="282">
        <v>11.81488</v>
      </c>
      <c r="D84" s="283">
        <v>-0.57419018660999999</v>
      </c>
      <c r="E84" s="284">
        <v>0.95365348827899998</v>
      </c>
      <c r="F84" s="282">
        <v>0</v>
      </c>
      <c r="G84" s="283">
        <v>0</v>
      </c>
      <c r="H84" s="285">
        <v>1.2146999999999999</v>
      </c>
      <c r="I84" s="282">
        <v>3.1972</v>
      </c>
      <c r="J84" s="283">
        <v>3.1972</v>
      </c>
      <c r="K84" s="295" t="s">
        <v>166</v>
      </c>
    </row>
    <row r="85" spans="1:11" ht="14.4" customHeight="1" thickBot="1" x14ac:dyDescent="0.35">
      <c r="A85" s="303" t="s">
        <v>236</v>
      </c>
      <c r="B85" s="287">
        <v>0</v>
      </c>
      <c r="C85" s="287">
        <v>0.28000000000000003</v>
      </c>
      <c r="D85" s="288">
        <v>0.28000000000000003</v>
      </c>
      <c r="E85" s="289" t="s">
        <v>160</v>
      </c>
      <c r="F85" s="287">
        <v>0</v>
      </c>
      <c r="G85" s="288">
        <v>0</v>
      </c>
      <c r="H85" s="290">
        <v>0</v>
      </c>
      <c r="I85" s="287">
        <v>0</v>
      </c>
      <c r="J85" s="288">
        <v>0</v>
      </c>
      <c r="K85" s="291">
        <v>3</v>
      </c>
    </row>
    <row r="86" spans="1:11" ht="14.4" customHeight="1" thickBot="1" x14ac:dyDescent="0.35">
      <c r="A86" s="304" t="s">
        <v>237</v>
      </c>
      <c r="B86" s="282">
        <v>0</v>
      </c>
      <c r="C86" s="282">
        <v>0.28000000000000003</v>
      </c>
      <c r="D86" s="283">
        <v>0.28000000000000003</v>
      </c>
      <c r="E86" s="292" t="s">
        <v>160</v>
      </c>
      <c r="F86" s="282">
        <v>0</v>
      </c>
      <c r="G86" s="283">
        <v>0</v>
      </c>
      <c r="H86" s="285">
        <v>0</v>
      </c>
      <c r="I86" s="282">
        <v>0</v>
      </c>
      <c r="J86" s="283">
        <v>0</v>
      </c>
      <c r="K86" s="286">
        <v>3</v>
      </c>
    </row>
    <row r="87" spans="1:11" ht="14.4" customHeight="1" thickBot="1" x14ac:dyDescent="0.35">
      <c r="A87" s="303" t="s">
        <v>238</v>
      </c>
      <c r="B87" s="287">
        <v>188</v>
      </c>
      <c r="C87" s="287">
        <v>171.4469</v>
      </c>
      <c r="D87" s="288">
        <v>-16.553099999998999</v>
      </c>
      <c r="E87" s="293">
        <v>0.91195159574399998</v>
      </c>
      <c r="F87" s="287">
        <v>0</v>
      </c>
      <c r="G87" s="288">
        <v>0</v>
      </c>
      <c r="H87" s="290">
        <v>10.18164</v>
      </c>
      <c r="I87" s="287">
        <v>35.033059999999999</v>
      </c>
      <c r="J87" s="288">
        <v>35.033059999999999</v>
      </c>
      <c r="K87" s="294" t="s">
        <v>166</v>
      </c>
    </row>
    <row r="88" spans="1:11" ht="14.4" customHeight="1" thickBot="1" x14ac:dyDescent="0.35">
      <c r="A88" s="304" t="s">
        <v>239</v>
      </c>
      <c r="B88" s="282">
        <v>188</v>
      </c>
      <c r="C88" s="282">
        <v>171.4469</v>
      </c>
      <c r="D88" s="283">
        <v>-16.553099999998999</v>
      </c>
      <c r="E88" s="284">
        <v>0.91195159574399998</v>
      </c>
      <c r="F88" s="282">
        <v>0</v>
      </c>
      <c r="G88" s="283">
        <v>0</v>
      </c>
      <c r="H88" s="285">
        <v>10.18164</v>
      </c>
      <c r="I88" s="282">
        <v>35.033059999999999</v>
      </c>
      <c r="J88" s="283">
        <v>35.033059999999999</v>
      </c>
      <c r="K88" s="295" t="s">
        <v>166</v>
      </c>
    </row>
    <row r="89" spans="1:11" ht="14.4" customHeight="1" thickBot="1" x14ac:dyDescent="0.35">
      <c r="A89" s="303" t="s">
        <v>240</v>
      </c>
      <c r="B89" s="287">
        <v>398.44830141921898</v>
      </c>
      <c r="C89" s="287">
        <v>394.07918000000001</v>
      </c>
      <c r="D89" s="288">
        <v>-4.3691214192179997</v>
      </c>
      <c r="E89" s="293">
        <v>0.98903465919199995</v>
      </c>
      <c r="F89" s="287">
        <v>0</v>
      </c>
      <c r="G89" s="288">
        <v>0</v>
      </c>
      <c r="H89" s="290">
        <v>32.967170000000003</v>
      </c>
      <c r="I89" s="287">
        <v>92.789990000000003</v>
      </c>
      <c r="J89" s="288">
        <v>92.789990000000003</v>
      </c>
      <c r="K89" s="294" t="s">
        <v>166</v>
      </c>
    </row>
    <row r="90" spans="1:11" ht="14.4" customHeight="1" thickBot="1" x14ac:dyDescent="0.35">
      <c r="A90" s="304" t="s">
        <v>241</v>
      </c>
      <c r="B90" s="282">
        <v>398.44830141921898</v>
      </c>
      <c r="C90" s="282">
        <v>394.07918000000001</v>
      </c>
      <c r="D90" s="283">
        <v>-4.3691214192179997</v>
      </c>
      <c r="E90" s="284">
        <v>0.98903465919199995</v>
      </c>
      <c r="F90" s="282">
        <v>0</v>
      </c>
      <c r="G90" s="283">
        <v>0</v>
      </c>
      <c r="H90" s="285">
        <v>32.967170000000003</v>
      </c>
      <c r="I90" s="282">
        <v>92.789990000000003</v>
      </c>
      <c r="J90" s="283">
        <v>92.789990000000003</v>
      </c>
      <c r="K90" s="295" t="s">
        <v>166</v>
      </c>
    </row>
    <row r="91" spans="1:11" ht="14.4" customHeight="1" thickBot="1" x14ac:dyDescent="0.35">
      <c r="A91" s="308"/>
      <c r="B91" s="282">
        <v>-4433.8789125816302</v>
      </c>
      <c r="C91" s="282">
        <v>-4526.55944</v>
      </c>
      <c r="D91" s="283">
        <v>-92.680527418371994</v>
      </c>
      <c r="E91" s="284">
        <v>1.0209028097620001</v>
      </c>
      <c r="F91" s="282">
        <v>-3963.0105432741402</v>
      </c>
      <c r="G91" s="283">
        <v>-990.75263581853505</v>
      </c>
      <c r="H91" s="285">
        <v>-364.82740000000001</v>
      </c>
      <c r="I91" s="282">
        <v>-1092.6738600000001</v>
      </c>
      <c r="J91" s="283">
        <v>-101.92122418146501</v>
      </c>
      <c r="K91" s="286">
        <v>0.27571813096800002</v>
      </c>
    </row>
    <row r="92" spans="1:11" ht="14.4" customHeight="1" thickBot="1" x14ac:dyDescent="0.35">
      <c r="A92" s="309" t="s">
        <v>50</v>
      </c>
      <c r="B92" s="296">
        <v>-4433.8789125816302</v>
      </c>
      <c r="C92" s="296">
        <v>-4526.55944</v>
      </c>
      <c r="D92" s="297">
        <v>-92.680527418373003</v>
      </c>
      <c r="E92" s="298">
        <v>-1.50719552818</v>
      </c>
      <c r="F92" s="296">
        <v>-3963.0105432741402</v>
      </c>
      <c r="G92" s="297">
        <v>-990.75263581853596</v>
      </c>
      <c r="H92" s="296">
        <v>-364.82740000000001</v>
      </c>
      <c r="I92" s="296">
        <v>-1092.6738600000001</v>
      </c>
      <c r="J92" s="297">
        <v>-101.921224181464</v>
      </c>
      <c r="K92" s="299">
        <v>0.27571813096800002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2" customWidth="1"/>
    <col min="2" max="2" width="61.109375" style="162" customWidth="1"/>
    <col min="3" max="3" width="9.5546875" style="96" customWidth="1"/>
    <col min="4" max="4" width="9.5546875" style="163" customWidth="1"/>
    <col min="5" max="5" width="2.21875" style="163" customWidth="1"/>
    <col min="6" max="6" width="9.5546875" style="164" customWidth="1"/>
    <col min="7" max="7" width="9.5546875" style="161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71" t="s">
        <v>75</v>
      </c>
      <c r="B1" s="272"/>
      <c r="C1" s="272"/>
      <c r="D1" s="272"/>
      <c r="E1" s="272"/>
      <c r="F1" s="272"/>
      <c r="G1" s="243"/>
      <c r="H1" s="273"/>
      <c r="I1" s="273"/>
    </row>
    <row r="2" spans="1:10" ht="14.4" customHeight="1" thickBot="1" x14ac:dyDescent="0.35">
      <c r="A2" s="172" t="s">
        <v>159</v>
      </c>
      <c r="B2" s="160"/>
      <c r="C2" s="160"/>
      <c r="D2" s="160"/>
      <c r="E2" s="160"/>
      <c r="F2" s="160"/>
    </row>
    <row r="3" spans="1:10" ht="14.4" customHeight="1" thickBot="1" x14ac:dyDescent="0.35">
      <c r="A3" s="172"/>
      <c r="B3" s="160"/>
      <c r="C3" s="227">
        <v>2014</v>
      </c>
      <c r="D3" s="228">
        <v>2015</v>
      </c>
      <c r="E3" s="7"/>
      <c r="F3" s="266">
        <v>2016</v>
      </c>
      <c r="G3" s="267"/>
      <c r="H3" s="267"/>
      <c r="I3" s="268"/>
    </row>
    <row r="4" spans="1:10" ht="14.4" customHeight="1" thickBot="1" x14ac:dyDescent="0.35">
      <c r="A4" s="232" t="s">
        <v>0</v>
      </c>
      <c r="B4" s="233" t="s">
        <v>131</v>
      </c>
      <c r="C4" s="269" t="s">
        <v>54</v>
      </c>
      <c r="D4" s="270"/>
      <c r="E4" s="234"/>
      <c r="F4" s="229" t="s">
        <v>54</v>
      </c>
      <c r="G4" s="230" t="s">
        <v>55</v>
      </c>
      <c r="H4" s="230" t="s">
        <v>52</v>
      </c>
      <c r="I4" s="231" t="s">
        <v>56</v>
      </c>
    </row>
    <row r="5" spans="1:10" ht="14.4" customHeight="1" x14ac:dyDescent="0.3">
      <c r="A5" s="310" t="s">
        <v>242</v>
      </c>
      <c r="B5" s="311" t="s">
        <v>243</v>
      </c>
      <c r="C5" s="312" t="s">
        <v>244</v>
      </c>
      <c r="D5" s="312" t="s">
        <v>244</v>
      </c>
      <c r="E5" s="312"/>
      <c r="F5" s="312" t="s">
        <v>244</v>
      </c>
      <c r="G5" s="312" t="s">
        <v>244</v>
      </c>
      <c r="H5" s="312" t="s">
        <v>244</v>
      </c>
      <c r="I5" s="313" t="s">
        <v>244</v>
      </c>
      <c r="J5" s="314" t="s">
        <v>53</v>
      </c>
    </row>
    <row r="6" spans="1:10" ht="14.4" customHeight="1" x14ac:dyDescent="0.3">
      <c r="A6" s="310" t="s">
        <v>242</v>
      </c>
      <c r="B6" s="311" t="s">
        <v>167</v>
      </c>
      <c r="C6" s="312" t="s">
        <v>244</v>
      </c>
      <c r="D6" s="312">
        <v>0</v>
      </c>
      <c r="E6" s="312"/>
      <c r="F6" s="312">
        <v>0</v>
      </c>
      <c r="G6" s="312">
        <v>6.0820016765250007E-2</v>
      </c>
      <c r="H6" s="312">
        <v>-6.0820016765250007E-2</v>
      </c>
      <c r="I6" s="313">
        <v>0</v>
      </c>
      <c r="J6" s="314" t="s">
        <v>1</v>
      </c>
    </row>
    <row r="7" spans="1:10" ht="14.4" customHeight="1" x14ac:dyDescent="0.3">
      <c r="A7" s="310" t="s">
        <v>242</v>
      </c>
      <c r="B7" s="311" t="s">
        <v>245</v>
      </c>
      <c r="C7" s="312" t="s">
        <v>244</v>
      </c>
      <c r="D7" s="312">
        <v>0</v>
      </c>
      <c r="E7" s="312"/>
      <c r="F7" s="312">
        <v>0</v>
      </c>
      <c r="G7" s="312">
        <v>6.0820016765250007E-2</v>
      </c>
      <c r="H7" s="312">
        <v>-6.0820016765250007E-2</v>
      </c>
      <c r="I7" s="313">
        <v>0</v>
      </c>
      <c r="J7" s="314" t="s">
        <v>246</v>
      </c>
    </row>
    <row r="9" spans="1:10" ht="14.4" customHeight="1" x14ac:dyDescent="0.3">
      <c r="A9" s="310" t="s">
        <v>242</v>
      </c>
      <c r="B9" s="311" t="s">
        <v>243</v>
      </c>
      <c r="C9" s="312" t="s">
        <v>244</v>
      </c>
      <c r="D9" s="312" t="s">
        <v>244</v>
      </c>
      <c r="E9" s="312"/>
      <c r="F9" s="312" t="s">
        <v>244</v>
      </c>
      <c r="G9" s="312" t="s">
        <v>244</v>
      </c>
      <c r="H9" s="312" t="s">
        <v>244</v>
      </c>
      <c r="I9" s="313" t="s">
        <v>244</v>
      </c>
      <c r="J9" s="314" t="s">
        <v>53</v>
      </c>
    </row>
    <row r="10" spans="1:10" ht="14.4" customHeight="1" x14ac:dyDescent="0.3">
      <c r="A10" s="310" t="s">
        <v>247</v>
      </c>
      <c r="B10" s="311" t="s">
        <v>248</v>
      </c>
      <c r="C10" s="312" t="s">
        <v>244</v>
      </c>
      <c r="D10" s="312" t="s">
        <v>244</v>
      </c>
      <c r="E10" s="312"/>
      <c r="F10" s="312" t="s">
        <v>244</v>
      </c>
      <c r="G10" s="312" t="s">
        <v>244</v>
      </c>
      <c r="H10" s="312" t="s">
        <v>244</v>
      </c>
      <c r="I10" s="313" t="s">
        <v>244</v>
      </c>
      <c r="J10" s="314" t="s">
        <v>0</v>
      </c>
    </row>
    <row r="11" spans="1:10" ht="14.4" customHeight="1" x14ac:dyDescent="0.3">
      <c r="A11" s="310" t="s">
        <v>247</v>
      </c>
      <c r="B11" s="311" t="s">
        <v>167</v>
      </c>
      <c r="C11" s="312" t="s">
        <v>244</v>
      </c>
      <c r="D11" s="312">
        <v>0</v>
      </c>
      <c r="E11" s="312"/>
      <c r="F11" s="312">
        <v>0</v>
      </c>
      <c r="G11" s="312">
        <v>6.0820016765250007E-2</v>
      </c>
      <c r="H11" s="312">
        <v>-6.0820016765250007E-2</v>
      </c>
      <c r="I11" s="313">
        <v>0</v>
      </c>
      <c r="J11" s="314" t="s">
        <v>1</v>
      </c>
    </row>
    <row r="12" spans="1:10" ht="14.4" customHeight="1" x14ac:dyDescent="0.3">
      <c r="A12" s="310" t="s">
        <v>247</v>
      </c>
      <c r="B12" s="311" t="s">
        <v>249</v>
      </c>
      <c r="C12" s="312" t="s">
        <v>244</v>
      </c>
      <c r="D12" s="312">
        <v>0</v>
      </c>
      <c r="E12" s="312"/>
      <c r="F12" s="312">
        <v>0</v>
      </c>
      <c r="G12" s="312">
        <v>6.0820016765250007E-2</v>
      </c>
      <c r="H12" s="312">
        <v>-6.0820016765250007E-2</v>
      </c>
      <c r="I12" s="313">
        <v>0</v>
      </c>
      <c r="J12" s="314" t="s">
        <v>250</v>
      </c>
    </row>
    <row r="13" spans="1:10" ht="14.4" customHeight="1" x14ac:dyDescent="0.3">
      <c r="A13" s="310" t="s">
        <v>244</v>
      </c>
      <c r="B13" s="311" t="s">
        <v>244</v>
      </c>
      <c r="C13" s="312" t="s">
        <v>244</v>
      </c>
      <c r="D13" s="312" t="s">
        <v>244</v>
      </c>
      <c r="E13" s="312"/>
      <c r="F13" s="312" t="s">
        <v>244</v>
      </c>
      <c r="G13" s="312" t="s">
        <v>244</v>
      </c>
      <c r="H13" s="312" t="s">
        <v>244</v>
      </c>
      <c r="I13" s="313" t="s">
        <v>244</v>
      </c>
      <c r="J13" s="314" t="s">
        <v>251</v>
      </c>
    </row>
    <row r="14" spans="1:10" ht="14.4" customHeight="1" x14ac:dyDescent="0.3">
      <c r="A14" s="310" t="s">
        <v>242</v>
      </c>
      <c r="B14" s="311" t="s">
        <v>245</v>
      </c>
      <c r="C14" s="312" t="s">
        <v>244</v>
      </c>
      <c r="D14" s="312">
        <v>0</v>
      </c>
      <c r="E14" s="312"/>
      <c r="F14" s="312">
        <v>0</v>
      </c>
      <c r="G14" s="312">
        <v>6.0820016765250007E-2</v>
      </c>
      <c r="H14" s="312">
        <v>-6.0820016765250007E-2</v>
      </c>
      <c r="I14" s="313">
        <v>0</v>
      </c>
      <c r="J14" s="314" t="s">
        <v>246</v>
      </c>
    </row>
  </sheetData>
  <mergeCells count="3">
    <mergeCell ref="F3:I3"/>
    <mergeCell ref="C4:D4"/>
    <mergeCell ref="A1:I1"/>
  </mergeCells>
  <conditionalFormatting sqref="F8 F15:F65537">
    <cfRule type="cellIs" dxfId="37" priority="18" stopIfTrue="1" operator="greaterThan">
      <formula>1</formula>
    </cfRule>
  </conditionalFormatting>
  <conditionalFormatting sqref="H5:H7">
    <cfRule type="expression" dxfId="36" priority="14">
      <formula>$H5&gt;0</formula>
    </cfRule>
  </conditionalFormatting>
  <conditionalFormatting sqref="I5:I7">
    <cfRule type="expression" dxfId="35" priority="15">
      <formula>$I5&gt;1</formula>
    </cfRule>
  </conditionalFormatting>
  <conditionalFormatting sqref="B5:B7">
    <cfRule type="expression" dxfId="34" priority="11">
      <formula>OR($J5="NS",$J5="SumaNS",$J5="Účet")</formula>
    </cfRule>
  </conditionalFormatting>
  <conditionalFormatting sqref="B5:D7 F5:I7">
    <cfRule type="expression" dxfId="33" priority="17">
      <formula>AND($J5&lt;&gt;"",$J5&lt;&gt;"mezeraKL")</formula>
    </cfRule>
  </conditionalFormatting>
  <conditionalFormatting sqref="B5:D7 F5:I7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1" priority="13">
      <formula>OR($J5="SumaNS",$J5="NS")</formula>
    </cfRule>
  </conditionalFormatting>
  <conditionalFormatting sqref="A5:A7">
    <cfRule type="expression" dxfId="30" priority="9">
      <formula>AND($J5&lt;&gt;"mezeraKL",$J5&lt;&gt;"")</formula>
    </cfRule>
  </conditionalFormatting>
  <conditionalFormatting sqref="A5:A7">
    <cfRule type="expression" dxfId="29" priority="10">
      <formula>AND($J5&lt;&gt;"",$J5&lt;&gt;"mezeraKL")</formula>
    </cfRule>
  </conditionalFormatting>
  <conditionalFormatting sqref="H9:H14">
    <cfRule type="expression" dxfId="28" priority="5">
      <formula>$H9&gt;0</formula>
    </cfRule>
  </conditionalFormatting>
  <conditionalFormatting sqref="A9:A14">
    <cfRule type="expression" dxfId="27" priority="2">
      <formula>AND($J9&lt;&gt;"mezeraKL",$J9&lt;&gt;"")</formula>
    </cfRule>
  </conditionalFormatting>
  <conditionalFormatting sqref="I9:I14">
    <cfRule type="expression" dxfId="26" priority="6">
      <formula>$I9&gt;1</formula>
    </cfRule>
  </conditionalFormatting>
  <conditionalFormatting sqref="B9:B14">
    <cfRule type="expression" dxfId="25" priority="1">
      <formula>OR($J9="NS",$J9="SumaNS",$J9="Účet")</formula>
    </cfRule>
  </conditionalFormatting>
  <conditionalFormatting sqref="A9:D14 F9:I14">
    <cfRule type="expression" dxfId="24" priority="8">
      <formula>AND($J9&lt;&gt;"",$J9&lt;&gt;"mezeraKL")</formula>
    </cfRule>
  </conditionalFormatting>
  <conditionalFormatting sqref="B9:D14 F9:I14">
    <cfRule type="expression" dxfId="23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2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3" bestFit="1" customWidth="1" collapsed="1"/>
    <col min="4" max="4" width="18.77734375" style="167" customWidth="1"/>
    <col min="5" max="5" width="9" style="163" bestFit="1" customWidth="1"/>
    <col min="6" max="6" width="18.77734375" style="167" customWidth="1"/>
    <col min="7" max="7" width="5" style="163" customWidth="1"/>
    <col min="8" max="8" width="12.44140625" style="163" hidden="1" customWidth="1" outlineLevel="1"/>
    <col min="9" max="9" width="8.5546875" style="163" hidden="1" customWidth="1" outlineLevel="1"/>
    <col min="10" max="10" width="25.77734375" style="163" customWidth="1" collapsed="1"/>
    <col min="11" max="11" width="8.77734375" style="163" customWidth="1"/>
    <col min="12" max="13" width="7.77734375" style="161" customWidth="1"/>
    <col min="14" max="14" width="11.109375" style="161" customWidth="1"/>
    <col min="15" max="16384" width="8.88671875" style="96"/>
  </cols>
  <sheetData>
    <row r="1" spans="1:14" ht="18.600000000000001" customHeight="1" thickBot="1" x14ac:dyDescent="0.4">
      <c r="A1" s="278" t="s">
        <v>91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</row>
    <row r="2" spans="1:14" ht="14.4" customHeight="1" thickBot="1" x14ac:dyDescent="0.35">
      <c r="A2" s="172" t="s">
        <v>159</v>
      </c>
      <c r="B2" s="57"/>
      <c r="C2" s="165"/>
      <c r="D2" s="165"/>
      <c r="E2" s="165"/>
      <c r="F2" s="165"/>
      <c r="G2" s="165"/>
      <c r="H2" s="165"/>
      <c r="I2" s="165"/>
      <c r="J2" s="165"/>
      <c r="K2" s="165"/>
      <c r="L2" s="166"/>
      <c r="M2" s="166"/>
      <c r="N2" s="166"/>
    </row>
    <row r="3" spans="1:14" ht="14.4" customHeight="1" thickBot="1" x14ac:dyDescent="0.35">
      <c r="A3" s="57"/>
      <c r="B3" s="57"/>
      <c r="C3" s="274"/>
      <c r="D3" s="275"/>
      <c r="E3" s="275"/>
      <c r="F3" s="275"/>
      <c r="G3" s="275"/>
      <c r="H3" s="275"/>
      <c r="I3" s="275"/>
      <c r="J3" s="276" t="s">
        <v>73</v>
      </c>
      <c r="K3" s="277"/>
      <c r="L3" s="71">
        <f>IF(M3&lt;&gt;0,N3/M3,0)</f>
        <v>48.630000000000024</v>
      </c>
      <c r="M3" s="71">
        <f>SUBTOTAL(9,M5:M1048576)</f>
        <v>1</v>
      </c>
      <c r="N3" s="72">
        <f>SUBTOTAL(9,N5:N1048576)</f>
        <v>48.630000000000024</v>
      </c>
    </row>
    <row r="4" spans="1:14" s="162" customFormat="1" ht="14.4" customHeight="1" thickBot="1" x14ac:dyDescent="0.35">
      <c r="A4" s="315" t="s">
        <v>3</v>
      </c>
      <c r="B4" s="316" t="s">
        <v>4</v>
      </c>
      <c r="C4" s="316" t="s">
        <v>0</v>
      </c>
      <c r="D4" s="316" t="s">
        <v>5</v>
      </c>
      <c r="E4" s="316" t="s">
        <v>6</v>
      </c>
      <c r="F4" s="316" t="s">
        <v>1</v>
      </c>
      <c r="G4" s="316" t="s">
        <v>7</v>
      </c>
      <c r="H4" s="316" t="s">
        <v>8</v>
      </c>
      <c r="I4" s="316" t="s">
        <v>9</v>
      </c>
      <c r="J4" s="317" t="s">
        <v>10</v>
      </c>
      <c r="K4" s="317" t="s">
        <v>11</v>
      </c>
      <c r="L4" s="318" t="s">
        <v>79</v>
      </c>
      <c r="M4" s="318" t="s">
        <v>12</v>
      </c>
      <c r="N4" s="319" t="s">
        <v>87</v>
      </c>
    </row>
    <row r="5" spans="1:14" ht="14.4" customHeight="1" thickBot="1" x14ac:dyDescent="0.35">
      <c r="A5" s="320" t="s">
        <v>242</v>
      </c>
      <c r="B5" s="321" t="s">
        <v>243</v>
      </c>
      <c r="C5" s="322" t="s">
        <v>247</v>
      </c>
      <c r="D5" s="323" t="s">
        <v>258</v>
      </c>
      <c r="E5" s="322" t="s">
        <v>252</v>
      </c>
      <c r="F5" s="323" t="s">
        <v>259</v>
      </c>
      <c r="G5" s="322" t="s">
        <v>253</v>
      </c>
      <c r="H5" s="322" t="s">
        <v>254</v>
      </c>
      <c r="I5" s="322" t="s">
        <v>255</v>
      </c>
      <c r="J5" s="322" t="s">
        <v>256</v>
      </c>
      <c r="K5" s="322" t="s">
        <v>257</v>
      </c>
      <c r="L5" s="324">
        <v>48.630000000000024</v>
      </c>
      <c r="M5" s="324">
        <v>1</v>
      </c>
      <c r="N5" s="325">
        <v>48.630000000000024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2" customWidth="1"/>
    <col min="2" max="2" width="61.109375" style="162" customWidth="1"/>
    <col min="3" max="3" width="9.5546875" style="96" customWidth="1"/>
    <col min="4" max="4" width="9.5546875" style="163" customWidth="1"/>
    <col min="5" max="5" width="2.21875" style="163" customWidth="1"/>
    <col min="6" max="6" width="9.5546875" style="164" customWidth="1"/>
    <col min="7" max="7" width="9.5546875" style="161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71" t="s">
        <v>76</v>
      </c>
      <c r="B1" s="272"/>
      <c r="C1" s="272"/>
      <c r="D1" s="272"/>
      <c r="E1" s="272"/>
      <c r="F1" s="272"/>
      <c r="G1" s="243"/>
      <c r="H1" s="273"/>
      <c r="I1" s="273"/>
    </row>
    <row r="2" spans="1:10" ht="14.4" customHeight="1" thickBot="1" x14ac:dyDescent="0.35">
      <c r="A2" s="172" t="s">
        <v>159</v>
      </c>
      <c r="B2" s="160"/>
      <c r="C2" s="160"/>
      <c r="D2" s="160"/>
      <c r="E2" s="160"/>
      <c r="F2" s="160"/>
    </row>
    <row r="3" spans="1:10" ht="14.4" customHeight="1" thickBot="1" x14ac:dyDescent="0.35">
      <c r="A3" s="172"/>
      <c r="B3" s="160"/>
      <c r="C3" s="227">
        <v>2014</v>
      </c>
      <c r="D3" s="228">
        <v>2015</v>
      </c>
      <c r="E3" s="7"/>
      <c r="F3" s="266">
        <v>2016</v>
      </c>
      <c r="G3" s="267"/>
      <c r="H3" s="267"/>
      <c r="I3" s="268"/>
    </row>
    <row r="4" spans="1:10" ht="14.4" customHeight="1" thickBot="1" x14ac:dyDescent="0.35">
      <c r="A4" s="232" t="s">
        <v>0</v>
      </c>
      <c r="B4" s="233" t="s">
        <v>131</v>
      </c>
      <c r="C4" s="269" t="s">
        <v>54</v>
      </c>
      <c r="D4" s="270"/>
      <c r="E4" s="234"/>
      <c r="F4" s="229" t="s">
        <v>54</v>
      </c>
      <c r="G4" s="230" t="s">
        <v>55</v>
      </c>
      <c r="H4" s="230" t="s">
        <v>52</v>
      </c>
      <c r="I4" s="231" t="s">
        <v>56</v>
      </c>
    </row>
    <row r="5" spans="1:10" ht="14.4" customHeight="1" x14ac:dyDescent="0.3">
      <c r="A5" s="310" t="s">
        <v>242</v>
      </c>
      <c r="B5" s="311" t="s">
        <v>243</v>
      </c>
      <c r="C5" s="312" t="s">
        <v>244</v>
      </c>
      <c r="D5" s="312" t="s">
        <v>244</v>
      </c>
      <c r="E5" s="312"/>
      <c r="F5" s="312" t="s">
        <v>244</v>
      </c>
      <c r="G5" s="312" t="s">
        <v>244</v>
      </c>
      <c r="H5" s="312" t="s">
        <v>244</v>
      </c>
      <c r="I5" s="313" t="s">
        <v>244</v>
      </c>
      <c r="J5" s="314" t="s">
        <v>53</v>
      </c>
    </row>
    <row r="6" spans="1:10" ht="14.4" customHeight="1" x14ac:dyDescent="0.3">
      <c r="A6" s="310" t="s">
        <v>242</v>
      </c>
      <c r="B6" s="311" t="s">
        <v>169</v>
      </c>
      <c r="C6" s="312" t="s">
        <v>244</v>
      </c>
      <c r="D6" s="312">
        <v>0</v>
      </c>
      <c r="E6" s="312"/>
      <c r="F6" s="312">
        <v>0</v>
      </c>
      <c r="G6" s="312">
        <v>6.5745018122750007E-2</v>
      </c>
      <c r="H6" s="312">
        <v>-6.5745018122750007E-2</v>
      </c>
      <c r="I6" s="313">
        <v>0</v>
      </c>
      <c r="J6" s="314" t="s">
        <v>1</v>
      </c>
    </row>
    <row r="7" spans="1:10" ht="14.4" customHeight="1" x14ac:dyDescent="0.3">
      <c r="A7" s="310" t="s">
        <v>242</v>
      </c>
      <c r="B7" s="311" t="s">
        <v>245</v>
      </c>
      <c r="C7" s="312" t="s">
        <v>244</v>
      </c>
      <c r="D7" s="312">
        <v>0</v>
      </c>
      <c r="E7" s="312"/>
      <c r="F7" s="312">
        <v>0</v>
      </c>
      <c r="G7" s="312">
        <v>6.5745018122750007E-2</v>
      </c>
      <c r="H7" s="312">
        <v>-6.5745018122750007E-2</v>
      </c>
      <c r="I7" s="313">
        <v>0</v>
      </c>
      <c r="J7" s="314" t="s">
        <v>246</v>
      </c>
    </row>
    <row r="9" spans="1:10" ht="14.4" customHeight="1" x14ac:dyDescent="0.3">
      <c r="A9" s="310" t="s">
        <v>242</v>
      </c>
      <c r="B9" s="311" t="s">
        <v>243</v>
      </c>
      <c r="C9" s="312" t="s">
        <v>244</v>
      </c>
      <c r="D9" s="312" t="s">
        <v>244</v>
      </c>
      <c r="E9" s="312"/>
      <c r="F9" s="312" t="s">
        <v>244</v>
      </c>
      <c r="G9" s="312" t="s">
        <v>244</v>
      </c>
      <c r="H9" s="312" t="s">
        <v>244</v>
      </c>
      <c r="I9" s="313" t="s">
        <v>244</v>
      </c>
      <c r="J9" s="314" t="s">
        <v>53</v>
      </c>
    </row>
    <row r="10" spans="1:10" ht="14.4" customHeight="1" x14ac:dyDescent="0.3">
      <c r="A10" s="310" t="s">
        <v>247</v>
      </c>
      <c r="B10" s="311" t="s">
        <v>248</v>
      </c>
      <c r="C10" s="312" t="s">
        <v>244</v>
      </c>
      <c r="D10" s="312" t="s">
        <v>244</v>
      </c>
      <c r="E10" s="312"/>
      <c r="F10" s="312" t="s">
        <v>244</v>
      </c>
      <c r="G10" s="312" t="s">
        <v>244</v>
      </c>
      <c r="H10" s="312" t="s">
        <v>244</v>
      </c>
      <c r="I10" s="313" t="s">
        <v>244</v>
      </c>
      <c r="J10" s="314" t="s">
        <v>0</v>
      </c>
    </row>
    <row r="11" spans="1:10" ht="14.4" customHeight="1" x14ac:dyDescent="0.3">
      <c r="A11" s="310" t="s">
        <v>247</v>
      </c>
      <c r="B11" s="311" t="s">
        <v>169</v>
      </c>
      <c r="C11" s="312" t="s">
        <v>244</v>
      </c>
      <c r="D11" s="312">
        <v>0</v>
      </c>
      <c r="E11" s="312"/>
      <c r="F11" s="312">
        <v>0</v>
      </c>
      <c r="G11" s="312">
        <v>6.5745018122750007E-2</v>
      </c>
      <c r="H11" s="312">
        <v>-6.5745018122750007E-2</v>
      </c>
      <c r="I11" s="313">
        <v>0</v>
      </c>
      <c r="J11" s="314" t="s">
        <v>1</v>
      </c>
    </row>
    <row r="12" spans="1:10" ht="14.4" customHeight="1" x14ac:dyDescent="0.3">
      <c r="A12" s="310" t="s">
        <v>247</v>
      </c>
      <c r="B12" s="311" t="s">
        <v>249</v>
      </c>
      <c r="C12" s="312" t="s">
        <v>244</v>
      </c>
      <c r="D12" s="312">
        <v>0</v>
      </c>
      <c r="E12" s="312"/>
      <c r="F12" s="312">
        <v>0</v>
      </c>
      <c r="G12" s="312">
        <v>6.5745018122750007E-2</v>
      </c>
      <c r="H12" s="312">
        <v>-6.5745018122750007E-2</v>
      </c>
      <c r="I12" s="313">
        <v>0</v>
      </c>
      <c r="J12" s="314" t="s">
        <v>250</v>
      </c>
    </row>
    <row r="13" spans="1:10" ht="14.4" customHeight="1" x14ac:dyDescent="0.3">
      <c r="A13" s="310" t="s">
        <v>244</v>
      </c>
      <c r="B13" s="311" t="s">
        <v>244</v>
      </c>
      <c r="C13" s="312" t="s">
        <v>244</v>
      </c>
      <c r="D13" s="312" t="s">
        <v>244</v>
      </c>
      <c r="E13" s="312"/>
      <c r="F13" s="312" t="s">
        <v>244</v>
      </c>
      <c r="G13" s="312" t="s">
        <v>244</v>
      </c>
      <c r="H13" s="312" t="s">
        <v>244</v>
      </c>
      <c r="I13" s="313" t="s">
        <v>244</v>
      </c>
      <c r="J13" s="314" t="s">
        <v>251</v>
      </c>
    </row>
    <row r="14" spans="1:10" ht="14.4" customHeight="1" x14ac:dyDescent="0.3">
      <c r="A14" s="310" t="s">
        <v>242</v>
      </c>
      <c r="B14" s="311" t="s">
        <v>245</v>
      </c>
      <c r="C14" s="312" t="s">
        <v>244</v>
      </c>
      <c r="D14" s="312">
        <v>0</v>
      </c>
      <c r="E14" s="312"/>
      <c r="F14" s="312">
        <v>0</v>
      </c>
      <c r="G14" s="312">
        <v>6.5745018122750007E-2</v>
      </c>
      <c r="H14" s="312">
        <v>-6.5745018122750007E-2</v>
      </c>
      <c r="I14" s="313">
        <v>0</v>
      </c>
      <c r="J14" s="314" t="s">
        <v>246</v>
      </c>
    </row>
  </sheetData>
  <mergeCells count="3">
    <mergeCell ref="A1:I1"/>
    <mergeCell ref="F3:I3"/>
    <mergeCell ref="C4:D4"/>
  </mergeCells>
  <conditionalFormatting sqref="F8 F15:F65537">
    <cfRule type="cellIs" dxfId="21" priority="18" stopIfTrue="1" operator="greaterThan">
      <formula>1</formula>
    </cfRule>
  </conditionalFormatting>
  <conditionalFormatting sqref="H5:H7">
    <cfRule type="expression" dxfId="20" priority="14">
      <formula>$H5&gt;0</formula>
    </cfRule>
  </conditionalFormatting>
  <conditionalFormatting sqref="I5:I7">
    <cfRule type="expression" dxfId="19" priority="15">
      <formula>$I5&gt;1</formula>
    </cfRule>
  </conditionalFormatting>
  <conditionalFormatting sqref="B5:B7">
    <cfRule type="expression" dxfId="18" priority="11">
      <formula>OR($J5="NS",$J5="SumaNS",$J5="Účet")</formula>
    </cfRule>
  </conditionalFormatting>
  <conditionalFormatting sqref="F5:I7 B5:D7">
    <cfRule type="expression" dxfId="17" priority="17">
      <formula>AND($J5&lt;&gt;"",$J5&lt;&gt;"mezeraKL")</formula>
    </cfRule>
  </conditionalFormatting>
  <conditionalFormatting sqref="B5:D7 F5:I7">
    <cfRule type="expression" dxfId="16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5" priority="13">
      <formula>OR($J5="SumaNS",$J5="NS")</formula>
    </cfRule>
  </conditionalFormatting>
  <conditionalFormatting sqref="A5:A7">
    <cfRule type="expression" dxfId="14" priority="9">
      <formula>AND($J5&lt;&gt;"mezeraKL",$J5&lt;&gt;"")</formula>
    </cfRule>
  </conditionalFormatting>
  <conditionalFormatting sqref="A5:A7">
    <cfRule type="expression" dxfId="13" priority="10">
      <formula>AND($J5&lt;&gt;"",$J5&lt;&gt;"mezeraKL")</formula>
    </cfRule>
  </conditionalFormatting>
  <conditionalFormatting sqref="H9:H14">
    <cfRule type="expression" dxfId="12" priority="5">
      <formula>$H9&gt;0</formula>
    </cfRule>
  </conditionalFormatting>
  <conditionalFormatting sqref="A9:A14">
    <cfRule type="expression" dxfId="11" priority="2">
      <formula>AND($J9&lt;&gt;"mezeraKL",$J9&lt;&gt;"")</formula>
    </cfRule>
  </conditionalFormatting>
  <conditionalFormatting sqref="I9:I14">
    <cfRule type="expression" dxfId="10" priority="6">
      <formula>$I9&gt;1</formula>
    </cfRule>
  </conditionalFormatting>
  <conditionalFormatting sqref="B9:B14">
    <cfRule type="expression" dxfId="9" priority="1">
      <formula>OR($J9="NS",$J9="SumaNS",$J9="Účet")</formula>
    </cfRule>
  </conditionalFormatting>
  <conditionalFormatting sqref="A9:D14 F9:I14">
    <cfRule type="expression" dxfId="8" priority="8">
      <formula>AND($J9&lt;&gt;"",$J9&lt;&gt;"mezeraKL")</formula>
    </cfRule>
  </conditionalFormatting>
  <conditionalFormatting sqref="B9:D14 F9:I14">
    <cfRule type="expression" dxfId="7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6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E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</cols>
  <sheetData>
    <row r="1" spans="1:46" ht="18.600000000000001" thickBot="1" x14ac:dyDescent="0.4">
      <c r="A1" s="281" t="s">
        <v>60</v>
      </c>
      <c r="B1" s="273"/>
      <c r="C1" s="273"/>
      <c r="D1" s="273"/>
      <c r="E1" s="273"/>
    </row>
    <row r="2" spans="1:46" ht="15" thickBot="1" x14ac:dyDescent="0.35">
      <c r="A2" s="172" t="s">
        <v>159</v>
      </c>
      <c r="B2" s="173"/>
      <c r="C2" s="173"/>
      <c r="D2" s="173"/>
    </row>
    <row r="3" spans="1:46" x14ac:dyDescent="0.3">
      <c r="A3" s="189" t="s">
        <v>122</v>
      </c>
      <c r="B3" s="279" t="s">
        <v>106</v>
      </c>
      <c r="C3" s="192">
        <v>302</v>
      </c>
      <c r="D3" s="192">
        <v>410</v>
      </c>
      <c r="E3" s="174">
        <v>930</v>
      </c>
      <c r="AT3" s="336"/>
    </row>
    <row r="4" spans="1:46" ht="36.6" outlineLevel="1" thickBot="1" x14ac:dyDescent="0.35">
      <c r="A4" s="190">
        <v>2016</v>
      </c>
      <c r="B4" s="280"/>
      <c r="C4" s="193" t="s">
        <v>134</v>
      </c>
      <c r="D4" s="193" t="s">
        <v>130</v>
      </c>
      <c r="E4" s="175" t="s">
        <v>124</v>
      </c>
      <c r="AT4" s="336"/>
    </row>
    <row r="5" spans="1:46" x14ac:dyDescent="0.3">
      <c r="A5" s="176" t="s">
        <v>107</v>
      </c>
      <c r="B5" s="212"/>
      <c r="C5" s="213"/>
      <c r="D5" s="213"/>
      <c r="E5" s="214"/>
      <c r="AT5" s="336"/>
    </row>
    <row r="6" spans="1:46" ht="15" collapsed="1" thickBot="1" x14ac:dyDescent="0.35">
      <c r="A6" s="177" t="s">
        <v>54</v>
      </c>
      <c r="B6" s="215">
        <f xml:space="preserve">
TRUNC(IF($A$4&lt;=12,SUMIFS('ON Data'!F:F,'ON Data'!$D:$D,$A$4,'ON Data'!$E:$E,1),SUMIFS('ON Data'!F:F,'ON Data'!$E:$E,1)/'ON Data'!$D$3),1)</f>
        <v>7</v>
      </c>
      <c r="C6" s="216">
        <f xml:space="preserve">
TRUNC(IF($A$4&lt;=12,SUMIFS('ON Data'!O:O,'ON Data'!$D:$D,$A$4,'ON Data'!$E:$E,1),SUMIFS('ON Data'!O:O,'ON Data'!$E:$E,1)/'ON Data'!$D$3),1)</f>
        <v>0</v>
      </c>
      <c r="D6" s="216">
        <f xml:space="preserve">
TRUNC(IF($A$4&lt;=12,SUMIFS('ON Data'!W:W,'ON Data'!$D:$D,$A$4,'ON Data'!$E:$E,1),SUMIFS('ON Data'!W:W,'ON Data'!$E:$E,1)/'ON Data'!$D$3),1)</f>
        <v>7</v>
      </c>
      <c r="E6" s="217">
        <f xml:space="preserve">
TRUNC(IF($A$4&lt;=12,SUMIFS('ON Data'!AW:AW,'ON Data'!$D:$D,$A$4,'ON Data'!$E:$E,1),SUMIFS('ON Data'!AW:AW,'ON Data'!$E:$E,1)/'ON Data'!$D$3),1)</f>
        <v>0</v>
      </c>
      <c r="AT6" s="336"/>
    </row>
    <row r="7" spans="1:46" ht="15" hidden="1" outlineLevel="1" thickBot="1" x14ac:dyDescent="0.35">
      <c r="A7" s="177" t="s">
        <v>61</v>
      </c>
      <c r="B7" s="215"/>
      <c r="C7" s="216"/>
      <c r="D7" s="216"/>
      <c r="E7" s="217"/>
      <c r="AT7" s="336"/>
    </row>
    <row r="8" spans="1:46" ht="15" hidden="1" outlineLevel="1" thickBot="1" x14ac:dyDescent="0.35">
      <c r="A8" s="177" t="s">
        <v>56</v>
      </c>
      <c r="B8" s="215"/>
      <c r="C8" s="216"/>
      <c r="D8" s="216"/>
      <c r="E8" s="217"/>
      <c r="AT8" s="336"/>
    </row>
    <row r="9" spans="1:46" ht="15" hidden="1" outlineLevel="1" thickBot="1" x14ac:dyDescent="0.35">
      <c r="A9" s="178" t="s">
        <v>52</v>
      </c>
      <c r="B9" s="218"/>
      <c r="C9" s="219"/>
      <c r="D9" s="219"/>
      <c r="E9" s="220"/>
      <c r="AT9" s="336"/>
    </row>
    <row r="10" spans="1:46" x14ac:dyDescent="0.3">
      <c r="A10" s="179" t="s">
        <v>108</v>
      </c>
      <c r="B10" s="194"/>
      <c r="C10" s="195"/>
      <c r="D10" s="195"/>
      <c r="E10" s="196"/>
      <c r="AT10" s="336"/>
    </row>
    <row r="11" spans="1:46" x14ac:dyDescent="0.3">
      <c r="A11" s="180" t="s">
        <v>109</v>
      </c>
      <c r="B11" s="197">
        <f xml:space="preserve">
IF($A$4&lt;=12,SUMIFS('ON Data'!F:F,'ON Data'!$D:$D,$A$4,'ON Data'!$E:$E,2),SUMIFS('ON Data'!F:F,'ON Data'!$E:$E,2))</f>
        <v>3444</v>
      </c>
      <c r="C11" s="198">
        <f xml:space="preserve">
IF($A$4&lt;=12,SUMIFS('ON Data'!O:O,'ON Data'!$D:$D,$A$4,'ON Data'!$E:$E,2),SUMIFS('ON Data'!O:O,'ON Data'!$E:$E,2))</f>
        <v>0</v>
      </c>
      <c r="D11" s="198">
        <f xml:space="preserve">
IF($A$4&lt;=12,SUMIFS('ON Data'!W:W,'ON Data'!$D:$D,$A$4,'ON Data'!$E:$E,2),SUMIFS('ON Data'!W:W,'ON Data'!$E:$E,2))</f>
        <v>3444</v>
      </c>
      <c r="E11" s="199">
        <f xml:space="preserve">
IF($A$4&lt;=12,SUMIFS('ON Data'!AW:AW,'ON Data'!$D:$D,$A$4,'ON Data'!$E:$E,2),SUMIFS('ON Data'!AW:AW,'ON Data'!$E:$E,2))</f>
        <v>0</v>
      </c>
      <c r="AT11" s="336"/>
    </row>
    <row r="12" spans="1:46" x14ac:dyDescent="0.3">
      <c r="A12" s="180" t="s">
        <v>110</v>
      </c>
      <c r="B12" s="197">
        <f xml:space="preserve">
IF($A$4&lt;=12,SUMIFS('ON Data'!F:F,'ON Data'!$D:$D,$A$4,'ON Data'!$E:$E,3),SUMIFS('ON Data'!F:F,'ON Data'!$E:$E,3))</f>
        <v>0</v>
      </c>
      <c r="C12" s="198">
        <f xml:space="preserve">
IF($A$4&lt;=12,SUMIFS('ON Data'!O:O,'ON Data'!$D:$D,$A$4,'ON Data'!$E:$E,3),SUMIFS('ON Data'!O:O,'ON Data'!$E:$E,3))</f>
        <v>0</v>
      </c>
      <c r="D12" s="198">
        <f xml:space="preserve">
IF($A$4&lt;=12,SUMIFS('ON Data'!W:W,'ON Data'!$D:$D,$A$4,'ON Data'!$E:$E,3),SUMIFS('ON Data'!W:W,'ON Data'!$E:$E,3))</f>
        <v>0</v>
      </c>
      <c r="E12" s="199">
        <f xml:space="preserve">
IF($A$4&lt;=12,SUMIFS('ON Data'!AW:AW,'ON Data'!$D:$D,$A$4,'ON Data'!$E:$E,3),SUMIFS('ON Data'!AW:AW,'ON Data'!$E:$E,3))</f>
        <v>0</v>
      </c>
      <c r="AT12" s="336"/>
    </row>
    <row r="13" spans="1:46" x14ac:dyDescent="0.3">
      <c r="A13" s="180" t="s">
        <v>117</v>
      </c>
      <c r="B13" s="197">
        <f xml:space="preserve">
IF($A$4&lt;=12,SUMIFS('ON Data'!F:F,'ON Data'!$D:$D,$A$4,'ON Data'!$E:$E,4),SUMIFS('ON Data'!F:F,'ON Data'!$E:$E,4))</f>
        <v>0</v>
      </c>
      <c r="C13" s="198">
        <f xml:space="preserve">
IF($A$4&lt;=12,SUMIFS('ON Data'!O:O,'ON Data'!$D:$D,$A$4,'ON Data'!$E:$E,4),SUMIFS('ON Data'!O:O,'ON Data'!$E:$E,4))</f>
        <v>0</v>
      </c>
      <c r="D13" s="198">
        <f xml:space="preserve">
IF($A$4&lt;=12,SUMIFS('ON Data'!W:W,'ON Data'!$D:$D,$A$4,'ON Data'!$E:$E,4),SUMIFS('ON Data'!W:W,'ON Data'!$E:$E,4))</f>
        <v>0</v>
      </c>
      <c r="E13" s="199">
        <f xml:space="preserve">
IF($A$4&lt;=12,SUMIFS('ON Data'!AW:AW,'ON Data'!$D:$D,$A$4,'ON Data'!$E:$E,4),SUMIFS('ON Data'!AW:AW,'ON Data'!$E:$E,4))</f>
        <v>0</v>
      </c>
      <c r="AT13" s="336"/>
    </row>
    <row r="14" spans="1:46" ht="15" thickBot="1" x14ac:dyDescent="0.35">
      <c r="A14" s="181" t="s">
        <v>111</v>
      </c>
      <c r="B14" s="200">
        <f xml:space="preserve">
IF($A$4&lt;=12,SUMIFS('ON Data'!F:F,'ON Data'!$D:$D,$A$4,'ON Data'!$E:$E,5),SUMIFS('ON Data'!F:F,'ON Data'!$E:$E,5))</f>
        <v>0</v>
      </c>
      <c r="C14" s="201">
        <f xml:space="preserve">
IF($A$4&lt;=12,SUMIFS('ON Data'!O:O,'ON Data'!$D:$D,$A$4,'ON Data'!$E:$E,5),SUMIFS('ON Data'!O:O,'ON Data'!$E:$E,5))</f>
        <v>0</v>
      </c>
      <c r="D14" s="201">
        <f xml:space="preserve">
IF($A$4&lt;=12,SUMIFS('ON Data'!W:W,'ON Data'!$D:$D,$A$4,'ON Data'!$E:$E,5),SUMIFS('ON Data'!W:W,'ON Data'!$E:$E,5))</f>
        <v>0</v>
      </c>
      <c r="E14" s="202">
        <f xml:space="preserve">
IF($A$4&lt;=12,SUMIFS('ON Data'!AW:AW,'ON Data'!$D:$D,$A$4,'ON Data'!$E:$E,5),SUMIFS('ON Data'!AW:AW,'ON Data'!$E:$E,5))</f>
        <v>0</v>
      </c>
      <c r="AT14" s="336"/>
    </row>
    <row r="15" spans="1:46" x14ac:dyDescent="0.3">
      <c r="A15" s="125" t="s">
        <v>121</v>
      </c>
      <c r="B15" s="203"/>
      <c r="C15" s="204"/>
      <c r="D15" s="204"/>
      <c r="E15" s="205"/>
      <c r="AT15" s="336"/>
    </row>
    <row r="16" spans="1:46" x14ac:dyDescent="0.3">
      <c r="A16" s="182" t="s">
        <v>112</v>
      </c>
      <c r="B16" s="197">
        <f xml:space="preserve">
IF($A$4&lt;=12,SUMIFS('ON Data'!F:F,'ON Data'!$D:$D,$A$4,'ON Data'!$E:$E,7),SUMIFS('ON Data'!F:F,'ON Data'!$E:$E,7))</f>
        <v>0</v>
      </c>
      <c r="C16" s="198">
        <f xml:space="preserve">
IF($A$4&lt;=12,SUMIFS('ON Data'!O:O,'ON Data'!$D:$D,$A$4,'ON Data'!$E:$E,7),SUMIFS('ON Data'!O:O,'ON Data'!$E:$E,7))</f>
        <v>0</v>
      </c>
      <c r="D16" s="198">
        <f xml:space="preserve">
IF($A$4&lt;=12,SUMIFS('ON Data'!W:W,'ON Data'!$D:$D,$A$4,'ON Data'!$E:$E,7),SUMIFS('ON Data'!W:W,'ON Data'!$E:$E,7))</f>
        <v>0</v>
      </c>
      <c r="E16" s="199">
        <f xml:space="preserve">
IF($A$4&lt;=12,SUMIFS('ON Data'!AW:AW,'ON Data'!$D:$D,$A$4,'ON Data'!$E:$E,7),SUMIFS('ON Data'!AW:AW,'ON Data'!$E:$E,7))</f>
        <v>0</v>
      </c>
      <c r="AT16" s="336"/>
    </row>
    <row r="17" spans="1:46" x14ac:dyDescent="0.3">
      <c r="A17" s="182" t="s">
        <v>113</v>
      </c>
      <c r="B17" s="197">
        <f xml:space="preserve">
IF($A$4&lt;=12,SUMIFS('ON Data'!F:F,'ON Data'!$D:$D,$A$4,'ON Data'!$E:$E,8),SUMIFS('ON Data'!F:F,'ON Data'!$E:$E,8))</f>
        <v>0</v>
      </c>
      <c r="C17" s="198">
        <f xml:space="preserve">
IF($A$4&lt;=12,SUMIFS('ON Data'!O:O,'ON Data'!$D:$D,$A$4,'ON Data'!$E:$E,8),SUMIFS('ON Data'!O:O,'ON Data'!$E:$E,8))</f>
        <v>0</v>
      </c>
      <c r="D17" s="198">
        <f xml:space="preserve">
IF($A$4&lt;=12,SUMIFS('ON Data'!W:W,'ON Data'!$D:$D,$A$4,'ON Data'!$E:$E,8),SUMIFS('ON Data'!W:W,'ON Data'!$E:$E,8))</f>
        <v>0</v>
      </c>
      <c r="E17" s="199">
        <f xml:space="preserve">
IF($A$4&lt;=12,SUMIFS('ON Data'!AW:AW,'ON Data'!$D:$D,$A$4,'ON Data'!$E:$E,8),SUMIFS('ON Data'!AW:AW,'ON Data'!$E:$E,8))</f>
        <v>0</v>
      </c>
      <c r="AT17" s="336"/>
    </row>
    <row r="18" spans="1:46" x14ac:dyDescent="0.3">
      <c r="A18" s="182" t="s">
        <v>114</v>
      </c>
      <c r="B18" s="197">
        <f xml:space="preserve">
B19-B16-B17</f>
        <v>0</v>
      </c>
      <c r="C18" s="198">
        <f t="shared" ref="C18:D18" si="0" xml:space="preserve">
C19-C16-C17</f>
        <v>0</v>
      </c>
      <c r="D18" s="198">
        <f t="shared" si="0"/>
        <v>0</v>
      </c>
      <c r="E18" s="199">
        <f t="shared" ref="E18" si="1" xml:space="preserve">
E19-E16-E17</f>
        <v>0</v>
      </c>
      <c r="AT18" s="336"/>
    </row>
    <row r="19" spans="1:46" ht="15" thickBot="1" x14ac:dyDescent="0.35">
      <c r="A19" s="183" t="s">
        <v>115</v>
      </c>
      <c r="B19" s="206">
        <f xml:space="preserve">
IF($A$4&lt;=12,SUMIFS('ON Data'!F:F,'ON Data'!$D:$D,$A$4,'ON Data'!$E:$E,9),SUMIFS('ON Data'!F:F,'ON Data'!$E:$E,9))</f>
        <v>0</v>
      </c>
      <c r="C19" s="207">
        <f xml:space="preserve">
IF($A$4&lt;=12,SUMIFS('ON Data'!O:O,'ON Data'!$D:$D,$A$4,'ON Data'!$E:$E,9),SUMIFS('ON Data'!O:O,'ON Data'!$E:$E,9))</f>
        <v>0</v>
      </c>
      <c r="D19" s="207">
        <f xml:space="preserve">
IF($A$4&lt;=12,SUMIFS('ON Data'!W:W,'ON Data'!$D:$D,$A$4,'ON Data'!$E:$E,9),SUMIFS('ON Data'!W:W,'ON Data'!$E:$E,9))</f>
        <v>0</v>
      </c>
      <c r="E19" s="208">
        <f xml:space="preserve">
IF($A$4&lt;=12,SUMIFS('ON Data'!AW:AW,'ON Data'!$D:$D,$A$4,'ON Data'!$E:$E,9),SUMIFS('ON Data'!AW:AW,'ON Data'!$E:$E,9))</f>
        <v>0</v>
      </c>
      <c r="AT19" s="336"/>
    </row>
    <row r="20" spans="1:46" ht="15" collapsed="1" thickBot="1" x14ac:dyDescent="0.35">
      <c r="A20" s="184" t="s">
        <v>54</v>
      </c>
      <c r="B20" s="209">
        <f xml:space="preserve">
IF($A$4&lt;=12,SUMIFS('ON Data'!F:F,'ON Data'!$D:$D,$A$4,'ON Data'!$E:$E,6),SUMIFS('ON Data'!F:F,'ON Data'!$E:$E,6))</f>
        <v>676262</v>
      </c>
      <c r="C20" s="210">
        <f xml:space="preserve">
IF($A$4&lt;=12,SUMIFS('ON Data'!O:O,'ON Data'!$D:$D,$A$4,'ON Data'!$E:$E,6),SUMIFS('ON Data'!O:O,'ON Data'!$E:$E,6))</f>
        <v>0</v>
      </c>
      <c r="D20" s="210">
        <f xml:space="preserve">
IF($A$4&lt;=12,SUMIFS('ON Data'!W:W,'ON Data'!$D:$D,$A$4,'ON Data'!$E:$E,6),SUMIFS('ON Data'!W:W,'ON Data'!$E:$E,6))</f>
        <v>676262</v>
      </c>
      <c r="E20" s="211">
        <f xml:space="preserve">
IF($A$4&lt;=12,SUMIFS('ON Data'!AW:AW,'ON Data'!$D:$D,$A$4,'ON Data'!$E:$E,6),SUMIFS('ON Data'!AW:AW,'ON Data'!$E:$E,6))</f>
        <v>0</v>
      </c>
      <c r="AT20" s="336"/>
    </row>
    <row r="21" spans="1:46" ht="15" hidden="1" outlineLevel="1" thickBot="1" x14ac:dyDescent="0.35">
      <c r="A21" s="177" t="s">
        <v>61</v>
      </c>
      <c r="B21" s="197">
        <f xml:space="preserve">
IF($A$4&lt;=12,SUMIFS('ON Data'!F:F,'ON Data'!$D:$D,$A$4,'ON Data'!$E:$E,12),SUMIFS('ON Data'!F:F,'ON Data'!$E:$E,12))</f>
        <v>0</v>
      </c>
      <c r="C21" s="198">
        <f xml:space="preserve">
IF($A$4&lt;=12,SUMIFS('ON Data'!O:O,'ON Data'!$D:$D,$A$4,'ON Data'!$E:$E,12),SUMIFS('ON Data'!O:O,'ON Data'!$E:$E,12))</f>
        <v>0</v>
      </c>
      <c r="D21" s="198">
        <f xml:space="preserve">
IF($A$4&lt;=12,SUMIFS('ON Data'!W:W,'ON Data'!$D:$D,$A$4,'ON Data'!$E:$E,12),SUMIFS('ON Data'!W:W,'ON Data'!$E:$E,12))</f>
        <v>0</v>
      </c>
      <c r="AT21" s="336"/>
    </row>
    <row r="22" spans="1:46" ht="15" hidden="1" outlineLevel="1" thickBot="1" x14ac:dyDescent="0.35">
      <c r="A22" s="177" t="s">
        <v>56</v>
      </c>
      <c r="B22" s="236" t="str">
        <f xml:space="preserve">
IF(OR(B21="",B21=0),"",B20/B21)</f>
        <v/>
      </c>
      <c r="C22" s="237" t="str">
        <f t="shared" ref="C22:D22" si="2" xml:space="preserve">
IF(OR(C21="",C21=0),"",C20/C21)</f>
        <v/>
      </c>
      <c r="D22" s="237" t="str">
        <f t="shared" si="2"/>
        <v/>
      </c>
      <c r="AT22" s="336"/>
    </row>
    <row r="23" spans="1:46" ht="15" hidden="1" outlineLevel="1" thickBot="1" x14ac:dyDescent="0.35">
      <c r="A23" s="185" t="s">
        <v>52</v>
      </c>
      <c r="B23" s="200">
        <f xml:space="preserve">
IF(B21="","",B20-B21)</f>
        <v>676262</v>
      </c>
      <c r="C23" s="201">
        <f t="shared" ref="C23:D23" si="3" xml:space="preserve">
IF(C21="","",C20-C21)</f>
        <v>0</v>
      </c>
      <c r="D23" s="201">
        <f t="shared" si="3"/>
        <v>676262</v>
      </c>
      <c r="AT23" s="336"/>
    </row>
    <row r="24" spans="1:46" x14ac:dyDescent="0.3">
      <c r="A24" s="179" t="s">
        <v>116</v>
      </c>
      <c r="B24" s="225" t="s">
        <v>2</v>
      </c>
      <c r="C24" s="337" t="s">
        <v>127</v>
      </c>
      <c r="D24" s="326"/>
      <c r="E24" s="327" t="s">
        <v>128</v>
      </c>
      <c r="F24" s="328"/>
      <c r="G24" s="328"/>
      <c r="H24" s="328"/>
      <c r="I24" s="328"/>
      <c r="J24" s="328"/>
      <c r="K24" s="328"/>
      <c r="L24" s="328"/>
      <c r="M24" s="328"/>
      <c r="N24" s="328"/>
      <c r="O24" s="328"/>
      <c r="P24" s="328"/>
      <c r="Q24" s="328"/>
      <c r="R24" s="328"/>
      <c r="S24" s="328"/>
      <c r="T24" s="328"/>
      <c r="U24" s="328"/>
      <c r="V24" s="328"/>
      <c r="W24" s="328"/>
      <c r="X24" s="328"/>
      <c r="Y24" s="328"/>
      <c r="Z24" s="328"/>
      <c r="AA24" s="328"/>
      <c r="AB24" s="328"/>
      <c r="AC24" s="328"/>
      <c r="AD24" s="328"/>
      <c r="AE24" s="328"/>
      <c r="AF24" s="328"/>
      <c r="AG24" s="328"/>
      <c r="AH24" s="328"/>
      <c r="AI24" s="328"/>
      <c r="AJ24" s="328"/>
      <c r="AK24" s="328"/>
      <c r="AL24" s="328"/>
      <c r="AM24" s="328"/>
      <c r="AN24" s="328"/>
      <c r="AO24" s="328"/>
      <c r="AP24" s="328"/>
      <c r="AQ24" s="328"/>
      <c r="AR24" s="328"/>
      <c r="AS24" s="335"/>
      <c r="AT24" s="336"/>
    </row>
    <row r="25" spans="1:46" x14ac:dyDescent="0.3">
      <c r="A25" s="180" t="s">
        <v>54</v>
      </c>
      <c r="B25" s="197">
        <f xml:space="preserve">
SUM(C25:E25)</f>
        <v>0</v>
      </c>
      <c r="C25" s="338">
        <f xml:space="preserve">
IF($A$4&lt;=12,SUMIFS('ON Data'!O:O,'ON Data'!$D:$D,$A$4,'ON Data'!$E:$E,10),SUMIFS('ON Data'!O:O,'ON Data'!$E:$E,10))</f>
        <v>0</v>
      </c>
      <c r="D25" s="329"/>
      <c r="E25" s="330">
        <f xml:space="preserve">
IF($A$4&lt;=12,SUMIFS('ON Data'!AW:AW,'ON Data'!$D:$D,$A$4,'ON Data'!$E:$E,10),SUMIFS('ON Data'!AW:AW,'ON Data'!$E:$E,10))</f>
        <v>0</v>
      </c>
      <c r="F25" s="328"/>
      <c r="G25" s="328"/>
      <c r="H25" s="328"/>
      <c r="I25" s="328"/>
      <c r="J25" s="328"/>
      <c r="K25" s="328"/>
      <c r="L25" s="328"/>
      <c r="M25" s="328"/>
      <c r="N25" s="328"/>
      <c r="O25" s="328"/>
      <c r="P25" s="328"/>
      <c r="Q25" s="328"/>
      <c r="R25" s="328"/>
      <c r="S25" s="328"/>
      <c r="T25" s="328"/>
      <c r="U25" s="328"/>
      <c r="V25" s="328"/>
      <c r="W25" s="328"/>
      <c r="X25" s="328"/>
      <c r="Y25" s="328"/>
      <c r="Z25" s="328"/>
      <c r="AA25" s="328"/>
      <c r="AB25" s="328"/>
      <c r="AC25" s="328"/>
      <c r="AD25" s="328"/>
      <c r="AE25" s="328"/>
      <c r="AF25" s="328"/>
      <c r="AG25" s="328"/>
      <c r="AH25" s="328"/>
      <c r="AI25" s="328"/>
      <c r="AJ25" s="328"/>
      <c r="AK25" s="328"/>
      <c r="AL25" s="328"/>
      <c r="AM25" s="328"/>
      <c r="AN25" s="328"/>
      <c r="AO25" s="328"/>
      <c r="AP25" s="328"/>
      <c r="AQ25" s="328"/>
      <c r="AR25" s="328"/>
      <c r="AS25" s="335"/>
      <c r="AT25" s="336"/>
    </row>
    <row r="26" spans="1:46" x14ac:dyDescent="0.3">
      <c r="A26" s="186" t="s">
        <v>126</v>
      </c>
      <c r="B26" s="206">
        <f xml:space="preserve">
SUM(C26:E26)</f>
        <v>0</v>
      </c>
      <c r="C26" s="339">
        <f xml:space="preserve">
IF($A$4&lt;=12,SUMIFS('ON Data'!O:O,'ON Data'!$D:$D,$A$4,'ON Data'!$E:$E,11),SUMIFS('ON Data'!O:O,'ON Data'!$E:$E,11))</f>
        <v>0</v>
      </c>
      <c r="D26" s="331"/>
      <c r="E26" s="330">
        <f xml:space="preserve">
IF($A$4&lt;=12,SUMIFS('ON Data'!AW:AW,'ON Data'!$D:$D,$A$4,'ON Data'!$E:$E,11),SUMIFS('ON Data'!AW:AW,'ON Data'!$E:$E,11))</f>
        <v>0</v>
      </c>
      <c r="F26" s="328"/>
      <c r="G26" s="328"/>
      <c r="H26" s="328"/>
      <c r="I26" s="328"/>
      <c r="J26" s="328"/>
      <c r="K26" s="328"/>
      <c r="L26" s="328"/>
      <c r="M26" s="328"/>
      <c r="N26" s="328"/>
      <c r="O26" s="328"/>
      <c r="P26" s="328"/>
      <c r="Q26" s="328"/>
      <c r="R26" s="328"/>
      <c r="S26" s="328"/>
      <c r="T26" s="328"/>
      <c r="U26" s="328"/>
      <c r="V26" s="328"/>
      <c r="W26" s="328"/>
      <c r="X26" s="328"/>
      <c r="Y26" s="328"/>
      <c r="Z26" s="328"/>
      <c r="AA26" s="328"/>
      <c r="AB26" s="328"/>
      <c r="AC26" s="328"/>
      <c r="AD26" s="328"/>
      <c r="AE26" s="328"/>
      <c r="AF26" s="328"/>
      <c r="AG26" s="328"/>
      <c r="AH26" s="328"/>
      <c r="AI26" s="328"/>
      <c r="AJ26" s="328"/>
      <c r="AK26" s="328"/>
      <c r="AL26" s="328"/>
      <c r="AM26" s="328"/>
      <c r="AN26" s="328"/>
      <c r="AO26" s="328"/>
      <c r="AP26" s="328"/>
      <c r="AQ26" s="328"/>
      <c r="AR26" s="328"/>
      <c r="AS26" s="335"/>
      <c r="AT26" s="336"/>
    </row>
    <row r="27" spans="1:46" x14ac:dyDescent="0.3">
      <c r="A27" s="186" t="s">
        <v>56</v>
      </c>
      <c r="B27" s="226">
        <f xml:space="preserve">
IF(B26=0,0,B25/B26)</f>
        <v>0</v>
      </c>
      <c r="C27" s="340">
        <f xml:space="preserve">
IF(C26=0,0,C25/C26)</f>
        <v>0</v>
      </c>
      <c r="D27" s="329"/>
      <c r="E27" s="332">
        <f xml:space="preserve">
IF(E26=0,0,E25/E26)</f>
        <v>0</v>
      </c>
      <c r="F27" s="328"/>
      <c r="G27" s="328"/>
      <c r="H27" s="328"/>
      <c r="I27" s="328"/>
      <c r="J27" s="328"/>
      <c r="K27" s="328"/>
      <c r="L27" s="328"/>
      <c r="M27" s="328"/>
      <c r="N27" s="328"/>
      <c r="O27" s="328"/>
      <c r="P27" s="328"/>
      <c r="Q27" s="328"/>
      <c r="R27" s="328"/>
      <c r="S27" s="328"/>
      <c r="T27" s="328"/>
      <c r="U27" s="328"/>
      <c r="V27" s="328"/>
      <c r="W27" s="328"/>
      <c r="X27" s="328"/>
      <c r="Y27" s="328"/>
      <c r="Z27" s="328"/>
      <c r="AA27" s="328"/>
      <c r="AB27" s="328"/>
      <c r="AC27" s="328"/>
      <c r="AD27" s="328"/>
      <c r="AE27" s="328"/>
      <c r="AF27" s="328"/>
      <c r="AG27" s="328"/>
      <c r="AH27" s="328"/>
      <c r="AI27" s="328"/>
      <c r="AJ27" s="328"/>
      <c r="AK27" s="328"/>
      <c r="AL27" s="328"/>
      <c r="AM27" s="328"/>
      <c r="AN27" s="328"/>
      <c r="AO27" s="328"/>
      <c r="AP27" s="328"/>
      <c r="AQ27" s="328"/>
      <c r="AR27" s="328"/>
      <c r="AS27" s="335"/>
      <c r="AT27" s="336"/>
    </row>
    <row r="28" spans="1:46" ht="15" thickBot="1" x14ac:dyDescent="0.35">
      <c r="A28" s="186" t="s">
        <v>125</v>
      </c>
      <c r="B28" s="206">
        <f xml:space="preserve">
SUM(C28:E28)</f>
        <v>0</v>
      </c>
      <c r="C28" s="341">
        <f xml:space="preserve">
C26-C25</f>
        <v>0</v>
      </c>
      <c r="D28" s="333"/>
      <c r="E28" s="334">
        <f xml:space="preserve">
E26-E25</f>
        <v>0</v>
      </c>
      <c r="F28" s="328"/>
      <c r="G28" s="328"/>
      <c r="H28" s="328"/>
      <c r="I28" s="328"/>
      <c r="J28" s="328"/>
      <c r="K28" s="328"/>
      <c r="L28" s="328"/>
      <c r="M28" s="328"/>
      <c r="N28" s="328"/>
      <c r="O28" s="328"/>
      <c r="P28" s="328"/>
      <c r="Q28" s="328"/>
      <c r="R28" s="328"/>
      <c r="S28" s="328"/>
      <c r="T28" s="328"/>
      <c r="U28" s="328"/>
      <c r="V28" s="328"/>
      <c r="W28" s="328"/>
      <c r="X28" s="328"/>
      <c r="Y28" s="328"/>
      <c r="Z28" s="328"/>
      <c r="AA28" s="328"/>
      <c r="AB28" s="328"/>
      <c r="AC28" s="328"/>
      <c r="AD28" s="328"/>
      <c r="AE28" s="328"/>
      <c r="AF28" s="328"/>
      <c r="AG28" s="328"/>
      <c r="AH28" s="328"/>
      <c r="AI28" s="328"/>
      <c r="AJ28" s="328"/>
      <c r="AK28" s="328"/>
      <c r="AL28" s="328"/>
      <c r="AM28" s="328"/>
      <c r="AN28" s="328"/>
      <c r="AO28" s="328"/>
      <c r="AP28" s="328"/>
      <c r="AQ28" s="328"/>
      <c r="AR28" s="328"/>
      <c r="AS28" s="335"/>
      <c r="AT28" s="336"/>
    </row>
    <row r="29" spans="1:46" x14ac:dyDescent="0.3">
      <c r="A29" s="187"/>
      <c r="B29" s="187"/>
      <c r="C29" s="188"/>
      <c r="D29" s="188"/>
    </row>
    <row r="30" spans="1:46" x14ac:dyDescent="0.3">
      <c r="A30" s="79" t="s">
        <v>88</v>
      </c>
      <c r="B30" s="96"/>
      <c r="C30" s="96"/>
      <c r="D30" s="96"/>
    </row>
    <row r="31" spans="1:46" x14ac:dyDescent="0.3">
      <c r="A31" s="80" t="s">
        <v>123</v>
      </c>
      <c r="B31" s="96"/>
      <c r="C31" s="96"/>
      <c r="D31" s="96"/>
    </row>
    <row r="32" spans="1:46" ht="14.4" customHeight="1" x14ac:dyDescent="0.3">
      <c r="A32" s="222" t="s">
        <v>120</v>
      </c>
      <c r="B32" s="223"/>
      <c r="C32" s="223"/>
      <c r="D32" s="223"/>
    </row>
    <row r="33" spans="1:1" x14ac:dyDescent="0.3">
      <c r="A33" s="224" t="s">
        <v>135</v>
      </c>
    </row>
    <row r="34" spans="1:1" x14ac:dyDescent="0.3">
      <c r="A34" s="224" t="s">
        <v>136</v>
      </c>
    </row>
    <row r="35" spans="1:1" x14ac:dyDescent="0.3">
      <c r="A35" s="224" t="s">
        <v>137</v>
      </c>
    </row>
    <row r="36" spans="1:1" x14ac:dyDescent="0.3">
      <c r="A36" s="224" t="s">
        <v>129</v>
      </c>
    </row>
  </sheetData>
  <mergeCells count="7">
    <mergeCell ref="B3:B4"/>
    <mergeCell ref="A1:E1"/>
    <mergeCell ref="C27:D27"/>
    <mergeCell ref="C28:D28"/>
    <mergeCell ref="C24:D24"/>
    <mergeCell ref="C25:D25"/>
    <mergeCell ref="C26:D26"/>
  </mergeCells>
  <conditionalFormatting sqref="B22:D22">
    <cfRule type="cellIs" dxfId="5" priority="6" operator="greaterThan">
      <formula>1</formula>
    </cfRule>
  </conditionalFormatting>
  <conditionalFormatting sqref="B23:D23">
    <cfRule type="cellIs" dxfId="4" priority="5" operator="greaterThan">
      <formula>0</formula>
    </cfRule>
  </conditionalFormatting>
  <conditionalFormatting sqref="E27">
    <cfRule type="cellIs" dxfId="3" priority="4" operator="greaterThan">
      <formula>1</formula>
    </cfRule>
  </conditionalFormatting>
  <conditionalFormatting sqref="E28">
    <cfRule type="cellIs" dxfId="2" priority="3" operator="lessThan">
      <formula>0</formula>
    </cfRule>
  </conditionalFormatting>
  <conditionalFormatting sqref="C28">
    <cfRule type="cellIs" dxfId="1" priority="1" operator="lessThan">
      <formula>0</formula>
    </cfRule>
  </conditionalFormatting>
  <conditionalFormatting sqref="C27">
    <cfRule type="cellIs" dxfId="0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Materiál Žádanky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2016-04-27T14:28:15Z</dcterms:modified>
</cp:coreProperties>
</file>