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MŽ Detail" sheetId="403" r:id="rId9"/>
    <sheet name="Osobní náklady" sheetId="419" r:id="rId10"/>
    <sheet name="ON Data" sheetId="418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E26" i="419" l="1"/>
  <c r="E25" i="419"/>
  <c r="C26" i="419"/>
  <c r="E28" i="419" l="1"/>
  <c r="E27" i="419"/>
  <c r="C25" i="419"/>
  <c r="E20" i="419"/>
  <c r="E19" i="419"/>
  <c r="E17" i="419"/>
  <c r="E16" i="419"/>
  <c r="E14" i="419"/>
  <c r="E13" i="419"/>
  <c r="E12" i="419"/>
  <c r="E11" i="419"/>
  <c r="AW3" i="418"/>
  <c r="AV3" i="418"/>
  <c r="AU3" i="418"/>
  <c r="AT3" i="418"/>
  <c r="AS3" i="418"/>
  <c r="AR3" i="418"/>
  <c r="AQ3" i="418"/>
  <c r="AP3" i="418"/>
  <c r="E18" i="419" l="1"/>
  <c r="B25" i="419"/>
  <c r="C27" i="419" l="1"/>
  <c r="B26" i="419"/>
  <c r="B27" i="419" s="1"/>
  <c r="C28" i="419"/>
  <c r="A7" i="414"/>
  <c r="D21" i="419" l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D18" i="419"/>
  <c r="C23" i="419"/>
  <c r="D23" i="419"/>
  <c r="D22" i="419"/>
  <c r="C22" i="419"/>
  <c r="M3" i="418"/>
  <c r="B21" i="419" l="1"/>
  <c r="B22" i="419" l="1"/>
  <c r="A12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E6" i="419" l="1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12" i="414"/>
  <c r="A4" i="414"/>
  <c r="A6" i="339" l="1"/>
  <c r="A5" i="339"/>
  <c r="D4" i="414"/>
  <c r="D15" i="414"/>
  <c r="D12" i="414"/>
  <c r="C15" i="414"/>
  <c r="C12" i="414"/>
  <c r="C11" i="414" l="1"/>
  <c r="C7" i="414"/>
  <c r="E11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6" i="414"/>
  <c r="D16" i="414"/>
  <c r="F13" i="339" l="1"/>
  <c r="E13" i="339"/>
  <c r="E15" i="339" s="1"/>
  <c r="H12" i="339"/>
  <c r="G12" i="339"/>
  <c r="A4" i="383"/>
  <c r="A14" i="383"/>
  <c r="A13" i="383"/>
  <c r="A11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<sst xmlns="http://schemas.openxmlformats.org/spreadsheetml/2006/main" count="513" uniqueCount="270">
  <si>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</si>
  <si>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</si>
  <si>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</si>
  <si>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</si>
  <si>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</si>
  <si>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</si>
  <si>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</si>
  <si>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</si>
  <si>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</si>
  <si>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</si>
  <si>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</si>
  <si>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</si>
  <si>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</si>
  <si>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</si>
  <si>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</si>
  <si>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</si>
  <si>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</si>
  <si>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</si>
  <si>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</si>
  <si>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</si>
  <si>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</si>
  <si>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</si>
  <si>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</si>
  <si>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</si>
  <si>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</si>
  <si>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</si>
  <si>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</si>
  <si>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</si>
  <si>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</si>
  <si>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</si>
  <si>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</si>
  <si>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</si>
  <si>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</si>
  <si>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</si>
  <si>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</si>
  <si>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</si>
  <si>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</si>
  <si>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</si>
  <si>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</si>
  <si>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</si>
  <si>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</si>
  <si>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</si>
  <si>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</si>
  <si>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</si>
  <si>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</si>
  <si>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</si>
  <si>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</si>
  <si>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</si>
  <si>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</si>
  <si>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</si>
  <si>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</si>
  <si>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</si>
  <si>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</si>
  <si>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</si>
  <si>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</si>
  <si>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</si>
  <si>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</si>
  <si>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</si>
  <si>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</si>
  <si>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</si>
  <si>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</si>
  <si>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</si>
  <si>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</si>
  <si>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</si>
  <si>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</si>
  <si>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</si>
  <si>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</si>
  <si>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</si>
  <si>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</si>
  <si>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</si>
  <si>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</si>
  <si>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</si>
  <si>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</si>
  <si>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</si>
  <si>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</si>
  <si>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</si>
  <si>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</si>
  <si>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</si>
  <si>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</si>
  <si>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</si>
  <si>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</si>
  <si>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</si>
  <si>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</si>
  <si>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</si>
  <si>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</si>
  <si>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</si>
  <si>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</si>
  <si>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</si>
  <si>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</si>
  <si>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</si>
  <si>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</si>
  <si>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</si>
  <si>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</si>
  <si>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</si>
  <si>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</si>
  <si>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</si>
  <si>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</si>
  <si>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</si>
  <si>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</si>
  <si>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</si>
  <si>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</si>
  <si>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</si>
  <si>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</si>
  <si>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</si>
  <si>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</si>
  <si>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</si>
  <si>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</si>
  <si>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</si>
  <si>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</si>
  <si>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</si>
  <si>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</si>
  <si>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</si>
  <si>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</si>
  <si>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</si>
  <si>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</si>
  <si>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</si>
  <si>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</si>
  <si>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</si>
  <si>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</si>
  <si>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</si>
  <si>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</si>
  <si>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</si>
  <si>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</si>
  <si>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</si>
  <si>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</si>
  <si>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</si>
  <si>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</si>
  <si>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</si>
  <si>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</si>
  <si>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</si>
  <si>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</si>
  <si>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</si>
  <si>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zdravotně - sociální pracovníci</t>
  </si>
  <si>
    <t>Pracoviště/účet</t>
  </si>
  <si>
    <t>Ambulance = vykázané výkony (body)</t>
  </si>
  <si>
    <t>ROZDÍL (Sk.do data - Rozp.do data 2015)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</si>
  <si>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</si>
  <si>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</si>
  <si>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</si>
  <si>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</si>
  <si>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</si>
  <si>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</si>
  <si>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</si>
  <si>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</si>
  <si>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</si>
  <si>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</si>
  <si>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</si>
  <si>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</si>
  <si>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</si>
  <si>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</si>
  <si>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</si>
  <si>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</si>
  <si>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</si>
  <si>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</si>
  <si>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</si>
  <si>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</si>
  <si>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</si>
  <si>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</si>
  <si>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</si>
  <si>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</si>
  <si>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</si>
  <si>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Sociální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</si>
  <si>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</si>
  <si>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</si>
  <si>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</si>
  <si>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</si>
  <si>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</si>
  <si>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</si>
  <si>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</si>
  <si>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</si>
  <si>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</si>
  <si>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50115050     obvazový materiál (Z502)</t>
  </si>
  <si>
    <t>50117     Všeobecný materiál</t>
  </si>
  <si>
    <t>50117002     prací a čistící prostř.,drog.zboží (sk.V41)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</si>
  <si>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</si>
  <si>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</si>
  <si>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</si>
  <si>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</si>
  <si>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</si>
  <si>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</si>
  <si>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</si>
  <si>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</si>
  <si>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</si>
  <si>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</si>
  <si>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</si>
  <si>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</si>
  <si>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</si>
  <si>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</si>
  <si>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</si>
  <si>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51102022     opravy - Úsek inf.systémů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</si>
  <si>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</si>
  <si>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</si>
  <si>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</si>
  <si>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</si>
  <si>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</si>
  <si>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</si>
  <si>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</si>
  <si>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</si>
  <si>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</si>
  <si>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</si>
  <si>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</si>
  <si>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</si>
  <si>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</si>
  <si>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</si>
  <si>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</si>
  <si>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</si>
  <si>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</si>
  <si>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</si>
  <si>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</si>
  <si>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</si>
  <si>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</si>
  <si>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</si>
  <si>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</si>
  <si>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</si>
  <si>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</si>
  <si>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</si>
  <si>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</si>
  <si>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</si>
  <si>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54910010     školení - nezdrav.pracov.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</si>
  <si>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</si>
  <si>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</si>
  <si>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</si>
  <si>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</si>
  <si>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</si>
  <si>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</si>
  <si>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</si>
  <si>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</si>
  <si>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</si>
  <si>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</si>
  <si>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</si>
  <si>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</si>
  <si>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</si>
  <si>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</si>
  <si>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</si>
  <si>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</si>
  <si>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</si>
  <si>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</si>
  <si>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</si>
  <si>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</si>
  <si>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</si>
  <si>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</si>
  <si>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</si>
  <si>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</si>
  <si>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</si>
  <si>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</si>
  <si>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</si>
  <si>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45</t>
  </si>
  <si>
    <t>Sociální oddělení</t>
  </si>
  <si>
    <t/>
  </si>
  <si>
    <t>Sociální oddělení Celkem</t>
  </si>
  <si>
    <t>SumaKL</t>
  </si>
  <si>
    <t>4598</t>
  </si>
  <si>
    <t>sociální oddělení</t>
  </si>
  <si>
    <t>sociální oddělení Celkem</t>
  </si>
  <si>
    <t>SumaNS</t>
  </si>
  <si>
    <t>mezeraNS</t>
  </si>
  <si>
    <t>50113001</t>
  </si>
  <si>
    <t>O</t>
  </si>
  <si>
    <t>131963</t>
  </si>
  <si>
    <t>31963</t>
  </si>
  <si>
    <t>CARBOTOX</t>
  </si>
  <si>
    <t>TBL 20 - BLISTR</t>
  </si>
  <si>
    <t>Sociální oddělení, sociální oddělení</t>
  </si>
  <si>
    <t>Lékárna - léčiva</t>
  </si>
  <si>
    <t>ZA443</t>
  </si>
  <si>
    <t>Šátek trojcípý pletený 125 x 85 x 85 cm 20001</t>
  </si>
  <si>
    <t>50115050</t>
  </si>
  <si>
    <t>502 SZM obvazový (112 02 040)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</si>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</sst>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43">
    <xf numFmtId="0" fontId="0" fillId="0" borderId="0" xfId="0"/>
    <xf numFmtId="0" fontId="27" fillId="2" borderId="15" xfId="80" applyFont="1" applyFill="1" applyBorder="1"/>
    <xf numFmtId="0" fontId="28" fillId="2" borderId="16" xfId="80" applyFont="1" applyFill="1" applyBorder="1"/>
    <xf numFmtId="3" fontId="28" fillId="2" borderId="17" xfId="80" applyNumberFormat="1" applyFont="1" applyFill="1" applyBorder="1"/>
    <xf numFmtId="0" fontId="28" fillId="4" borderId="16" xfId="80" applyFont="1" applyFill="1" applyBorder="1"/>
    <xf numFmtId="3" fontId="28" fillId="4" borderId="17" xfId="80" applyNumberFormat="1" applyFont="1" applyFill="1" applyBorder="1"/>
    <xf numFmtId="171" fontId="28" fillId="3" borderId="17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2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1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34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7" xfId="80" applyNumberFormat="1" applyFont="1" applyFill="1" applyBorder="1"/>
    <xf numFmtId="3" fontId="27" fillId="5" borderId="23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5" xfId="80" applyNumberFormat="1" applyFont="1" applyFill="1" applyBorder="1"/>
    <xf numFmtId="3" fontId="28" fillId="2" borderId="18" xfId="80" applyNumberFormat="1" applyFont="1" applyFill="1" applyBorder="1"/>
    <xf numFmtId="3" fontId="28" fillId="4" borderId="25" xfId="80" applyNumberFormat="1" applyFont="1" applyFill="1" applyBorder="1"/>
    <xf numFmtId="3" fontId="28" fillId="4" borderId="18" xfId="80" applyNumberFormat="1" applyFont="1" applyFill="1" applyBorder="1"/>
    <xf numFmtId="171" fontId="28" fillId="3" borderId="25" xfId="80" applyNumberFormat="1" applyFont="1" applyFill="1" applyBorder="1"/>
    <xf numFmtId="171" fontId="28" fillId="3" borderId="18" xfId="80" applyNumberFormat="1" applyFont="1" applyFill="1" applyBorder="1"/>
    <xf numFmtId="0" fontId="31" fillId="2" borderId="23" xfId="80" applyFont="1" applyFill="1" applyBorder="1" applyAlignment="1">
      <alignment horizontal="center"/>
    </xf>
    <xf numFmtId="0" fontId="32" fillId="0" borderId="34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0" xfId="0" applyNumberFormat="1" applyFont="1" applyFill="1" applyBorder="1" applyAlignment="1">
      <alignment horizontal="right" vertical="top"/>
    </xf>
    <xf numFmtId="3" fontId="33" fillId="0" borderId="21" xfId="0" applyNumberFormat="1" applyFont="1" applyFill="1" applyBorder="1" applyAlignment="1">
      <alignment horizontal="right" vertical="top"/>
    </xf>
    <xf numFmtId="3" fontId="34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4" xfId="81" applyFont="1" applyFill="1" applyBorder="1" applyAlignment="1"/>
    <xf numFmtId="0" fontId="29" fillId="0" borderId="0" xfId="49" applyFont="1" applyFill="1"/>
    <xf numFmtId="0" fontId="32" fillId="0" borderId="28" xfId="0" applyFont="1" applyFill="1" applyBorder="1" applyAlignment="1"/>
    <xf numFmtId="0" fontId="32" fillId="0" borderId="29" xfId="0" applyFont="1" applyFill="1" applyBorder="1" applyAlignment="1"/>
    <xf numFmtId="0" fontId="32" fillId="0" borderId="47" xfId="0" applyFont="1" applyFill="1" applyBorder="1" applyAlignment="1"/>
    <xf numFmtId="0" fontId="32" fillId="0" borderId="23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0" xfId="0" applyFont="1" applyFill="1" applyBorder="1"/>
    <xf numFmtId="0" fontId="32" fillId="5" borderId="34" xfId="0" applyFont="1" applyFill="1" applyBorder="1"/>
    <xf numFmtId="0" fontId="32" fillId="5" borderId="40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0" xfId="0" applyNumberFormat="1" applyFont="1" applyFill="1" applyBorder="1" applyAlignment="1">
      <alignment horizontal="right" vertical="top"/>
    </xf>
    <xf numFmtId="3" fontId="31" fillId="0" borderId="27" xfId="53" applyNumberFormat="1" applyFont="1" applyFill="1" applyBorder="1"/>
    <xf numFmtId="3" fontId="31" fillId="0" borderId="23" xfId="53" applyNumberFormat="1" applyFont="1" applyFill="1" applyBorder="1"/>
    <xf numFmtId="0" fontId="31" fillId="2" borderId="36" xfId="74" applyFont="1" applyFill="1" applyBorder="1" applyAlignment="1">
      <alignment horizontal="center"/>
    </xf>
    <xf numFmtId="0" fontId="27" fillId="5" borderId="34" xfId="80" applyFont="1" applyFill="1" applyBorder="1"/>
    <xf numFmtId="0" fontId="31" fillId="2" borderId="21" xfId="80" applyFont="1" applyFill="1" applyBorder="1" applyAlignment="1">
      <alignment horizontal="center"/>
    </xf>
    <xf numFmtId="0" fontId="31" fillId="2" borderId="20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5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7" xfId="0" applyNumberFormat="1" applyFont="1" applyFill="1" applyBorder="1"/>
    <xf numFmtId="3" fontId="32" fillId="0" borderId="22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3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8" xfId="80" applyNumberFormat="1" applyFont="1" applyFill="1" applyBorder="1"/>
    <xf numFmtId="9" fontId="28" fillId="4" borderId="18" xfId="80" applyNumberFormat="1" applyFont="1" applyFill="1" applyBorder="1"/>
    <xf numFmtId="9" fontId="28" fillId="3" borderId="18" xfId="80" applyNumberFormat="1" applyFont="1" applyFill="1" applyBorder="1"/>
    <xf numFmtId="0" fontId="31" fillId="2" borderId="19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0" xfId="0" applyFont="1" applyFill="1" applyBorder="1" applyAlignment="1"/>
    <xf numFmtId="0" fontId="32" fillId="0" borderId="0" xfId="0" applyFont="1" applyFill="1" applyAlignment="1"/>
    <xf numFmtId="0" fontId="44" fillId="4" borderId="31" xfId="1" applyFont="1" applyFill="1" applyBorder="1"/>
    <xf numFmtId="0" fontId="44" fillId="4" borderId="15" xfId="1" applyFont="1" applyFill="1" applyBorder="1"/>
    <xf numFmtId="0" fontId="44" fillId="3" borderId="16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4" fontId="31" fillId="2" borderId="22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5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1" xfId="0" applyNumberFormat="1" applyFont="1" applyFill="1" applyBorder="1"/>
    <xf numFmtId="3" fontId="39" fillId="2" borderId="42" xfId="0" applyNumberFormat="1" applyFont="1" applyFill="1" applyBorder="1"/>
    <xf numFmtId="9" fontId="39" fillId="2" borderId="46" xfId="0" applyNumberFormat="1" applyFont="1" applyFill="1" applyBorder="1"/>
    <xf numFmtId="0" fontId="48" fillId="2" borderId="16" xfId="1" applyFont="1" applyFill="1" applyBorder="1" applyAlignment="1"/>
    <xf numFmtId="0" fontId="32" fillId="2" borderId="26" xfId="0" applyFont="1" applyFill="1" applyBorder="1" applyAlignment="1"/>
    <xf numFmtId="3" fontId="32" fillId="2" borderId="25" xfId="0" applyNumberFormat="1" applyFont="1" applyFill="1" applyBorder="1" applyAlignment="1"/>
    <xf numFmtId="9" fontId="32" fillId="2" borderId="18" xfId="0" applyNumberFormat="1" applyFont="1" applyFill="1" applyBorder="1" applyAlignment="1"/>
    <xf numFmtId="0" fontId="39" fillId="2" borderId="43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2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32" fillId="2" borderId="32" xfId="0" applyFont="1" applyFill="1" applyBorder="1" applyAlignment="1">
      <alignment horizontal="left" indent="2"/>
    </xf>
    <xf numFmtId="0" fontId="31" fillId="2" borderId="32" xfId="1" applyFont="1" applyFill="1" applyBorder="1" applyAlignment="1"/>
    <xf numFmtId="0" fontId="44" fillId="2" borderId="32" xfId="1" applyFont="1" applyFill="1" applyBorder="1" applyAlignment="1">
      <alignment horizontal="left" indent="2"/>
    </xf>
    <xf numFmtId="0" fontId="48" fillId="2" borderId="32" xfId="1" applyFont="1" applyFill="1" applyBorder="1" applyAlignment="1"/>
    <xf numFmtId="0" fontId="32" fillId="0" borderId="30" xfId="0" applyFont="1" applyBorder="1" applyAlignment="1"/>
    <xf numFmtId="3" fontId="32" fillId="0" borderId="21" xfId="0" applyNumberFormat="1" applyFont="1" applyBorder="1" applyAlignment="1"/>
    <xf numFmtId="9" fontId="32" fillId="0" borderId="20" xfId="0" applyNumberFormat="1" applyFont="1" applyBorder="1" applyAlignment="1"/>
    <xf numFmtId="0" fontId="39" fillId="0" borderId="34" xfId="0" applyFont="1" applyFill="1" applyBorder="1" applyAlignment="1">
      <alignment horizontal="left" indent="2"/>
    </xf>
    <xf numFmtId="0" fontId="32" fillId="0" borderId="34" xfId="0" applyFont="1" applyBorder="1" applyAlignment="1"/>
    <xf numFmtId="3" fontId="32" fillId="0" borderId="34" xfId="0" applyNumberFormat="1" applyFont="1" applyBorder="1" applyAlignment="1"/>
    <xf numFmtId="9" fontId="32" fillId="0" borderId="34" xfId="0" applyNumberFormat="1" applyFont="1" applyBorder="1" applyAlignment="1"/>
    <xf numFmtId="0" fontId="48" fillId="4" borderId="16" xfId="1" applyFont="1" applyFill="1" applyBorder="1" applyAlignment="1">
      <alignment horizontal="left"/>
    </xf>
    <xf numFmtId="0" fontId="32" fillId="4" borderId="26" xfId="0" applyFont="1" applyFill="1" applyBorder="1" applyAlignment="1"/>
    <xf numFmtId="3" fontId="32" fillId="4" borderId="25" xfId="0" applyNumberFormat="1" applyFont="1" applyFill="1" applyBorder="1" applyAlignment="1"/>
    <xf numFmtId="9" fontId="32" fillId="4" borderId="18" xfId="0" applyNumberFormat="1" applyFont="1" applyFill="1" applyBorder="1" applyAlignment="1"/>
    <xf numFmtId="0" fontId="48" fillId="4" borderId="43" xfId="1" applyFont="1" applyFill="1" applyBorder="1" applyAlignment="1">
      <alignment horizontal="left"/>
    </xf>
    <xf numFmtId="0" fontId="48" fillId="4" borderId="32" xfId="1" applyFont="1" applyFill="1" applyBorder="1" applyAlignment="1">
      <alignment horizontal="left"/>
    </xf>
    <xf numFmtId="0" fontId="32" fillId="4" borderId="33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0" xfId="0" applyNumberFormat="1" applyFont="1" applyBorder="1" applyAlignment="1"/>
    <xf numFmtId="0" fontId="39" fillId="3" borderId="16" xfId="0" applyFont="1" applyFill="1" applyBorder="1" applyAlignment="1"/>
    <xf numFmtId="0" fontId="32" fillId="3" borderId="26" xfId="0" applyFont="1" applyFill="1" applyBorder="1" applyAlignment="1"/>
    <xf numFmtId="3" fontId="32" fillId="3" borderId="25" xfId="0" applyNumberFormat="1" applyFont="1" applyFill="1" applyBorder="1" applyAlignment="1"/>
    <xf numFmtId="9" fontId="32" fillId="3" borderId="18" xfId="0" applyNumberFormat="1" applyFont="1" applyFill="1" applyBorder="1" applyAlignment="1"/>
    <xf numFmtId="0" fontId="7" fillId="0" borderId="0" xfId="80" applyFont="1" applyFill="1"/>
    <xf numFmtId="0" fontId="49" fillId="0" borderId="34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0" xfId="0" applyNumberFormat="1" applyFont="1" applyFill="1" applyBorder="1"/>
    <xf numFmtId="3" fontId="51" fillId="8" borderId="51" xfId="0" applyNumberFormat="1" applyFont="1" applyFill="1" applyBorder="1"/>
    <xf numFmtId="3" fontId="51" fillId="8" borderId="50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55" xfId="0" applyFont="1" applyFill="1" applyBorder="1" applyAlignment="1">
      <alignment horizontal="center" vertical="center"/>
    </xf>
    <xf numFmtId="0" fontId="53" fillId="2" borderId="58" xfId="0" applyFont="1" applyFill="1" applyBorder="1" applyAlignment="1">
      <alignment horizontal="center" vertical="center" wrapText="1"/>
    </xf>
    <xf numFmtId="0" fontId="39" fillId="2" borderId="59" xfId="0" applyFont="1" applyFill="1" applyBorder="1" applyAlignment="1"/>
    <xf numFmtId="0" fontId="39" fillId="2" borderId="61" xfId="0" applyFont="1" applyFill="1" applyBorder="1" applyAlignment="1">
      <alignment horizontal="left" indent="1"/>
    </xf>
    <xf numFmtId="0" fontId="39" fillId="2" borderId="65" xfId="0" applyFont="1" applyFill="1" applyBorder="1" applyAlignment="1">
      <alignment horizontal="left" indent="1"/>
    </xf>
    <xf numFmtId="0" fontId="39" fillId="4" borderId="59" xfId="0" applyFont="1" applyFill="1" applyBorder="1" applyAlignment="1"/>
    <xf numFmtId="0" fontId="39" fillId="4" borderId="61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2" borderId="61" xfId="0" quotePrefix="1" applyFont="1" applyFill="1" applyBorder="1" applyAlignment="1">
      <alignment horizontal="left" indent="2"/>
    </xf>
    <xf numFmtId="0" fontId="32" fillId="2" borderId="65" xfId="0" quotePrefix="1" applyFont="1" applyFill="1" applyBorder="1" applyAlignment="1">
      <alignment horizontal="left" indent="2"/>
    </xf>
    <xf numFmtId="0" fontId="39" fillId="2" borderId="59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5" xfId="0" applyFont="1" applyFill="1" applyBorder="1" applyAlignment="1">
      <alignment horizontal="left" indent="1"/>
    </xf>
    <xf numFmtId="0" fontId="32" fillId="0" borderId="74" xfId="0" applyFont="1" applyBorder="1"/>
    <xf numFmtId="3" fontId="32" fillId="0" borderId="74" xfId="0" applyNumberFormat="1" applyFont="1" applyBorder="1"/>
    <xf numFmtId="0" fontId="39" fillId="4" borderId="52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3" xfId="0" applyNumberFormat="1" applyFont="1" applyFill="1" applyBorder="1" applyAlignment="1">
      <alignment horizontal="center" vertical="center"/>
    </xf>
    <xf numFmtId="3" fontId="53" fillId="2" borderId="71" xfId="0" applyNumberFormat="1" applyFont="1" applyFill="1" applyBorder="1" applyAlignment="1">
      <alignment horizontal="center" vertical="center" wrapText="1"/>
    </xf>
    <xf numFmtId="173" fontId="39" fillId="4" borderId="60" xfId="0" applyNumberFormat="1" applyFont="1" applyFill="1" applyBorder="1" applyAlignment="1"/>
    <xf numFmtId="173" fontId="39" fillId="4" borderId="54" xfId="0" applyNumberFormat="1" applyFont="1" applyFill="1" applyBorder="1" applyAlignment="1"/>
    <xf numFmtId="173" fontId="39" fillId="4" borderId="55" xfId="0" applyNumberFormat="1" applyFont="1" applyFill="1" applyBorder="1" applyAlignment="1"/>
    <xf numFmtId="173" fontId="39" fillId="0" borderId="62" xfId="0" applyNumberFormat="1" applyFont="1" applyBorder="1"/>
    <xf numFmtId="173" fontId="32" fillId="0" borderId="63" xfId="0" applyNumberFormat="1" applyFont="1" applyBorder="1"/>
    <xf numFmtId="173" fontId="32" fillId="0" borderId="64" xfId="0" applyNumberFormat="1" applyFont="1" applyBorder="1"/>
    <xf numFmtId="173" fontId="39" fillId="0" borderId="70" xfId="0" applyNumberFormat="1" applyFont="1" applyBorder="1"/>
    <xf numFmtId="173" fontId="32" fillId="0" borderId="57" xfId="0" applyNumberFormat="1" applyFont="1" applyBorder="1"/>
    <xf numFmtId="173" fontId="32" fillId="0" borderId="58" xfId="0" applyNumberFormat="1" applyFont="1" applyBorder="1"/>
    <xf numFmtId="173" fontId="39" fillId="2" borderId="72" xfId="0" applyNumberFormat="1" applyFont="1" applyFill="1" applyBorder="1" applyAlignment="1"/>
    <xf numFmtId="173" fontId="39" fillId="2" borderId="54" xfId="0" applyNumberFormat="1" applyFont="1" applyFill="1" applyBorder="1" applyAlignment="1"/>
    <xf numFmtId="173" fontId="39" fillId="2" borderId="55" xfId="0" applyNumberFormat="1" applyFont="1" applyFill="1" applyBorder="1" applyAlignment="1"/>
    <xf numFmtId="173" fontId="39" fillId="0" borderId="66" xfId="0" applyNumberFormat="1" applyFont="1" applyBorder="1"/>
    <xf numFmtId="173" fontId="32" fillId="0" borderId="67" xfId="0" applyNumberFormat="1" applyFont="1" applyBorder="1"/>
    <xf numFmtId="173" fontId="32" fillId="0" borderId="68" xfId="0" applyNumberFormat="1" applyFont="1" applyBorder="1"/>
    <xf numFmtId="173" fontId="39" fillId="0" borderId="60" xfId="0" applyNumberFormat="1" applyFont="1" applyBorder="1"/>
    <xf numFmtId="173" fontId="32" fillId="0" borderId="54" xfId="0" applyNumberFormat="1" applyFont="1" applyBorder="1"/>
    <xf numFmtId="173" fontId="32" fillId="0" borderId="55" xfId="0" applyNumberFormat="1" applyFont="1" applyBorder="1"/>
    <xf numFmtId="174" fontId="39" fillId="2" borderId="60" xfId="0" applyNumberFormat="1" applyFont="1" applyFill="1" applyBorder="1" applyAlignment="1"/>
    <xf numFmtId="174" fontId="32" fillId="2" borderId="54" xfId="0" applyNumberFormat="1" applyFont="1" applyFill="1" applyBorder="1" applyAlignment="1"/>
    <xf numFmtId="174" fontId="32" fillId="2" borderId="55" xfId="0" applyNumberFormat="1" applyFont="1" applyFill="1" applyBorder="1" applyAlignment="1"/>
    <xf numFmtId="174" fontId="39" fillId="0" borderId="62" xfId="0" applyNumberFormat="1" applyFont="1" applyBorder="1"/>
    <xf numFmtId="174" fontId="32" fillId="0" borderId="63" xfId="0" applyNumberFormat="1" applyFont="1" applyBorder="1"/>
    <xf numFmtId="174" fontId="32" fillId="0" borderId="64" xfId="0" applyNumberFormat="1" applyFont="1" applyBorder="1"/>
    <xf numFmtId="174" fontId="39" fillId="0" borderId="66" xfId="0" applyNumberFormat="1" applyFont="1" applyBorder="1"/>
    <xf numFmtId="174" fontId="32" fillId="0" borderId="67" xfId="0" applyNumberFormat="1" applyFont="1" applyBorder="1"/>
    <xf numFmtId="174" fontId="32" fillId="0" borderId="6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0" xfId="0" applyNumberFormat="1" applyFont="1" applyFill="1" applyBorder="1" applyAlignment="1">
      <alignment horizontal="center"/>
    </xf>
    <xf numFmtId="175" fontId="39" fillId="0" borderId="66" xfId="0" applyNumberFormat="1" applyFont="1" applyBorder="1"/>
    <xf numFmtId="0" fontId="31" fillId="2" borderId="77" xfId="74" applyFont="1" applyFill="1" applyBorder="1" applyAlignment="1">
      <alignment horizontal="center"/>
    </xf>
    <xf numFmtId="0" fontId="31" fillId="2" borderId="55" xfId="80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" fillId="2" borderId="17" xfId="79" applyFont="1" applyFill="1" applyBorder="1" applyAlignment="1"/>
    <xf numFmtId="0" fontId="3" fillId="2" borderId="25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2" xfId="1" applyFill="1" applyBorder="1" applyAlignment="1">
      <alignment horizontal="left" indent="4"/>
    </xf>
    <xf numFmtId="9" fontId="39" fillId="0" borderId="62" xfId="0" applyNumberFormat="1" applyFont="1" applyBorder="1"/>
    <xf numFmtId="9" fontId="32" fillId="0" borderId="63" xfId="0" applyNumberFormat="1" applyFont="1" applyBorder="1"/>
    <xf numFmtId="0" fontId="39" fillId="3" borderId="24" xfId="0" applyFont="1" applyFill="1" applyBorder="1" applyAlignment="1"/>
    <xf numFmtId="0" fontId="32" fillId="0" borderId="35" xfId="0" applyFont="1" applyBorder="1" applyAlignment="1"/>
    <xf numFmtId="0" fontId="39" fillId="2" borderId="24" xfId="0" applyFont="1" applyFill="1" applyBorder="1" applyAlignment="1"/>
    <xf numFmtId="0" fontId="39" fillId="4" borderId="24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4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36" xfId="80" applyFont="1" applyFill="1" applyBorder="1" applyAlignment="1">
      <alignment horizontal="center"/>
    </xf>
    <xf numFmtId="0" fontId="31" fillId="2" borderId="49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2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1" fillId="2" borderId="77" xfId="80" applyFont="1" applyFill="1" applyBorder="1" applyAlignment="1">
      <alignment horizontal="center"/>
    </xf>
    <xf numFmtId="0" fontId="31" fillId="2" borderId="75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76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2" xfId="53" applyNumberFormat="1" applyFont="1" applyFill="1" applyBorder="1" applyAlignment="1">
      <alignment horizontal="right"/>
    </xf>
    <xf numFmtId="164" fontId="29" fillId="2" borderId="27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166" fontId="39" fillId="2" borderId="53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79" xfId="0" applyNumberFormat="1" applyFont="1" applyFill="1" applyBorder="1" applyAlignment="1">
      <alignment horizontal="right" vertical="top"/>
    </xf>
    <xf numFmtId="3" fontId="33" fillId="9" borderId="80" xfId="0" applyNumberFormat="1" applyFont="1" applyFill="1" applyBorder="1" applyAlignment="1">
      <alignment horizontal="right" vertical="top"/>
    </xf>
    <xf numFmtId="176" fontId="33" fillId="9" borderId="81" xfId="0" applyNumberFormat="1" applyFont="1" applyFill="1" applyBorder="1" applyAlignment="1">
      <alignment horizontal="right" vertical="top"/>
    </xf>
    <xf numFmtId="3" fontId="33" fillId="0" borderId="79" xfId="0" applyNumberFormat="1" applyFont="1" applyBorder="1" applyAlignment="1">
      <alignment horizontal="right" vertical="top"/>
    </xf>
    <xf numFmtId="176" fontId="33" fillId="9" borderId="82" xfId="0" applyNumberFormat="1" applyFont="1" applyFill="1" applyBorder="1" applyAlignment="1">
      <alignment horizontal="right" vertical="top"/>
    </xf>
    <xf numFmtId="3" fontId="35" fillId="9" borderId="84" xfId="0" applyNumberFormat="1" applyFont="1" applyFill="1" applyBorder="1" applyAlignment="1">
      <alignment horizontal="right" vertical="top"/>
    </xf>
    <xf numFmtId="3" fontId="35" fillId="9" borderId="85" xfId="0" applyNumberFormat="1" applyFont="1" applyFill="1" applyBorder="1" applyAlignment="1">
      <alignment horizontal="right" vertical="top"/>
    </xf>
    <xf numFmtId="0" fontId="35" fillId="9" borderId="86" xfId="0" applyFont="1" applyFill="1" applyBorder="1" applyAlignment="1">
      <alignment horizontal="right" vertical="top"/>
    </xf>
    <xf numFmtId="3" fontId="35" fillId="0" borderId="84" xfId="0" applyNumberFormat="1" applyFont="1" applyBorder="1" applyAlignment="1">
      <alignment horizontal="right" vertical="top"/>
    </xf>
    <xf numFmtId="176" fontId="35" fillId="9" borderId="87" xfId="0" applyNumberFormat="1" applyFont="1" applyFill="1" applyBorder="1" applyAlignment="1">
      <alignment horizontal="right" vertical="top"/>
    </xf>
    <xf numFmtId="0" fontId="33" fillId="9" borderId="81" xfId="0" applyFont="1" applyFill="1" applyBorder="1" applyAlignment="1">
      <alignment horizontal="right" vertical="top"/>
    </xf>
    <xf numFmtId="176" fontId="35" fillId="9" borderId="86" xfId="0" applyNumberFormat="1" applyFont="1" applyFill="1" applyBorder="1" applyAlignment="1">
      <alignment horizontal="right" vertical="top"/>
    </xf>
    <xf numFmtId="0" fontId="35" fillId="9" borderId="87" xfId="0" applyFont="1" applyFill="1" applyBorder="1" applyAlignment="1">
      <alignment horizontal="right" vertical="top"/>
    </xf>
    <xf numFmtId="0" fontId="33" fillId="9" borderId="82" xfId="0" applyFont="1" applyFill="1" applyBorder="1" applyAlignment="1">
      <alignment horizontal="right" vertical="top"/>
    </xf>
    <xf numFmtId="3" fontId="35" fillId="0" borderId="88" xfId="0" applyNumberFormat="1" applyFont="1" applyBorder="1" applyAlignment="1">
      <alignment horizontal="right" vertical="top"/>
    </xf>
    <xf numFmtId="3" fontId="35" fillId="0" borderId="89" xfId="0" applyNumberFormat="1" applyFont="1" applyBorder="1" applyAlignment="1">
      <alignment horizontal="right" vertical="top"/>
    </xf>
    <xf numFmtId="3" fontId="35" fillId="0" borderId="90" xfId="0" applyNumberFormat="1" applyFont="1" applyBorder="1" applyAlignment="1">
      <alignment horizontal="right" vertical="top"/>
    </xf>
    <xf numFmtId="176" fontId="35" fillId="9" borderId="91" xfId="0" applyNumberFormat="1" applyFont="1" applyFill="1" applyBorder="1" applyAlignment="1">
      <alignment horizontal="right" vertical="top"/>
    </xf>
    <xf numFmtId="0" fontId="37" fillId="10" borderId="78" xfId="0" applyFont="1" applyFill="1" applyBorder="1" applyAlignment="1">
      <alignment vertical="top"/>
    </xf>
    <xf numFmtId="0" fontId="37" fillId="10" borderId="78" xfId="0" applyFont="1" applyFill="1" applyBorder="1" applyAlignment="1">
      <alignment vertical="top" indent="2"/>
    </xf>
    <xf numFmtId="0" fontId="37" fillId="10" borderId="78" xfId="0" applyFont="1" applyFill="1" applyBorder="1" applyAlignment="1">
      <alignment vertical="top" indent="4"/>
    </xf>
    <xf numFmtId="0" fontId="38" fillId="10" borderId="83" xfId="0" applyFont="1" applyFill="1" applyBorder="1" applyAlignment="1">
      <alignment vertical="top" indent="6"/>
    </xf>
    <xf numFmtId="0" fontId="37" fillId="10" borderId="78" xfId="0" applyFont="1" applyFill="1" applyBorder="1" applyAlignment="1">
      <alignment vertical="top" indent="8"/>
    </xf>
    <xf numFmtId="0" fontId="38" fillId="10" borderId="83" xfId="0" applyFont="1" applyFill="1" applyBorder="1" applyAlignment="1">
      <alignment vertical="top" indent="2"/>
    </xf>
    <xf numFmtId="0" fontId="37" fillId="10" borderId="78" xfId="0" applyFont="1" applyFill="1" applyBorder="1" applyAlignment="1">
      <alignment vertical="top" indent="6"/>
    </xf>
    <xf numFmtId="0" fontId="38" fillId="10" borderId="83" xfId="0" applyFont="1" applyFill="1" applyBorder="1" applyAlignment="1">
      <alignment vertical="top" indent="4"/>
    </xf>
    <xf numFmtId="0" fontId="32" fillId="10" borderId="78" xfId="0" applyFont="1" applyFill="1" applyBorder="1"/>
    <xf numFmtId="0" fontId="38" fillId="10" borderId="16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2" xfId="53" applyNumberFormat="1" applyFont="1" applyFill="1" applyBorder="1" applyAlignment="1">
      <alignment horizontal="left"/>
    </xf>
    <xf numFmtId="164" fontId="31" fillId="2" borderId="93" xfId="53" applyNumberFormat="1" applyFont="1" applyFill="1" applyBorder="1" applyAlignment="1">
      <alignment horizontal="left"/>
    </xf>
    <xf numFmtId="164" fontId="31" fillId="2" borderId="44" xfId="53" applyNumberFormat="1" applyFont="1" applyFill="1" applyBorder="1" applyAlignment="1">
      <alignment horizontal="left"/>
    </xf>
    <xf numFmtId="3" fontId="31" fillId="2" borderId="44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0" fontId="32" fillId="0" borderId="17" xfId="0" applyFont="1" applyFill="1" applyBorder="1"/>
    <xf numFmtId="0" fontId="32" fillId="0" borderId="25" xfId="0" applyFont="1" applyFill="1" applyBorder="1"/>
    <xf numFmtId="164" fontId="32" fillId="0" borderId="25" xfId="0" applyNumberFormat="1" applyFont="1" applyFill="1" applyBorder="1"/>
    <xf numFmtId="164" fontId="32" fillId="0" borderId="25" xfId="0" applyNumberFormat="1" applyFont="1" applyFill="1" applyBorder="1" applyAlignment="1">
      <alignment horizontal="right"/>
    </xf>
    <xf numFmtId="3" fontId="32" fillId="0" borderId="25" xfId="0" applyNumberFormat="1" applyFont="1" applyFill="1" applyBorder="1"/>
    <xf numFmtId="3" fontId="32" fillId="0" borderId="18" xfId="0" applyNumberFormat="1" applyFont="1" applyFill="1" applyBorder="1"/>
    <xf numFmtId="0" fontId="0" fillId="0" borderId="94" xfId="0" applyBorder="1" applyAlignment="1">
      <alignment horizontal="center"/>
    </xf>
    <xf numFmtId="173" fontId="39" fillId="4" borderId="95" xfId="0" applyNumberFormat="1" applyFont="1" applyFill="1" applyBorder="1" applyAlignment="1">
      <alignment horizontal="center"/>
    </xf>
    <xf numFmtId="0" fontId="0" fillId="0" borderId="96" xfId="0" applyBorder="1"/>
    <xf numFmtId="0" fontId="0" fillId="0" borderId="97" xfId="0" applyBorder="1" applyAlignment="1">
      <alignment horizontal="right"/>
    </xf>
    <xf numFmtId="173" fontId="32" fillId="0" borderId="98" xfId="0" applyNumberFormat="1" applyFont="1" applyBorder="1" applyAlignment="1">
      <alignment horizontal="right"/>
    </xf>
    <xf numFmtId="0" fontId="0" fillId="0" borderId="97" xfId="0" applyBorder="1" applyAlignment="1">
      <alignment horizontal="right" wrapText="1"/>
    </xf>
    <xf numFmtId="175" fontId="32" fillId="0" borderId="98" xfId="0" applyNumberFormat="1" applyFont="1" applyBorder="1" applyAlignment="1">
      <alignment horizontal="right"/>
    </xf>
    <xf numFmtId="0" fontId="0" fillId="0" borderId="99" xfId="0" applyBorder="1" applyAlignment="1">
      <alignment horizontal="right"/>
    </xf>
    <xf numFmtId="173" fontId="32" fillId="0" borderId="100" xfId="0" applyNumberFormat="1" applyFont="1" applyBorder="1" applyAlignment="1">
      <alignment horizontal="right"/>
    </xf>
    <xf numFmtId="0" fontId="0" fillId="0" borderId="102" xfId="0" applyBorder="1"/>
    <xf numFmtId="0" fontId="0" fillId="0" borderId="101" xfId="0" applyBorder="1"/>
    <xf numFmtId="173" fontId="39" fillId="4" borderId="59" xfId="0" applyNumberFormat="1" applyFont="1" applyFill="1" applyBorder="1" applyAlignment="1">
      <alignment horizontal="center"/>
    </xf>
    <xf numFmtId="173" fontId="32" fillId="0" borderId="61" xfId="0" applyNumberFormat="1" applyFont="1" applyBorder="1" applyAlignment="1">
      <alignment horizontal="right"/>
    </xf>
    <xf numFmtId="173" fontId="32" fillId="0" borderId="61" xfId="0" applyNumberFormat="1" applyFont="1" applyBorder="1" applyAlignment="1">
      <alignment horizontal="right" wrapText="1"/>
    </xf>
    <xf numFmtId="175" fontId="32" fillId="0" borderId="61" xfId="0" applyNumberFormat="1" applyFont="1" applyBorder="1" applyAlignment="1">
      <alignment horizontal="right"/>
    </xf>
    <xf numFmtId="173" fontId="32" fillId="0" borderId="69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3" t="s">
        <v>63</v>
      </c>
      <c r="B1" s="243"/>
    </row>
    <row r="2" spans="1:3" ht="14.4" customHeight="1" thickBot="1" x14ac:dyDescent="0.35">
      <c r="A2" s="173" t="s">
        <v>161</v>
      </c>
      <c r="B2" s="41"/>
    </row>
    <row r="3" spans="1:3" ht="14.4" customHeight="1" thickBot="1" x14ac:dyDescent="0.35">
      <c r="A3" s="239" t="s">
        <v>79</v>
      </c>
      <c r="B3" s="240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163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1" t="s">
        <v>64</v>
      </c>
      <c r="B9" s="240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4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3" t="str">
        <f t="shared" ref="A12" si="3">HYPERLINK("#'"&amp;C12&amp;"'!A1",C12)</f>
        <v>Materiál Žádanky</v>
      </c>
      <c r="B12" s="63" t="s">
        <v>78</v>
      </c>
      <c r="C12" s="42" t="s">
        <v>70</v>
      </c>
    </row>
    <row r="13" spans="1:3" ht="14.4" customHeight="1" x14ac:dyDescent="0.3">
      <c r="A13" s="111" t="str">
        <f t="shared" si="2"/>
        <v>MŽ Detail</v>
      </c>
      <c r="B13" s="63" t="s">
        <v>268</v>
      </c>
      <c r="C13" s="42" t="s">
        <v>71</v>
      </c>
    </row>
    <row r="14" spans="1:3" ht="14.4" customHeight="1" thickBot="1" x14ac:dyDescent="0.35">
      <c r="A14" s="113" t="str">
        <f t="shared" si="2"/>
        <v>Osobní náklady</v>
      </c>
      <c r="B14" s="63" t="s">
        <v>61</v>
      </c>
      <c r="C14" s="42" t="s">
        <v>72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42" t="s">
        <v>65</v>
      </c>
      <c r="B16" s="240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E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</cols>
  <sheetData>
    <row r="1" spans="1:46" ht="18.600000000000001" thickBot="1" x14ac:dyDescent="0.4">
      <c r="A1" s="282" t="s">
        <v>61</v>
      </c>
      <c r="B1" s="274"/>
      <c r="C1" s="274"/>
      <c r="D1" s="274"/>
      <c r="E1" s="274"/>
    </row>
    <row r="2" spans="1:46" ht="15" thickBot="1" x14ac:dyDescent="0.35">
      <c r="A2" s="173" t="s">
        <v>161</v>
      </c>
      <c r="B2" s="174"/>
      <c r="C2" s="174"/>
      <c r="D2" s="174"/>
    </row>
    <row r="3" spans="1:46" x14ac:dyDescent="0.3">
      <c r="A3" s="190" t="s">
        <v>124</v>
      </c>
      <c r="B3" s="280" t="s">
        <v>108</v>
      </c>
      <c r="C3" s="193">
        <v>302</v>
      </c>
      <c r="D3" s="193">
        <v>410</v>
      </c>
      <c r="E3" s="175">
        <v>930</v>
      </c>
      <c r="AT3" s="337"/>
    </row>
    <row r="4" spans="1:46" ht="36.6" outlineLevel="1" thickBot="1" x14ac:dyDescent="0.35">
      <c r="A4" s="191">
        <v>2016</v>
      </c>
      <c r="B4" s="281"/>
      <c r="C4" s="194" t="s">
        <v>136</v>
      </c>
      <c r="D4" s="194" t="s">
        <v>132</v>
      </c>
      <c r="E4" s="176" t="s">
        <v>126</v>
      </c>
      <c r="AT4" s="337"/>
    </row>
    <row r="5" spans="1:46" x14ac:dyDescent="0.3">
      <c r="A5" s="177" t="s">
        <v>109</v>
      </c>
      <c r="B5" s="213"/>
      <c r="C5" s="214"/>
      <c r="D5" s="214"/>
      <c r="E5" s="215"/>
      <c r="AT5" s="337"/>
    </row>
    <row r="6" spans="1:46" ht="15" collapsed="1" thickBot="1" x14ac:dyDescent="0.35">
      <c r="A6" s="178" t="s">
        <v>55</v>
      </c>
      <c r="B6" s="216">
        <f xml:space="preserve">
TRUNC(IF($A$4&lt;=12,SUMIFS('ON Data'!F:F,'ON Data'!$D:$D,$A$4,'ON Data'!$E:$E,1),SUMIFS('ON Data'!F:F,'ON Data'!$E:$E,1)/'ON Data'!$D$3),1)</f>
        <v>6.8</v>
      </c>
      <c r="C6" s="217">
        <f xml:space="preserve">
TRUNC(IF($A$4&lt;=12,SUMIFS('ON Data'!O:O,'ON Data'!$D:$D,$A$4,'ON Data'!$E:$E,1),SUMIFS('ON Data'!O:O,'ON Data'!$E:$E,1)/'ON Data'!$D$3),1)</f>
        <v>0</v>
      </c>
      <c r="D6" s="217">
        <f xml:space="preserve">
TRUNC(IF($A$4&lt;=12,SUMIFS('ON Data'!W:W,'ON Data'!$D:$D,$A$4,'ON Data'!$E:$E,1),SUMIFS('ON Data'!W:W,'ON Data'!$E:$E,1)/'ON Data'!$D$3),1)</f>
        <v>6.8</v>
      </c>
      <c r="E6" s="218">
        <f xml:space="preserve">
TRUNC(IF($A$4&lt;=12,SUMIFS('ON Data'!AW:AW,'ON Data'!$D:$D,$A$4,'ON Data'!$E:$E,1),SUMIFS('ON Data'!AW:AW,'ON Data'!$E:$E,1)/'ON Data'!$D$3),1)</f>
        <v>0</v>
      </c>
      <c r="AT6" s="337"/>
    </row>
    <row r="7" spans="1:46" ht="15" hidden="1" outlineLevel="1" thickBot="1" x14ac:dyDescent="0.35">
      <c r="A7" s="178" t="s">
        <v>62</v>
      </c>
      <c r="B7" s="216"/>
      <c r="C7" s="217"/>
      <c r="D7" s="217"/>
      <c r="E7" s="218"/>
      <c r="AT7" s="337"/>
    </row>
    <row r="8" spans="1:46" ht="15" hidden="1" outlineLevel="1" thickBot="1" x14ac:dyDescent="0.35">
      <c r="A8" s="178" t="s">
        <v>57</v>
      </c>
      <c r="B8" s="216"/>
      <c r="C8" s="217"/>
      <c r="D8" s="217"/>
      <c r="E8" s="218"/>
      <c r="AT8" s="337"/>
    </row>
    <row r="9" spans="1:46" ht="15" hidden="1" outlineLevel="1" thickBot="1" x14ac:dyDescent="0.35">
      <c r="A9" s="179" t="s">
        <v>52</v>
      </c>
      <c r="B9" s="219"/>
      <c r="C9" s="220"/>
      <c r="D9" s="220"/>
      <c r="E9" s="221"/>
      <c r="AT9" s="337"/>
    </row>
    <row r="10" spans="1:46" x14ac:dyDescent="0.3">
      <c r="A10" s="180" t="s">
        <v>110</v>
      </c>
      <c r="B10" s="195"/>
      <c r="C10" s="196"/>
      <c r="D10" s="196"/>
      <c r="E10" s="197"/>
      <c r="AT10" s="337"/>
    </row>
    <row r="11" spans="1:46" x14ac:dyDescent="0.3">
      <c r="A11" s="181" t="s">
        <v>111</v>
      </c>
      <c r="B11" s="198">
        <f xml:space="preserve">
IF($A$4&lt;=12,SUMIFS('ON Data'!F:F,'ON Data'!$D:$D,$A$4,'ON Data'!$E:$E,2),SUMIFS('ON Data'!F:F,'ON Data'!$E:$E,2))</f>
        <v>6656</v>
      </c>
      <c r="C11" s="199">
        <f xml:space="preserve">
IF($A$4&lt;=12,SUMIFS('ON Data'!O:O,'ON Data'!$D:$D,$A$4,'ON Data'!$E:$E,2),SUMIFS('ON Data'!O:O,'ON Data'!$E:$E,2))</f>
        <v>0</v>
      </c>
      <c r="D11" s="199">
        <f xml:space="preserve">
IF($A$4&lt;=12,SUMIFS('ON Data'!W:W,'ON Data'!$D:$D,$A$4,'ON Data'!$E:$E,2),SUMIFS('ON Data'!W:W,'ON Data'!$E:$E,2))</f>
        <v>6656</v>
      </c>
      <c r="E11" s="200">
        <f xml:space="preserve">
IF($A$4&lt;=12,SUMIFS('ON Data'!AW:AW,'ON Data'!$D:$D,$A$4,'ON Data'!$E:$E,2),SUMIFS('ON Data'!AW:AW,'ON Data'!$E:$E,2))</f>
        <v>0</v>
      </c>
      <c r="AT11" s="337"/>
    </row>
    <row r="12" spans="1:46" x14ac:dyDescent="0.3">
      <c r="A12" s="181" t="s">
        <v>112</v>
      </c>
      <c r="B12" s="198">
        <f xml:space="preserve">
IF($A$4&lt;=12,SUMIFS('ON Data'!F:F,'ON Data'!$D:$D,$A$4,'ON Data'!$E:$E,3),SUMIFS('ON Data'!F:F,'ON Data'!$E:$E,3))</f>
        <v>0</v>
      </c>
      <c r="C12" s="199">
        <f xml:space="preserve">
IF($A$4&lt;=12,SUMIFS('ON Data'!O:O,'ON Data'!$D:$D,$A$4,'ON Data'!$E:$E,3),SUMIFS('ON Data'!O:O,'ON Data'!$E:$E,3))</f>
        <v>0</v>
      </c>
      <c r="D12" s="199">
        <f xml:space="preserve">
IF($A$4&lt;=12,SUMIFS('ON Data'!W:W,'ON Data'!$D:$D,$A$4,'ON Data'!$E:$E,3),SUMIFS('ON Data'!W:W,'ON Data'!$E:$E,3))</f>
        <v>0</v>
      </c>
      <c r="E12" s="200">
        <f xml:space="preserve">
IF($A$4&lt;=12,SUMIFS('ON Data'!AW:AW,'ON Data'!$D:$D,$A$4,'ON Data'!$E:$E,3),SUMIFS('ON Data'!AW:AW,'ON Data'!$E:$E,3))</f>
        <v>0</v>
      </c>
      <c r="AT12" s="337"/>
    </row>
    <row r="13" spans="1:46" x14ac:dyDescent="0.3">
      <c r="A13" s="181" t="s">
        <v>119</v>
      </c>
      <c r="B13" s="198">
        <f xml:space="preserve">
IF($A$4&lt;=12,SUMIFS('ON Data'!F:F,'ON Data'!$D:$D,$A$4,'ON Data'!$E:$E,4),SUMIFS('ON Data'!F:F,'ON Data'!$E:$E,4))</f>
        <v>2</v>
      </c>
      <c r="C13" s="199">
        <f xml:space="preserve">
IF($A$4&lt;=12,SUMIFS('ON Data'!O:O,'ON Data'!$D:$D,$A$4,'ON Data'!$E:$E,4),SUMIFS('ON Data'!O:O,'ON Data'!$E:$E,4))</f>
        <v>0</v>
      </c>
      <c r="D13" s="199">
        <f xml:space="preserve">
IF($A$4&lt;=12,SUMIFS('ON Data'!W:W,'ON Data'!$D:$D,$A$4,'ON Data'!$E:$E,4),SUMIFS('ON Data'!W:W,'ON Data'!$E:$E,4))</f>
        <v>2</v>
      </c>
      <c r="E13" s="200">
        <f xml:space="preserve">
IF($A$4&lt;=12,SUMIFS('ON Data'!AW:AW,'ON Data'!$D:$D,$A$4,'ON Data'!$E:$E,4),SUMIFS('ON Data'!AW:AW,'ON Data'!$E:$E,4))</f>
        <v>0</v>
      </c>
      <c r="AT13" s="337"/>
    </row>
    <row r="14" spans="1:46" ht="15" thickBot="1" x14ac:dyDescent="0.35">
      <c r="A14" s="182" t="s">
        <v>113</v>
      </c>
      <c r="B14" s="201">
        <f xml:space="preserve">
IF($A$4&lt;=12,SUMIFS('ON Data'!F:F,'ON Data'!$D:$D,$A$4,'ON Data'!$E:$E,5),SUMIFS('ON Data'!F:F,'ON Data'!$E:$E,5))</f>
        <v>0</v>
      </c>
      <c r="C14" s="202">
        <f xml:space="preserve">
IF($A$4&lt;=12,SUMIFS('ON Data'!O:O,'ON Data'!$D:$D,$A$4,'ON Data'!$E:$E,5),SUMIFS('ON Data'!O:O,'ON Data'!$E:$E,5))</f>
        <v>0</v>
      </c>
      <c r="D14" s="202">
        <f xml:space="preserve">
IF($A$4&lt;=12,SUMIFS('ON Data'!W:W,'ON Data'!$D:$D,$A$4,'ON Data'!$E:$E,5),SUMIFS('ON Data'!W:W,'ON Data'!$E:$E,5))</f>
        <v>0</v>
      </c>
      <c r="E14" s="203">
        <f xml:space="preserve">
IF($A$4&lt;=12,SUMIFS('ON Data'!AW:AW,'ON Data'!$D:$D,$A$4,'ON Data'!$E:$E,5),SUMIFS('ON Data'!AW:AW,'ON Data'!$E:$E,5))</f>
        <v>0</v>
      </c>
      <c r="AT14" s="337"/>
    </row>
    <row r="15" spans="1:46" x14ac:dyDescent="0.3">
      <c r="A15" s="126" t="s">
        <v>123</v>
      </c>
      <c r="B15" s="204"/>
      <c r="C15" s="205"/>
      <c r="D15" s="205"/>
      <c r="E15" s="206"/>
      <c r="AT15" s="337"/>
    </row>
    <row r="16" spans="1:46" x14ac:dyDescent="0.3">
      <c r="A16" s="183" t="s">
        <v>114</v>
      </c>
      <c r="B16" s="198">
        <f xml:space="preserve">
IF($A$4&lt;=12,SUMIFS('ON Data'!F:F,'ON Data'!$D:$D,$A$4,'ON Data'!$E:$E,7),SUMIFS('ON Data'!F:F,'ON Data'!$E:$E,7))</f>
        <v>0</v>
      </c>
      <c r="C16" s="199">
        <f xml:space="preserve">
IF($A$4&lt;=12,SUMIFS('ON Data'!O:O,'ON Data'!$D:$D,$A$4,'ON Data'!$E:$E,7),SUMIFS('ON Data'!O:O,'ON Data'!$E:$E,7))</f>
        <v>0</v>
      </c>
      <c r="D16" s="199">
        <f xml:space="preserve">
IF($A$4&lt;=12,SUMIFS('ON Data'!W:W,'ON Data'!$D:$D,$A$4,'ON Data'!$E:$E,7),SUMIFS('ON Data'!W:W,'ON Data'!$E:$E,7))</f>
        <v>0</v>
      </c>
      <c r="E16" s="200">
        <f xml:space="preserve">
IF($A$4&lt;=12,SUMIFS('ON Data'!AW:AW,'ON Data'!$D:$D,$A$4,'ON Data'!$E:$E,7),SUMIFS('ON Data'!AW:AW,'ON Data'!$E:$E,7))</f>
        <v>0</v>
      </c>
      <c r="AT16" s="337"/>
    </row>
    <row r="17" spans="1:46" x14ac:dyDescent="0.3">
      <c r="A17" s="183" t="s">
        <v>115</v>
      </c>
      <c r="B17" s="198">
        <f xml:space="preserve">
IF($A$4&lt;=12,SUMIFS('ON Data'!F:F,'ON Data'!$D:$D,$A$4,'ON Data'!$E:$E,8),SUMIFS('ON Data'!F:F,'ON Data'!$E:$E,8))</f>
        <v>0</v>
      </c>
      <c r="C17" s="199">
        <f xml:space="preserve">
IF($A$4&lt;=12,SUMIFS('ON Data'!O:O,'ON Data'!$D:$D,$A$4,'ON Data'!$E:$E,8),SUMIFS('ON Data'!O:O,'ON Data'!$E:$E,8))</f>
        <v>0</v>
      </c>
      <c r="D17" s="199">
        <f xml:space="preserve">
IF($A$4&lt;=12,SUMIFS('ON Data'!W:W,'ON Data'!$D:$D,$A$4,'ON Data'!$E:$E,8),SUMIFS('ON Data'!W:W,'ON Data'!$E:$E,8))</f>
        <v>0</v>
      </c>
      <c r="E17" s="200">
        <f xml:space="preserve">
IF($A$4&lt;=12,SUMIFS('ON Data'!AW:AW,'ON Data'!$D:$D,$A$4,'ON Data'!$E:$E,8),SUMIFS('ON Data'!AW:AW,'ON Data'!$E:$E,8))</f>
        <v>0</v>
      </c>
      <c r="AT17" s="337"/>
    </row>
    <row r="18" spans="1:46" x14ac:dyDescent="0.3">
      <c r="A18" s="183" t="s">
        <v>116</v>
      </c>
      <c r="B18" s="198">
        <f xml:space="preserve">
B19-B16-B17</f>
        <v>3000</v>
      </c>
      <c r="C18" s="199">
        <f t="shared" ref="C18:D18" si="0" xml:space="preserve">
C19-C16-C17</f>
        <v>0</v>
      </c>
      <c r="D18" s="199">
        <f t="shared" si="0"/>
        <v>3000</v>
      </c>
      <c r="E18" s="200">
        <f t="shared" ref="E18" si="1" xml:space="preserve">
E19-E16-E17</f>
        <v>0</v>
      </c>
      <c r="AT18" s="337"/>
    </row>
    <row r="19" spans="1:46" ht="15" thickBot="1" x14ac:dyDescent="0.35">
      <c r="A19" s="184" t="s">
        <v>117</v>
      </c>
      <c r="B19" s="207">
        <f xml:space="preserve">
IF($A$4&lt;=12,SUMIFS('ON Data'!F:F,'ON Data'!$D:$D,$A$4,'ON Data'!$E:$E,9),SUMIFS('ON Data'!F:F,'ON Data'!$E:$E,9))</f>
        <v>3000</v>
      </c>
      <c r="C19" s="208">
        <f xml:space="preserve">
IF($A$4&lt;=12,SUMIFS('ON Data'!O:O,'ON Data'!$D:$D,$A$4,'ON Data'!$E:$E,9),SUMIFS('ON Data'!O:O,'ON Data'!$E:$E,9))</f>
        <v>0</v>
      </c>
      <c r="D19" s="208">
        <f xml:space="preserve">
IF($A$4&lt;=12,SUMIFS('ON Data'!W:W,'ON Data'!$D:$D,$A$4,'ON Data'!$E:$E,9),SUMIFS('ON Data'!W:W,'ON Data'!$E:$E,9))</f>
        <v>3000</v>
      </c>
      <c r="E19" s="209">
        <f xml:space="preserve">
IF($A$4&lt;=12,SUMIFS('ON Data'!AW:AW,'ON Data'!$D:$D,$A$4,'ON Data'!$E:$E,9),SUMIFS('ON Data'!AW:AW,'ON Data'!$E:$E,9))</f>
        <v>0</v>
      </c>
      <c r="AT19" s="337"/>
    </row>
    <row r="20" spans="1:46" ht="15" collapsed="1" thickBot="1" x14ac:dyDescent="0.35">
      <c r="A20" s="185" t="s">
        <v>55</v>
      </c>
      <c r="B20" s="210">
        <f xml:space="preserve">
IF($A$4&lt;=12,SUMIFS('ON Data'!F:F,'ON Data'!$D:$D,$A$4,'ON Data'!$E:$E,6),SUMIFS('ON Data'!F:F,'ON Data'!$E:$E,6))</f>
        <v>1349575</v>
      </c>
      <c r="C20" s="211">
        <f xml:space="preserve">
IF($A$4&lt;=12,SUMIFS('ON Data'!O:O,'ON Data'!$D:$D,$A$4,'ON Data'!$E:$E,6),SUMIFS('ON Data'!O:O,'ON Data'!$E:$E,6))</f>
        <v>0</v>
      </c>
      <c r="D20" s="211">
        <f xml:space="preserve">
IF($A$4&lt;=12,SUMIFS('ON Data'!W:W,'ON Data'!$D:$D,$A$4,'ON Data'!$E:$E,6),SUMIFS('ON Data'!W:W,'ON Data'!$E:$E,6))</f>
        <v>1349575</v>
      </c>
      <c r="E20" s="212">
        <f xml:space="preserve">
IF($A$4&lt;=12,SUMIFS('ON Data'!AW:AW,'ON Data'!$D:$D,$A$4,'ON Data'!$E:$E,6),SUMIFS('ON Data'!AW:AW,'ON Data'!$E:$E,6))</f>
        <v>0</v>
      </c>
      <c r="AT20" s="337"/>
    </row>
    <row r="21" spans="1:46" ht="15" hidden="1" outlineLevel="1" thickBot="1" x14ac:dyDescent="0.35">
      <c r="A21" s="178" t="s">
        <v>62</v>
      </c>
      <c r="B21" s="198">
        <f xml:space="preserve">
IF($A$4&lt;=12,SUMIFS('ON Data'!F:F,'ON Data'!$D:$D,$A$4,'ON Data'!$E:$E,12),SUMIFS('ON Data'!F:F,'ON Data'!$E:$E,12))</f>
        <v>0</v>
      </c>
      <c r="C21" s="199">
        <f xml:space="preserve">
IF($A$4&lt;=12,SUMIFS('ON Data'!O:O,'ON Data'!$D:$D,$A$4,'ON Data'!$E:$E,12),SUMIFS('ON Data'!O:O,'ON Data'!$E:$E,12))</f>
        <v>0</v>
      </c>
      <c r="D21" s="199">
        <f xml:space="preserve">
IF($A$4&lt;=12,SUMIFS('ON Data'!W:W,'ON Data'!$D:$D,$A$4,'ON Data'!$E:$E,12),SUMIFS('ON Data'!W:W,'ON Data'!$E:$E,12))</f>
        <v>0</v>
      </c>
      <c r="AT21" s="337"/>
    </row>
    <row r="22" spans="1:46" ht="15" hidden="1" outlineLevel="1" thickBot="1" x14ac:dyDescent="0.35">
      <c r="A22" s="178" t="s">
        <v>57</v>
      </c>
      <c r="B22" s="237" t="str">
        <f xml:space="preserve">
IF(OR(B21="",B21=0),"",B20/B21)</f>
        <v/>
      </c>
      <c r="C22" s="238" t="str">
        <f t="shared" ref="C22:D22" si="2" xml:space="preserve">
IF(OR(C21="",C21=0),"",C20/C21)</f>
        <v/>
      </c>
      <c r="D22" s="238" t="str">
        <f t="shared" si="2"/>
        <v/>
      </c>
      <c r="AT22" s="337"/>
    </row>
    <row r="23" spans="1:46" ht="15" hidden="1" outlineLevel="1" thickBot="1" x14ac:dyDescent="0.35">
      <c r="A23" s="186" t="s">
        <v>52</v>
      </c>
      <c r="B23" s="201">
        <f xml:space="preserve">
IF(B21="","",B20-B21)</f>
        <v>1349575</v>
      </c>
      <c r="C23" s="202">
        <f t="shared" ref="C23:D23" si="3" xml:space="preserve">
IF(C21="","",C20-C21)</f>
        <v>0</v>
      </c>
      <c r="D23" s="202">
        <f t="shared" si="3"/>
        <v>1349575</v>
      </c>
      <c r="AT23" s="337"/>
    </row>
    <row r="24" spans="1:46" x14ac:dyDescent="0.3">
      <c r="A24" s="180" t="s">
        <v>118</v>
      </c>
      <c r="B24" s="226" t="s">
        <v>2</v>
      </c>
      <c r="C24" s="338" t="s">
        <v>129</v>
      </c>
      <c r="D24" s="327"/>
      <c r="E24" s="328" t="s">
        <v>130</v>
      </c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29"/>
      <c r="AG24" s="329"/>
      <c r="AH24" s="329"/>
      <c r="AI24" s="329"/>
      <c r="AJ24" s="329"/>
      <c r="AK24" s="329"/>
      <c r="AL24" s="329"/>
      <c r="AM24" s="329"/>
      <c r="AN24" s="329"/>
      <c r="AO24" s="329"/>
      <c r="AP24" s="329"/>
      <c r="AQ24" s="329"/>
      <c r="AR24" s="329"/>
      <c r="AS24" s="336"/>
      <c r="AT24" s="337"/>
    </row>
    <row r="25" spans="1:46" x14ac:dyDescent="0.3">
      <c r="A25" s="181" t="s">
        <v>55</v>
      </c>
      <c r="B25" s="198">
        <f xml:space="preserve">
SUM(C25:E25)</f>
        <v>710</v>
      </c>
      <c r="C25" s="339">
        <f xml:space="preserve">
IF($A$4&lt;=12,SUMIFS('ON Data'!O:O,'ON Data'!$D:$D,$A$4,'ON Data'!$E:$E,10),SUMIFS('ON Data'!O:O,'ON Data'!$E:$E,10))</f>
        <v>710</v>
      </c>
      <c r="D25" s="330"/>
      <c r="E25" s="331">
        <f xml:space="preserve">
IF($A$4&lt;=12,SUMIFS('ON Data'!AW:AW,'ON Data'!$D:$D,$A$4,'ON Data'!$E:$E,10),SUMIFS('ON Data'!AW:AW,'ON Data'!$E:$E,10))</f>
        <v>0</v>
      </c>
      <c r="F25" s="329"/>
      <c r="G25" s="329"/>
      <c r="H25" s="329"/>
      <c r="I25" s="329"/>
      <c r="J25" s="329"/>
      <c r="K25" s="329"/>
      <c r="L25" s="329"/>
      <c r="M25" s="329"/>
      <c r="N25" s="329"/>
      <c r="O25" s="329"/>
      <c r="P25" s="329"/>
      <c r="Q25" s="329"/>
      <c r="R25" s="329"/>
      <c r="S25" s="329"/>
      <c r="T25" s="329"/>
      <c r="U25" s="329"/>
      <c r="V25" s="329"/>
      <c r="W25" s="329"/>
      <c r="X25" s="329"/>
      <c r="Y25" s="329"/>
      <c r="Z25" s="329"/>
      <c r="AA25" s="329"/>
      <c r="AB25" s="329"/>
      <c r="AC25" s="329"/>
      <c r="AD25" s="329"/>
      <c r="AE25" s="329"/>
      <c r="AF25" s="329"/>
      <c r="AG25" s="329"/>
      <c r="AH25" s="329"/>
      <c r="AI25" s="329"/>
      <c r="AJ25" s="329"/>
      <c r="AK25" s="329"/>
      <c r="AL25" s="329"/>
      <c r="AM25" s="329"/>
      <c r="AN25" s="329"/>
      <c r="AO25" s="329"/>
      <c r="AP25" s="329"/>
      <c r="AQ25" s="329"/>
      <c r="AR25" s="329"/>
      <c r="AS25" s="336"/>
      <c r="AT25" s="337"/>
    </row>
    <row r="26" spans="1:46" x14ac:dyDescent="0.3">
      <c r="A26" s="187" t="s">
        <v>128</v>
      </c>
      <c r="B26" s="207">
        <f xml:space="preserve">
SUM(C26:E26)</f>
        <v>0</v>
      </c>
      <c r="C26" s="340">
        <f xml:space="preserve">
IF($A$4&lt;=12,SUMIFS('ON Data'!O:O,'ON Data'!$D:$D,$A$4,'ON Data'!$E:$E,11),SUMIFS('ON Data'!O:O,'ON Data'!$E:$E,11))</f>
        <v>0</v>
      </c>
      <c r="D26" s="332"/>
      <c r="E26" s="331">
        <f xml:space="preserve">
IF($A$4&lt;=12,SUMIFS('ON Data'!AW:AW,'ON Data'!$D:$D,$A$4,'ON Data'!$E:$E,11),SUMIFS('ON Data'!AW:AW,'ON Data'!$E:$E,11))</f>
        <v>0</v>
      </c>
      <c r="F26" s="329"/>
      <c r="G26" s="329"/>
      <c r="H26" s="329"/>
      <c r="I26" s="329"/>
      <c r="J26" s="329"/>
      <c r="K26" s="329"/>
      <c r="L26" s="329"/>
      <c r="M26" s="329"/>
      <c r="N26" s="329"/>
      <c r="O26" s="329"/>
      <c r="P26" s="329"/>
      <c r="Q26" s="329"/>
      <c r="R26" s="329"/>
      <c r="S26" s="329"/>
      <c r="T26" s="329"/>
      <c r="U26" s="329"/>
      <c r="V26" s="329"/>
      <c r="W26" s="329"/>
      <c r="X26" s="329"/>
      <c r="Y26" s="329"/>
      <c r="Z26" s="329"/>
      <c r="AA26" s="329"/>
      <c r="AB26" s="329"/>
      <c r="AC26" s="329"/>
      <c r="AD26" s="329"/>
      <c r="AE26" s="329"/>
      <c r="AF26" s="329"/>
      <c r="AG26" s="329"/>
      <c r="AH26" s="329"/>
      <c r="AI26" s="329"/>
      <c r="AJ26" s="329"/>
      <c r="AK26" s="329"/>
      <c r="AL26" s="329"/>
      <c r="AM26" s="329"/>
      <c r="AN26" s="329"/>
      <c r="AO26" s="329"/>
      <c r="AP26" s="329"/>
      <c r="AQ26" s="329"/>
      <c r="AR26" s="329"/>
      <c r="AS26" s="336"/>
      <c r="AT26" s="337"/>
    </row>
    <row r="27" spans="1:46" x14ac:dyDescent="0.3">
      <c r="A27" s="187" t="s">
        <v>57</v>
      </c>
      <c r="B27" s="227">
        <f xml:space="preserve">
IF(B26=0,0,B25/B26)</f>
        <v>0</v>
      </c>
      <c r="C27" s="341">
        <f xml:space="preserve">
IF(C26=0,0,C25/C26)</f>
        <v>0</v>
      </c>
      <c r="D27" s="330"/>
      <c r="E27" s="333">
        <f xml:space="preserve">
IF(E26=0,0,E25/E26)</f>
        <v>0</v>
      </c>
      <c r="F27" s="329"/>
      <c r="G27" s="329"/>
      <c r="H27" s="329"/>
      <c r="I27" s="329"/>
      <c r="J27" s="329"/>
      <c r="K27" s="329"/>
      <c r="L27" s="329"/>
      <c r="M27" s="329"/>
      <c r="N27" s="329"/>
      <c r="O27" s="329"/>
      <c r="P27" s="329"/>
      <c r="Q27" s="329"/>
      <c r="R27" s="329"/>
      <c r="S27" s="329"/>
      <c r="T27" s="329"/>
      <c r="U27" s="329"/>
      <c r="V27" s="329"/>
      <c r="W27" s="329"/>
      <c r="X27" s="329"/>
      <c r="Y27" s="329"/>
      <c r="Z27" s="329"/>
      <c r="AA27" s="329"/>
      <c r="AB27" s="329"/>
      <c r="AC27" s="329"/>
      <c r="AD27" s="329"/>
      <c r="AE27" s="329"/>
      <c r="AF27" s="329"/>
      <c r="AG27" s="329"/>
      <c r="AH27" s="329"/>
      <c r="AI27" s="329"/>
      <c r="AJ27" s="329"/>
      <c r="AK27" s="329"/>
      <c r="AL27" s="329"/>
      <c r="AM27" s="329"/>
      <c r="AN27" s="329"/>
      <c r="AO27" s="329"/>
      <c r="AP27" s="329"/>
      <c r="AQ27" s="329"/>
      <c r="AR27" s="329"/>
      <c r="AS27" s="336"/>
      <c r="AT27" s="337"/>
    </row>
    <row r="28" spans="1:46" ht="15" thickBot="1" x14ac:dyDescent="0.35">
      <c r="A28" s="187" t="s">
        <v>127</v>
      </c>
      <c r="B28" s="207">
        <f xml:space="preserve">
SUM(C28:E28)</f>
        <v>-710</v>
      </c>
      <c r="C28" s="342">
        <f xml:space="preserve">
C26-C25</f>
        <v>-710</v>
      </c>
      <c r="D28" s="334"/>
      <c r="E28" s="335">
        <f xml:space="preserve">
E26-E25</f>
        <v>0</v>
      </c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329"/>
      <c r="AJ28" s="329"/>
      <c r="AK28" s="329"/>
      <c r="AL28" s="329"/>
      <c r="AM28" s="329"/>
      <c r="AN28" s="329"/>
      <c r="AO28" s="329"/>
      <c r="AP28" s="329"/>
      <c r="AQ28" s="329"/>
      <c r="AR28" s="329"/>
      <c r="AS28" s="336"/>
      <c r="AT28" s="337"/>
    </row>
    <row r="29" spans="1:46" x14ac:dyDescent="0.3">
      <c r="A29" s="188"/>
      <c r="B29" s="188"/>
      <c r="C29" s="189"/>
      <c r="D29" s="189"/>
    </row>
    <row r="30" spans="1:46" x14ac:dyDescent="0.3">
      <c r="A30" s="79" t="s">
        <v>90</v>
      </c>
      <c r="B30" s="96"/>
      <c r="C30" s="96"/>
      <c r="D30" s="96"/>
    </row>
    <row r="31" spans="1:46" x14ac:dyDescent="0.3">
      <c r="A31" s="80" t="s">
        <v>125</v>
      </c>
      <c r="B31" s="96"/>
      <c r="C31" s="96"/>
      <c r="D31" s="96"/>
    </row>
    <row r="32" spans="1:46" ht="14.4" customHeight="1" x14ac:dyDescent="0.3">
      <c r="A32" s="223" t="s">
        <v>122</v>
      </c>
      <c r="B32" s="224"/>
      <c r="C32" s="224"/>
      <c r="D32" s="224"/>
    </row>
    <row r="33" spans="1:1" x14ac:dyDescent="0.3">
      <c r="A33" s="225" t="s">
        <v>137</v>
      </c>
    </row>
    <row r="34" spans="1:1" x14ac:dyDescent="0.3">
      <c r="A34" s="225" t="s">
        <v>138</v>
      </c>
    </row>
    <row r="35" spans="1:1" x14ac:dyDescent="0.3">
      <c r="A35" s="225" t="s">
        <v>139</v>
      </c>
    </row>
    <row r="36" spans="1:1" x14ac:dyDescent="0.3">
      <c r="A36" s="225" t="s">
        <v>131</v>
      </c>
    </row>
  </sheetData>
  <mergeCells count="7">
    <mergeCell ref="B3:B4"/>
    <mergeCell ref="A1:E1"/>
    <mergeCell ref="C27:D27"/>
    <mergeCell ref="C28:D28"/>
    <mergeCell ref="C24:D24"/>
    <mergeCell ref="C25:D25"/>
    <mergeCell ref="C26:D26"/>
  </mergeCells>
  <conditionalFormatting sqref="B22:D22">
    <cfRule type="cellIs" dxfId="5" priority="6" operator="greaterThan">
      <formula>1</formula>
    </cfRule>
  </conditionalFormatting>
  <conditionalFormatting sqref="B23:D23">
    <cfRule type="cellIs" dxfId="4" priority="5" operator="greaterThan">
      <formula>0</formula>
    </cfRule>
  </conditionalFormatting>
  <conditionalFormatting sqref="E27">
    <cfRule type="cellIs" dxfId="3" priority="4" operator="greaterThan">
      <formula>1</formula>
    </cfRule>
  </conditionalFormatting>
  <conditionalFormatting sqref="E28">
    <cfRule type="cellIs" dxfId="2" priority="3" operator="lessThan">
      <formula>0</formula>
    </cfRule>
  </conditionalFormatting>
  <conditionalFormatting sqref="C28">
    <cfRule type="cellIs" dxfId="1" priority="1" operator="lessThan">
      <formula>0</formula>
    </cfRule>
  </conditionalFormatting>
  <conditionalFormatting sqref="C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6"/>
  <sheetViews>
    <sheetView showGridLines="0" showRowColHeaders="0" workbookViewId="0"/>
  </sheetViews>
  <sheetFormatPr defaultRowHeight="14.4" x14ac:dyDescent="0.3"/>
  <cols>
    <col min="1" max="16384" width="8.88671875" style="169"/>
  </cols>
  <sheetData>
    <row r="1" spans="1:49" x14ac:dyDescent="0.3">
      <c r="A1" s="169" t="s">
        <v>269</v>
      </c>
    </row>
    <row r="2" spans="1:49" x14ac:dyDescent="0.3">
      <c r="A2" s="173" t="s">
        <v>161</v>
      </c>
    </row>
    <row r="3" spans="1:49" x14ac:dyDescent="0.3">
      <c r="A3" s="169" t="s">
        <v>95</v>
      </c>
      <c r="B3" s="192">
        <v>2016</v>
      </c>
      <c r="D3" s="170">
        <f>MAX(D5:D1048576)</f>
        <v>6</v>
      </c>
      <c r="F3" s="170">
        <f>SUMIF($E5:$E1048576,"&lt;10",F5:F1048576)</f>
        <v>1359274</v>
      </c>
      <c r="G3" s="170">
        <f t="shared" ref="G3:AW3" si="0">SUMIF($E5:$E1048576,"&lt;10",G5:G1048576)</f>
        <v>0</v>
      </c>
      <c r="H3" s="170">
        <f t="shared" si="0"/>
        <v>0</v>
      </c>
      <c r="I3" s="170">
        <f t="shared" si="0"/>
        <v>0</v>
      </c>
      <c r="J3" s="170">
        <f t="shared" si="0"/>
        <v>0</v>
      </c>
      <c r="K3" s="170">
        <f t="shared" si="0"/>
        <v>0</v>
      </c>
      <c r="L3" s="170">
        <f t="shared" si="0"/>
        <v>0</v>
      </c>
      <c r="M3" s="170">
        <f t="shared" si="0"/>
        <v>0</v>
      </c>
      <c r="N3" s="170">
        <f t="shared" si="0"/>
        <v>0</v>
      </c>
      <c r="O3" s="170">
        <f t="shared" si="0"/>
        <v>0</v>
      </c>
      <c r="P3" s="170">
        <f t="shared" si="0"/>
        <v>0</v>
      </c>
      <c r="Q3" s="170">
        <f t="shared" si="0"/>
        <v>0</v>
      </c>
      <c r="R3" s="170">
        <f t="shared" si="0"/>
        <v>0</v>
      </c>
      <c r="S3" s="170">
        <f t="shared" si="0"/>
        <v>0</v>
      </c>
      <c r="T3" s="170">
        <f t="shared" si="0"/>
        <v>0</v>
      </c>
      <c r="U3" s="170">
        <f t="shared" si="0"/>
        <v>0</v>
      </c>
      <c r="V3" s="170">
        <f t="shared" si="0"/>
        <v>0</v>
      </c>
      <c r="W3" s="170">
        <f t="shared" si="0"/>
        <v>1359274</v>
      </c>
      <c r="X3" s="170">
        <f t="shared" si="0"/>
        <v>0</v>
      </c>
      <c r="Y3" s="170">
        <f t="shared" si="0"/>
        <v>0</v>
      </c>
      <c r="Z3" s="170">
        <f t="shared" si="0"/>
        <v>0</v>
      </c>
      <c r="AA3" s="170">
        <f t="shared" si="0"/>
        <v>0</v>
      </c>
      <c r="AB3" s="170">
        <f t="shared" si="0"/>
        <v>0</v>
      </c>
      <c r="AC3" s="170">
        <f t="shared" si="0"/>
        <v>0</v>
      </c>
      <c r="AD3" s="170">
        <f t="shared" si="0"/>
        <v>0</v>
      </c>
      <c r="AE3" s="170">
        <f t="shared" si="0"/>
        <v>0</v>
      </c>
      <c r="AF3" s="170">
        <f t="shared" si="0"/>
        <v>0</v>
      </c>
      <c r="AG3" s="170">
        <f t="shared" si="0"/>
        <v>0</v>
      </c>
      <c r="AH3" s="170">
        <f t="shared" si="0"/>
        <v>0</v>
      </c>
      <c r="AI3" s="170">
        <f t="shared" si="0"/>
        <v>0</v>
      </c>
      <c r="AJ3" s="170">
        <f t="shared" si="0"/>
        <v>0</v>
      </c>
      <c r="AK3" s="170">
        <f t="shared" si="0"/>
        <v>0</v>
      </c>
      <c r="AL3" s="170">
        <f t="shared" si="0"/>
        <v>0</v>
      </c>
      <c r="AM3" s="170">
        <f t="shared" si="0"/>
        <v>0</v>
      </c>
      <c r="AN3" s="170">
        <f t="shared" si="0"/>
        <v>0</v>
      </c>
      <c r="AO3" s="170">
        <f t="shared" si="0"/>
        <v>0</v>
      </c>
      <c r="AP3" s="170">
        <f t="shared" si="0"/>
        <v>0</v>
      </c>
      <c r="AQ3" s="170">
        <f t="shared" si="0"/>
        <v>0</v>
      </c>
      <c r="AR3" s="170">
        <f t="shared" si="0"/>
        <v>0</v>
      </c>
      <c r="AS3" s="170">
        <f t="shared" si="0"/>
        <v>0</v>
      </c>
      <c r="AT3" s="170">
        <f t="shared" si="0"/>
        <v>0</v>
      </c>
      <c r="AU3" s="170">
        <f t="shared" si="0"/>
        <v>0</v>
      </c>
      <c r="AV3" s="170">
        <f t="shared" si="0"/>
        <v>0</v>
      </c>
      <c r="AW3" s="170">
        <f t="shared" si="0"/>
        <v>0</v>
      </c>
    </row>
    <row r="4" spans="1:49" x14ac:dyDescent="0.3">
      <c r="A4" s="169" t="s">
        <v>96</v>
      </c>
      <c r="B4" s="192">
        <v>1</v>
      </c>
      <c r="C4" s="171" t="s">
        <v>4</v>
      </c>
      <c r="D4" s="172" t="s">
        <v>51</v>
      </c>
      <c r="E4" s="172" t="s">
        <v>94</v>
      </c>
      <c r="F4" s="172" t="s">
        <v>2</v>
      </c>
      <c r="G4" s="172">
        <v>0</v>
      </c>
      <c r="H4" s="172">
        <v>25</v>
      </c>
      <c r="I4" s="172">
        <v>99</v>
      </c>
      <c r="J4" s="172">
        <v>100</v>
      </c>
      <c r="K4" s="172">
        <v>101</v>
      </c>
      <c r="L4" s="172">
        <v>102</v>
      </c>
      <c r="M4" s="172">
        <v>103</v>
      </c>
      <c r="N4" s="172">
        <v>203</v>
      </c>
      <c r="O4" s="172">
        <v>302</v>
      </c>
      <c r="P4" s="172">
        <v>303</v>
      </c>
      <c r="Q4" s="172">
        <v>304</v>
      </c>
      <c r="R4" s="172">
        <v>305</v>
      </c>
      <c r="S4" s="172">
        <v>306</v>
      </c>
      <c r="T4" s="172">
        <v>407</v>
      </c>
      <c r="U4" s="172">
        <v>408</v>
      </c>
      <c r="V4" s="172">
        <v>409</v>
      </c>
      <c r="W4" s="172">
        <v>410</v>
      </c>
      <c r="X4" s="172">
        <v>415</v>
      </c>
      <c r="Y4" s="172">
        <v>416</v>
      </c>
      <c r="Z4" s="172">
        <v>418</v>
      </c>
      <c r="AA4" s="172">
        <v>419</v>
      </c>
      <c r="AB4" s="172">
        <v>420</v>
      </c>
      <c r="AC4" s="172">
        <v>421</v>
      </c>
      <c r="AD4" s="172">
        <v>520</v>
      </c>
      <c r="AE4" s="172">
        <v>521</v>
      </c>
      <c r="AF4" s="172">
        <v>522</v>
      </c>
      <c r="AG4" s="172">
        <v>523</v>
      </c>
      <c r="AH4" s="172">
        <v>524</v>
      </c>
      <c r="AI4" s="172">
        <v>525</v>
      </c>
      <c r="AJ4" s="172">
        <v>526</v>
      </c>
      <c r="AK4" s="172">
        <v>527</v>
      </c>
      <c r="AL4" s="172">
        <v>528</v>
      </c>
      <c r="AM4" s="172">
        <v>629</v>
      </c>
      <c r="AN4" s="172">
        <v>630</v>
      </c>
      <c r="AO4" s="172">
        <v>636</v>
      </c>
      <c r="AP4" s="172">
        <v>637</v>
      </c>
      <c r="AQ4" s="172">
        <v>640</v>
      </c>
      <c r="AR4" s="172">
        <v>642</v>
      </c>
      <c r="AS4" s="172">
        <v>743</v>
      </c>
      <c r="AT4" s="172">
        <v>745</v>
      </c>
      <c r="AU4" s="172">
        <v>746</v>
      </c>
      <c r="AV4" s="172">
        <v>747</v>
      </c>
      <c r="AW4" s="172">
        <v>930</v>
      </c>
    </row>
    <row r="5" spans="1:49" x14ac:dyDescent="0.3">
      <c r="A5" s="169" t="s">
        <v>97</v>
      </c>
      <c r="B5" s="192">
        <v>2</v>
      </c>
      <c r="C5" s="169">
        <v>45</v>
      </c>
      <c r="D5" s="169">
        <v>1</v>
      </c>
      <c r="E5" s="169">
        <v>1</v>
      </c>
      <c r="F5" s="169">
        <v>7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0</v>
      </c>
      <c r="M5" s="169">
        <v>0</v>
      </c>
      <c r="N5" s="169">
        <v>0</v>
      </c>
      <c r="O5" s="169">
        <v>0</v>
      </c>
      <c r="P5" s="169">
        <v>0</v>
      </c>
      <c r="Q5" s="169">
        <v>0</v>
      </c>
      <c r="R5" s="169">
        <v>0</v>
      </c>
      <c r="S5" s="169">
        <v>0</v>
      </c>
      <c r="T5" s="169">
        <v>0</v>
      </c>
      <c r="U5" s="169">
        <v>0</v>
      </c>
      <c r="V5" s="169">
        <v>0</v>
      </c>
      <c r="W5" s="169">
        <v>7</v>
      </c>
      <c r="X5" s="169">
        <v>0</v>
      </c>
      <c r="Y5" s="169">
        <v>0</v>
      </c>
      <c r="Z5" s="169">
        <v>0</v>
      </c>
      <c r="AA5" s="169">
        <v>0</v>
      </c>
      <c r="AB5" s="169">
        <v>0</v>
      </c>
      <c r="AC5" s="169">
        <v>0</v>
      </c>
      <c r="AD5" s="169">
        <v>0</v>
      </c>
      <c r="AE5" s="169">
        <v>0</v>
      </c>
      <c r="AF5" s="169">
        <v>0</v>
      </c>
      <c r="AG5" s="169">
        <v>0</v>
      </c>
      <c r="AH5" s="169">
        <v>0</v>
      </c>
      <c r="AI5" s="169">
        <v>0</v>
      </c>
      <c r="AJ5" s="169">
        <v>0</v>
      </c>
      <c r="AK5" s="169">
        <v>0</v>
      </c>
      <c r="AL5" s="169">
        <v>0</v>
      </c>
      <c r="AM5" s="169">
        <v>0</v>
      </c>
      <c r="AN5" s="169">
        <v>0</v>
      </c>
      <c r="AO5" s="169">
        <v>0</v>
      </c>
      <c r="AP5" s="169">
        <v>0</v>
      </c>
      <c r="AQ5" s="169">
        <v>0</v>
      </c>
      <c r="AR5" s="169">
        <v>0</v>
      </c>
      <c r="AS5" s="169">
        <v>0</v>
      </c>
      <c r="AT5" s="169">
        <v>0</v>
      </c>
      <c r="AU5" s="169">
        <v>0</v>
      </c>
      <c r="AV5" s="169">
        <v>0</v>
      </c>
      <c r="AW5" s="169">
        <v>0</v>
      </c>
    </row>
    <row r="6" spans="1:49" x14ac:dyDescent="0.3">
      <c r="A6" s="169" t="s">
        <v>98</v>
      </c>
      <c r="B6" s="192">
        <v>3</v>
      </c>
      <c r="C6" s="169">
        <v>45</v>
      </c>
      <c r="D6" s="169">
        <v>1</v>
      </c>
      <c r="E6" s="169">
        <v>2</v>
      </c>
      <c r="F6" s="169">
        <v>1112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69">
        <v>0</v>
      </c>
      <c r="M6" s="169">
        <v>0</v>
      </c>
      <c r="N6" s="169">
        <v>0</v>
      </c>
      <c r="O6" s="169">
        <v>0</v>
      </c>
      <c r="P6" s="169">
        <v>0</v>
      </c>
      <c r="Q6" s="169">
        <v>0</v>
      </c>
      <c r="R6" s="169">
        <v>0</v>
      </c>
      <c r="S6" s="169">
        <v>0</v>
      </c>
      <c r="T6" s="169">
        <v>0</v>
      </c>
      <c r="U6" s="169">
        <v>0</v>
      </c>
      <c r="V6" s="169">
        <v>0</v>
      </c>
      <c r="W6" s="169">
        <v>1112</v>
      </c>
      <c r="X6" s="169">
        <v>0</v>
      </c>
      <c r="Y6" s="169">
        <v>0</v>
      </c>
      <c r="Z6" s="169">
        <v>0</v>
      </c>
      <c r="AA6" s="169">
        <v>0</v>
      </c>
      <c r="AB6" s="169">
        <v>0</v>
      </c>
      <c r="AC6" s="169">
        <v>0</v>
      </c>
      <c r="AD6" s="169">
        <v>0</v>
      </c>
      <c r="AE6" s="169">
        <v>0</v>
      </c>
      <c r="AF6" s="169">
        <v>0</v>
      </c>
      <c r="AG6" s="169">
        <v>0</v>
      </c>
      <c r="AH6" s="169">
        <v>0</v>
      </c>
      <c r="AI6" s="169">
        <v>0</v>
      </c>
      <c r="AJ6" s="169">
        <v>0</v>
      </c>
      <c r="AK6" s="169">
        <v>0</v>
      </c>
      <c r="AL6" s="169">
        <v>0</v>
      </c>
      <c r="AM6" s="169">
        <v>0</v>
      </c>
      <c r="AN6" s="169">
        <v>0</v>
      </c>
      <c r="AO6" s="169">
        <v>0</v>
      </c>
      <c r="AP6" s="169">
        <v>0</v>
      </c>
      <c r="AQ6" s="169">
        <v>0</v>
      </c>
      <c r="AR6" s="169">
        <v>0</v>
      </c>
      <c r="AS6" s="169">
        <v>0</v>
      </c>
      <c r="AT6" s="169">
        <v>0</v>
      </c>
      <c r="AU6" s="169">
        <v>0</v>
      </c>
      <c r="AV6" s="169">
        <v>0</v>
      </c>
      <c r="AW6" s="169">
        <v>0</v>
      </c>
    </row>
    <row r="7" spans="1:49" x14ac:dyDescent="0.3">
      <c r="A7" s="169" t="s">
        <v>99</v>
      </c>
      <c r="B7" s="192">
        <v>4</v>
      </c>
      <c r="C7" s="169">
        <v>45</v>
      </c>
      <c r="D7" s="169">
        <v>1</v>
      </c>
      <c r="E7" s="169">
        <v>6</v>
      </c>
      <c r="F7" s="169">
        <v>226973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0</v>
      </c>
      <c r="O7" s="169">
        <v>0</v>
      </c>
      <c r="P7" s="169">
        <v>0</v>
      </c>
      <c r="Q7" s="169">
        <v>0</v>
      </c>
      <c r="R7" s="169">
        <v>0</v>
      </c>
      <c r="S7" s="169">
        <v>0</v>
      </c>
      <c r="T7" s="169">
        <v>0</v>
      </c>
      <c r="U7" s="169">
        <v>0</v>
      </c>
      <c r="V7" s="169">
        <v>0</v>
      </c>
      <c r="W7" s="169">
        <v>226973</v>
      </c>
      <c r="X7" s="169">
        <v>0</v>
      </c>
      <c r="Y7" s="169">
        <v>0</v>
      </c>
      <c r="Z7" s="169">
        <v>0</v>
      </c>
      <c r="AA7" s="169">
        <v>0</v>
      </c>
      <c r="AB7" s="169">
        <v>0</v>
      </c>
      <c r="AC7" s="169">
        <v>0</v>
      </c>
      <c r="AD7" s="169">
        <v>0</v>
      </c>
      <c r="AE7" s="169">
        <v>0</v>
      </c>
      <c r="AF7" s="169">
        <v>0</v>
      </c>
      <c r="AG7" s="169">
        <v>0</v>
      </c>
      <c r="AH7" s="169">
        <v>0</v>
      </c>
      <c r="AI7" s="169">
        <v>0</v>
      </c>
      <c r="AJ7" s="169">
        <v>0</v>
      </c>
      <c r="AK7" s="169">
        <v>0</v>
      </c>
      <c r="AL7" s="169">
        <v>0</v>
      </c>
      <c r="AM7" s="169">
        <v>0</v>
      </c>
      <c r="AN7" s="169">
        <v>0</v>
      </c>
      <c r="AO7" s="169">
        <v>0</v>
      </c>
      <c r="AP7" s="169">
        <v>0</v>
      </c>
      <c r="AQ7" s="169">
        <v>0</v>
      </c>
      <c r="AR7" s="169">
        <v>0</v>
      </c>
      <c r="AS7" s="169">
        <v>0</v>
      </c>
      <c r="AT7" s="169">
        <v>0</v>
      </c>
      <c r="AU7" s="169">
        <v>0</v>
      </c>
      <c r="AV7" s="169">
        <v>0</v>
      </c>
      <c r="AW7" s="169">
        <v>0</v>
      </c>
    </row>
    <row r="8" spans="1:49" x14ac:dyDescent="0.3">
      <c r="A8" s="169" t="s">
        <v>100</v>
      </c>
      <c r="B8" s="192">
        <v>5</v>
      </c>
      <c r="C8" s="169">
        <v>45</v>
      </c>
      <c r="D8" s="169">
        <v>2</v>
      </c>
      <c r="E8" s="169">
        <v>1</v>
      </c>
      <c r="F8" s="169">
        <v>7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  <c r="L8" s="169">
        <v>0</v>
      </c>
      <c r="M8" s="169">
        <v>0</v>
      </c>
      <c r="N8" s="169">
        <v>0</v>
      </c>
      <c r="O8" s="169">
        <v>0</v>
      </c>
      <c r="P8" s="169">
        <v>0</v>
      </c>
      <c r="Q8" s="169">
        <v>0</v>
      </c>
      <c r="R8" s="169">
        <v>0</v>
      </c>
      <c r="S8" s="169">
        <v>0</v>
      </c>
      <c r="T8" s="169">
        <v>0</v>
      </c>
      <c r="U8" s="169">
        <v>0</v>
      </c>
      <c r="V8" s="169">
        <v>0</v>
      </c>
      <c r="W8" s="169">
        <v>7</v>
      </c>
      <c r="X8" s="169">
        <v>0</v>
      </c>
      <c r="Y8" s="169">
        <v>0</v>
      </c>
      <c r="Z8" s="169">
        <v>0</v>
      </c>
      <c r="AA8" s="169">
        <v>0</v>
      </c>
      <c r="AB8" s="169">
        <v>0</v>
      </c>
      <c r="AC8" s="169">
        <v>0</v>
      </c>
      <c r="AD8" s="169">
        <v>0</v>
      </c>
      <c r="AE8" s="169">
        <v>0</v>
      </c>
      <c r="AF8" s="169">
        <v>0</v>
      </c>
      <c r="AG8" s="169">
        <v>0</v>
      </c>
      <c r="AH8" s="169">
        <v>0</v>
      </c>
      <c r="AI8" s="169">
        <v>0</v>
      </c>
      <c r="AJ8" s="169">
        <v>0</v>
      </c>
      <c r="AK8" s="169">
        <v>0</v>
      </c>
      <c r="AL8" s="169">
        <v>0</v>
      </c>
      <c r="AM8" s="169">
        <v>0</v>
      </c>
      <c r="AN8" s="169">
        <v>0</v>
      </c>
      <c r="AO8" s="169">
        <v>0</v>
      </c>
      <c r="AP8" s="169">
        <v>0</v>
      </c>
      <c r="AQ8" s="169">
        <v>0</v>
      </c>
      <c r="AR8" s="169">
        <v>0</v>
      </c>
      <c r="AS8" s="169">
        <v>0</v>
      </c>
      <c r="AT8" s="169">
        <v>0</v>
      </c>
      <c r="AU8" s="169">
        <v>0</v>
      </c>
      <c r="AV8" s="169">
        <v>0</v>
      </c>
      <c r="AW8" s="169">
        <v>0</v>
      </c>
    </row>
    <row r="9" spans="1:49" x14ac:dyDescent="0.3">
      <c r="A9" s="169" t="s">
        <v>101</v>
      </c>
      <c r="B9" s="192">
        <v>6</v>
      </c>
      <c r="C9" s="169">
        <v>45</v>
      </c>
      <c r="D9" s="169">
        <v>2</v>
      </c>
      <c r="E9" s="169">
        <v>2</v>
      </c>
      <c r="F9" s="169">
        <v>1084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0</v>
      </c>
      <c r="O9" s="169">
        <v>0</v>
      </c>
      <c r="P9" s="169">
        <v>0</v>
      </c>
      <c r="Q9" s="169">
        <v>0</v>
      </c>
      <c r="R9" s="169">
        <v>0</v>
      </c>
      <c r="S9" s="169">
        <v>0</v>
      </c>
      <c r="T9" s="169">
        <v>0</v>
      </c>
      <c r="U9" s="169">
        <v>0</v>
      </c>
      <c r="V9" s="169">
        <v>0</v>
      </c>
      <c r="W9" s="169">
        <v>1084</v>
      </c>
      <c r="X9" s="169">
        <v>0</v>
      </c>
      <c r="Y9" s="169">
        <v>0</v>
      </c>
      <c r="Z9" s="169">
        <v>0</v>
      </c>
      <c r="AA9" s="169">
        <v>0</v>
      </c>
      <c r="AB9" s="169">
        <v>0</v>
      </c>
      <c r="AC9" s="169">
        <v>0</v>
      </c>
      <c r="AD9" s="169">
        <v>0</v>
      </c>
      <c r="AE9" s="169">
        <v>0</v>
      </c>
      <c r="AF9" s="169">
        <v>0</v>
      </c>
      <c r="AG9" s="169">
        <v>0</v>
      </c>
      <c r="AH9" s="169">
        <v>0</v>
      </c>
      <c r="AI9" s="169">
        <v>0</v>
      </c>
      <c r="AJ9" s="169">
        <v>0</v>
      </c>
      <c r="AK9" s="169">
        <v>0</v>
      </c>
      <c r="AL9" s="169">
        <v>0</v>
      </c>
      <c r="AM9" s="169">
        <v>0</v>
      </c>
      <c r="AN9" s="169">
        <v>0</v>
      </c>
      <c r="AO9" s="169">
        <v>0</v>
      </c>
      <c r="AP9" s="169">
        <v>0</v>
      </c>
      <c r="AQ9" s="169">
        <v>0</v>
      </c>
      <c r="AR9" s="169">
        <v>0</v>
      </c>
      <c r="AS9" s="169">
        <v>0</v>
      </c>
      <c r="AT9" s="169">
        <v>0</v>
      </c>
      <c r="AU9" s="169">
        <v>0</v>
      </c>
      <c r="AV9" s="169">
        <v>0</v>
      </c>
      <c r="AW9" s="169">
        <v>0</v>
      </c>
    </row>
    <row r="10" spans="1:49" x14ac:dyDescent="0.3">
      <c r="A10" s="169" t="s">
        <v>102</v>
      </c>
      <c r="B10" s="192">
        <v>7</v>
      </c>
      <c r="C10" s="169">
        <v>45</v>
      </c>
      <c r="D10" s="169">
        <v>2</v>
      </c>
      <c r="E10" s="169">
        <v>6</v>
      </c>
      <c r="F10" s="169">
        <v>223261</v>
      </c>
      <c r="G10" s="169">
        <v>0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69">
        <v>0</v>
      </c>
      <c r="O10" s="169">
        <v>0</v>
      </c>
      <c r="P10" s="169">
        <v>0</v>
      </c>
      <c r="Q10" s="169">
        <v>0</v>
      </c>
      <c r="R10" s="169">
        <v>0</v>
      </c>
      <c r="S10" s="169">
        <v>0</v>
      </c>
      <c r="T10" s="169">
        <v>0</v>
      </c>
      <c r="U10" s="169">
        <v>0</v>
      </c>
      <c r="V10" s="169">
        <v>0</v>
      </c>
      <c r="W10" s="169">
        <v>223261</v>
      </c>
      <c r="X10" s="169">
        <v>0</v>
      </c>
      <c r="Y10" s="169">
        <v>0</v>
      </c>
      <c r="Z10" s="169">
        <v>0</v>
      </c>
      <c r="AA10" s="169">
        <v>0</v>
      </c>
      <c r="AB10" s="169">
        <v>0</v>
      </c>
      <c r="AC10" s="169">
        <v>0</v>
      </c>
      <c r="AD10" s="169">
        <v>0</v>
      </c>
      <c r="AE10" s="169">
        <v>0</v>
      </c>
      <c r="AF10" s="169">
        <v>0</v>
      </c>
      <c r="AG10" s="169">
        <v>0</v>
      </c>
      <c r="AH10" s="169">
        <v>0</v>
      </c>
      <c r="AI10" s="169">
        <v>0</v>
      </c>
      <c r="AJ10" s="169">
        <v>0</v>
      </c>
      <c r="AK10" s="169">
        <v>0</v>
      </c>
      <c r="AL10" s="169">
        <v>0</v>
      </c>
      <c r="AM10" s="169">
        <v>0</v>
      </c>
      <c r="AN10" s="169">
        <v>0</v>
      </c>
      <c r="AO10" s="169">
        <v>0</v>
      </c>
      <c r="AP10" s="169">
        <v>0</v>
      </c>
      <c r="AQ10" s="169">
        <v>0</v>
      </c>
      <c r="AR10" s="169">
        <v>0</v>
      </c>
      <c r="AS10" s="169">
        <v>0</v>
      </c>
      <c r="AT10" s="169">
        <v>0</v>
      </c>
      <c r="AU10" s="169">
        <v>0</v>
      </c>
      <c r="AV10" s="169">
        <v>0</v>
      </c>
      <c r="AW10" s="169">
        <v>0</v>
      </c>
    </row>
    <row r="11" spans="1:49" x14ac:dyDescent="0.3">
      <c r="A11" s="169" t="s">
        <v>103</v>
      </c>
      <c r="B11" s="192">
        <v>8</v>
      </c>
      <c r="C11" s="169">
        <v>45</v>
      </c>
      <c r="D11" s="169">
        <v>3</v>
      </c>
      <c r="E11" s="169">
        <v>1</v>
      </c>
      <c r="F11" s="169">
        <v>7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0</v>
      </c>
      <c r="M11" s="169">
        <v>0</v>
      </c>
      <c r="N11" s="169">
        <v>0</v>
      </c>
      <c r="O11" s="169">
        <v>0</v>
      </c>
      <c r="P11" s="169">
        <v>0</v>
      </c>
      <c r="Q11" s="169">
        <v>0</v>
      </c>
      <c r="R11" s="169">
        <v>0</v>
      </c>
      <c r="S11" s="169">
        <v>0</v>
      </c>
      <c r="T11" s="169">
        <v>0</v>
      </c>
      <c r="U11" s="169">
        <v>0</v>
      </c>
      <c r="V11" s="169">
        <v>0</v>
      </c>
      <c r="W11" s="169">
        <v>7</v>
      </c>
      <c r="X11" s="169">
        <v>0</v>
      </c>
      <c r="Y11" s="169">
        <v>0</v>
      </c>
      <c r="Z11" s="169">
        <v>0</v>
      </c>
      <c r="AA11" s="169">
        <v>0</v>
      </c>
      <c r="AB11" s="169">
        <v>0</v>
      </c>
      <c r="AC11" s="169">
        <v>0</v>
      </c>
      <c r="AD11" s="169">
        <v>0</v>
      </c>
      <c r="AE11" s="169">
        <v>0</v>
      </c>
      <c r="AF11" s="169">
        <v>0</v>
      </c>
      <c r="AG11" s="169">
        <v>0</v>
      </c>
      <c r="AH11" s="169">
        <v>0</v>
      </c>
      <c r="AI11" s="169">
        <v>0</v>
      </c>
      <c r="AJ11" s="169">
        <v>0</v>
      </c>
      <c r="AK11" s="169">
        <v>0</v>
      </c>
      <c r="AL11" s="169">
        <v>0</v>
      </c>
      <c r="AM11" s="169">
        <v>0</v>
      </c>
      <c r="AN11" s="169">
        <v>0</v>
      </c>
      <c r="AO11" s="169">
        <v>0</v>
      </c>
      <c r="AP11" s="169">
        <v>0</v>
      </c>
      <c r="AQ11" s="169">
        <v>0</v>
      </c>
      <c r="AR11" s="169">
        <v>0</v>
      </c>
      <c r="AS11" s="169">
        <v>0</v>
      </c>
      <c r="AT11" s="169">
        <v>0</v>
      </c>
      <c r="AU11" s="169">
        <v>0</v>
      </c>
      <c r="AV11" s="169">
        <v>0</v>
      </c>
      <c r="AW11" s="169">
        <v>0</v>
      </c>
    </row>
    <row r="12" spans="1:49" x14ac:dyDescent="0.3">
      <c r="A12" s="169" t="s">
        <v>104</v>
      </c>
      <c r="B12" s="192">
        <v>9</v>
      </c>
      <c r="C12" s="169">
        <v>45</v>
      </c>
      <c r="D12" s="169">
        <v>3</v>
      </c>
      <c r="E12" s="169">
        <v>2</v>
      </c>
      <c r="F12" s="169">
        <v>1248</v>
      </c>
      <c r="G12" s="169">
        <v>0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69">
        <v>0</v>
      </c>
      <c r="O12" s="169">
        <v>0</v>
      </c>
      <c r="P12" s="169">
        <v>0</v>
      </c>
      <c r="Q12" s="169">
        <v>0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69">
        <v>1248</v>
      </c>
      <c r="X12" s="169">
        <v>0</v>
      </c>
      <c r="Y12" s="169">
        <v>0</v>
      </c>
      <c r="Z12" s="169">
        <v>0</v>
      </c>
      <c r="AA12" s="169">
        <v>0</v>
      </c>
      <c r="AB12" s="169">
        <v>0</v>
      </c>
      <c r="AC12" s="169">
        <v>0</v>
      </c>
      <c r="AD12" s="169">
        <v>0</v>
      </c>
      <c r="AE12" s="169">
        <v>0</v>
      </c>
      <c r="AF12" s="169">
        <v>0</v>
      </c>
      <c r="AG12" s="169">
        <v>0</v>
      </c>
      <c r="AH12" s="169">
        <v>0</v>
      </c>
      <c r="AI12" s="169">
        <v>0</v>
      </c>
      <c r="AJ12" s="169">
        <v>0</v>
      </c>
      <c r="AK12" s="169">
        <v>0</v>
      </c>
      <c r="AL12" s="169">
        <v>0</v>
      </c>
      <c r="AM12" s="169">
        <v>0</v>
      </c>
      <c r="AN12" s="169">
        <v>0</v>
      </c>
      <c r="AO12" s="169">
        <v>0</v>
      </c>
      <c r="AP12" s="169">
        <v>0</v>
      </c>
      <c r="AQ12" s="169">
        <v>0</v>
      </c>
      <c r="AR12" s="169">
        <v>0</v>
      </c>
      <c r="AS12" s="169">
        <v>0</v>
      </c>
      <c r="AT12" s="169">
        <v>0</v>
      </c>
      <c r="AU12" s="169">
        <v>0</v>
      </c>
      <c r="AV12" s="169">
        <v>0</v>
      </c>
      <c r="AW12" s="169">
        <v>0</v>
      </c>
    </row>
    <row r="13" spans="1:49" x14ac:dyDescent="0.3">
      <c r="A13" s="169" t="s">
        <v>105</v>
      </c>
      <c r="B13" s="192">
        <v>10</v>
      </c>
      <c r="C13" s="169">
        <v>45</v>
      </c>
      <c r="D13" s="169">
        <v>3</v>
      </c>
      <c r="E13" s="169">
        <v>6</v>
      </c>
      <c r="F13" s="169">
        <v>226028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169">
        <v>0</v>
      </c>
      <c r="P13" s="169">
        <v>0</v>
      </c>
      <c r="Q13" s="169">
        <v>0</v>
      </c>
      <c r="R13" s="169">
        <v>0</v>
      </c>
      <c r="S13" s="169">
        <v>0</v>
      </c>
      <c r="T13" s="169">
        <v>0</v>
      </c>
      <c r="U13" s="169">
        <v>0</v>
      </c>
      <c r="V13" s="169">
        <v>0</v>
      </c>
      <c r="W13" s="169">
        <v>226028</v>
      </c>
      <c r="X13" s="169">
        <v>0</v>
      </c>
      <c r="Y13" s="169">
        <v>0</v>
      </c>
      <c r="Z13" s="169">
        <v>0</v>
      </c>
      <c r="AA13" s="169">
        <v>0</v>
      </c>
      <c r="AB13" s="169">
        <v>0</v>
      </c>
      <c r="AC13" s="169">
        <v>0</v>
      </c>
      <c r="AD13" s="169">
        <v>0</v>
      </c>
      <c r="AE13" s="169">
        <v>0</v>
      </c>
      <c r="AF13" s="169">
        <v>0</v>
      </c>
      <c r="AG13" s="169">
        <v>0</v>
      </c>
      <c r="AH13" s="169">
        <v>0</v>
      </c>
      <c r="AI13" s="169">
        <v>0</v>
      </c>
      <c r="AJ13" s="169">
        <v>0</v>
      </c>
      <c r="AK13" s="169">
        <v>0</v>
      </c>
      <c r="AL13" s="169">
        <v>0</v>
      </c>
      <c r="AM13" s="169">
        <v>0</v>
      </c>
      <c r="AN13" s="169">
        <v>0</v>
      </c>
      <c r="AO13" s="169">
        <v>0</v>
      </c>
      <c r="AP13" s="169">
        <v>0</v>
      </c>
      <c r="AQ13" s="169">
        <v>0</v>
      </c>
      <c r="AR13" s="169">
        <v>0</v>
      </c>
      <c r="AS13" s="169">
        <v>0</v>
      </c>
      <c r="AT13" s="169">
        <v>0</v>
      </c>
      <c r="AU13" s="169">
        <v>0</v>
      </c>
      <c r="AV13" s="169">
        <v>0</v>
      </c>
      <c r="AW13" s="169">
        <v>0</v>
      </c>
    </row>
    <row r="14" spans="1:49" x14ac:dyDescent="0.3">
      <c r="A14" s="169" t="s">
        <v>106</v>
      </c>
      <c r="B14" s="192">
        <v>11</v>
      </c>
      <c r="C14" s="169">
        <v>45</v>
      </c>
      <c r="D14" s="169">
        <v>3</v>
      </c>
      <c r="E14" s="169">
        <v>10</v>
      </c>
      <c r="F14" s="169">
        <v>110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  <c r="M14" s="169">
        <v>0</v>
      </c>
      <c r="N14" s="169">
        <v>0</v>
      </c>
      <c r="O14" s="169">
        <v>110</v>
      </c>
      <c r="P14" s="169">
        <v>0</v>
      </c>
      <c r="Q14" s="169">
        <v>0</v>
      </c>
      <c r="R14" s="169">
        <v>0</v>
      </c>
      <c r="S14" s="169">
        <v>0</v>
      </c>
      <c r="T14" s="169">
        <v>0</v>
      </c>
      <c r="U14" s="169">
        <v>0</v>
      </c>
      <c r="V14" s="169">
        <v>0</v>
      </c>
      <c r="W14" s="169">
        <v>0</v>
      </c>
      <c r="X14" s="169">
        <v>0</v>
      </c>
      <c r="Y14" s="169">
        <v>0</v>
      </c>
      <c r="Z14" s="169">
        <v>0</v>
      </c>
      <c r="AA14" s="169">
        <v>0</v>
      </c>
      <c r="AB14" s="169">
        <v>0</v>
      </c>
      <c r="AC14" s="169">
        <v>0</v>
      </c>
      <c r="AD14" s="169">
        <v>0</v>
      </c>
      <c r="AE14" s="169">
        <v>0</v>
      </c>
      <c r="AF14" s="169">
        <v>0</v>
      </c>
      <c r="AG14" s="169">
        <v>0</v>
      </c>
      <c r="AH14" s="169">
        <v>0</v>
      </c>
      <c r="AI14" s="169">
        <v>0</v>
      </c>
      <c r="AJ14" s="169">
        <v>0</v>
      </c>
      <c r="AK14" s="169">
        <v>0</v>
      </c>
      <c r="AL14" s="169">
        <v>0</v>
      </c>
      <c r="AM14" s="169">
        <v>0</v>
      </c>
      <c r="AN14" s="169">
        <v>0</v>
      </c>
      <c r="AO14" s="169">
        <v>0</v>
      </c>
      <c r="AP14" s="169">
        <v>0</v>
      </c>
      <c r="AQ14" s="169">
        <v>0</v>
      </c>
      <c r="AR14" s="169">
        <v>0</v>
      </c>
      <c r="AS14" s="169">
        <v>0</v>
      </c>
      <c r="AT14" s="169">
        <v>0</v>
      </c>
      <c r="AU14" s="169">
        <v>0</v>
      </c>
      <c r="AV14" s="169">
        <v>0</v>
      </c>
      <c r="AW14" s="169">
        <v>0</v>
      </c>
    </row>
    <row r="15" spans="1:49" x14ac:dyDescent="0.3">
      <c r="A15" s="169" t="s">
        <v>107</v>
      </c>
      <c r="B15" s="192">
        <v>12</v>
      </c>
      <c r="C15" s="169">
        <v>45</v>
      </c>
      <c r="D15" s="169">
        <v>4</v>
      </c>
      <c r="E15" s="169">
        <v>1</v>
      </c>
      <c r="F15" s="169">
        <v>7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7</v>
      </c>
      <c r="X15" s="169">
        <v>0</v>
      </c>
      <c r="Y15" s="169">
        <v>0</v>
      </c>
      <c r="Z15" s="169">
        <v>0</v>
      </c>
      <c r="AA15" s="169">
        <v>0</v>
      </c>
      <c r="AB15" s="169">
        <v>0</v>
      </c>
      <c r="AC15" s="169">
        <v>0</v>
      </c>
      <c r="AD15" s="169">
        <v>0</v>
      </c>
      <c r="AE15" s="169">
        <v>0</v>
      </c>
      <c r="AF15" s="169">
        <v>0</v>
      </c>
      <c r="AG15" s="169">
        <v>0</v>
      </c>
      <c r="AH15" s="169">
        <v>0</v>
      </c>
      <c r="AI15" s="169">
        <v>0</v>
      </c>
      <c r="AJ15" s="169">
        <v>0</v>
      </c>
      <c r="AK15" s="169">
        <v>0</v>
      </c>
      <c r="AL15" s="169">
        <v>0</v>
      </c>
      <c r="AM15" s="169">
        <v>0</v>
      </c>
      <c r="AN15" s="169">
        <v>0</v>
      </c>
      <c r="AO15" s="169">
        <v>0</v>
      </c>
      <c r="AP15" s="169">
        <v>0</v>
      </c>
      <c r="AQ15" s="169">
        <v>0</v>
      </c>
      <c r="AR15" s="169">
        <v>0</v>
      </c>
      <c r="AS15" s="169">
        <v>0</v>
      </c>
      <c r="AT15" s="169">
        <v>0</v>
      </c>
      <c r="AU15" s="169">
        <v>0</v>
      </c>
      <c r="AV15" s="169">
        <v>0</v>
      </c>
      <c r="AW15" s="169">
        <v>0</v>
      </c>
    </row>
    <row r="16" spans="1:49" x14ac:dyDescent="0.3">
      <c r="A16" s="169" t="s">
        <v>95</v>
      </c>
      <c r="B16" s="192">
        <v>2016</v>
      </c>
      <c r="C16" s="169">
        <v>45</v>
      </c>
      <c r="D16" s="169">
        <v>4</v>
      </c>
      <c r="E16" s="169">
        <v>2</v>
      </c>
      <c r="F16" s="169">
        <v>1152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  <c r="T16" s="169">
        <v>0</v>
      </c>
      <c r="U16" s="169">
        <v>0</v>
      </c>
      <c r="V16" s="169">
        <v>0</v>
      </c>
      <c r="W16" s="169">
        <v>1152</v>
      </c>
      <c r="X16" s="169">
        <v>0</v>
      </c>
      <c r="Y16" s="169">
        <v>0</v>
      </c>
      <c r="Z16" s="169">
        <v>0</v>
      </c>
      <c r="AA16" s="169">
        <v>0</v>
      </c>
      <c r="AB16" s="169">
        <v>0</v>
      </c>
      <c r="AC16" s="169">
        <v>0</v>
      </c>
      <c r="AD16" s="169">
        <v>0</v>
      </c>
      <c r="AE16" s="169">
        <v>0</v>
      </c>
      <c r="AF16" s="169">
        <v>0</v>
      </c>
      <c r="AG16" s="169">
        <v>0</v>
      </c>
      <c r="AH16" s="169">
        <v>0</v>
      </c>
      <c r="AI16" s="169">
        <v>0</v>
      </c>
      <c r="AJ16" s="169">
        <v>0</v>
      </c>
      <c r="AK16" s="169">
        <v>0</v>
      </c>
      <c r="AL16" s="169">
        <v>0</v>
      </c>
      <c r="AM16" s="169">
        <v>0</v>
      </c>
      <c r="AN16" s="169">
        <v>0</v>
      </c>
      <c r="AO16" s="169">
        <v>0</v>
      </c>
      <c r="AP16" s="169">
        <v>0</v>
      </c>
      <c r="AQ16" s="169">
        <v>0</v>
      </c>
      <c r="AR16" s="169">
        <v>0</v>
      </c>
      <c r="AS16" s="169">
        <v>0</v>
      </c>
      <c r="AT16" s="169">
        <v>0</v>
      </c>
      <c r="AU16" s="169">
        <v>0</v>
      </c>
      <c r="AV16" s="169">
        <v>0</v>
      </c>
      <c r="AW16" s="169">
        <v>0</v>
      </c>
    </row>
    <row r="17" spans="3:49" x14ac:dyDescent="0.3">
      <c r="C17" s="169">
        <v>45</v>
      </c>
      <c r="D17" s="169">
        <v>4</v>
      </c>
      <c r="E17" s="169">
        <v>6</v>
      </c>
      <c r="F17" s="169">
        <v>224907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69">
        <v>0</v>
      </c>
      <c r="O17" s="169">
        <v>0</v>
      </c>
      <c r="P17" s="169">
        <v>0</v>
      </c>
      <c r="Q17" s="169">
        <v>0</v>
      </c>
      <c r="R17" s="169">
        <v>0</v>
      </c>
      <c r="S17" s="169">
        <v>0</v>
      </c>
      <c r="T17" s="169">
        <v>0</v>
      </c>
      <c r="U17" s="169">
        <v>0</v>
      </c>
      <c r="V17" s="169">
        <v>0</v>
      </c>
      <c r="W17" s="169">
        <v>224907</v>
      </c>
      <c r="X17" s="169">
        <v>0</v>
      </c>
      <c r="Y17" s="169">
        <v>0</v>
      </c>
      <c r="Z17" s="169">
        <v>0</v>
      </c>
      <c r="AA17" s="169">
        <v>0</v>
      </c>
      <c r="AB17" s="169">
        <v>0</v>
      </c>
      <c r="AC17" s="169">
        <v>0</v>
      </c>
      <c r="AD17" s="169">
        <v>0</v>
      </c>
      <c r="AE17" s="169">
        <v>0</v>
      </c>
      <c r="AF17" s="169">
        <v>0</v>
      </c>
      <c r="AG17" s="169">
        <v>0</v>
      </c>
      <c r="AH17" s="169">
        <v>0</v>
      </c>
      <c r="AI17" s="169">
        <v>0</v>
      </c>
      <c r="AJ17" s="169">
        <v>0</v>
      </c>
      <c r="AK17" s="169">
        <v>0</v>
      </c>
      <c r="AL17" s="169">
        <v>0</v>
      </c>
      <c r="AM17" s="169">
        <v>0</v>
      </c>
      <c r="AN17" s="169">
        <v>0</v>
      </c>
      <c r="AO17" s="169">
        <v>0</v>
      </c>
      <c r="AP17" s="169">
        <v>0</v>
      </c>
      <c r="AQ17" s="169">
        <v>0</v>
      </c>
      <c r="AR17" s="169">
        <v>0</v>
      </c>
      <c r="AS17" s="169">
        <v>0</v>
      </c>
      <c r="AT17" s="169">
        <v>0</v>
      </c>
      <c r="AU17" s="169">
        <v>0</v>
      </c>
      <c r="AV17" s="169">
        <v>0</v>
      </c>
      <c r="AW17" s="169">
        <v>0</v>
      </c>
    </row>
    <row r="18" spans="3:49" x14ac:dyDescent="0.3">
      <c r="C18" s="169">
        <v>45</v>
      </c>
      <c r="D18" s="169">
        <v>5</v>
      </c>
      <c r="E18" s="169">
        <v>1</v>
      </c>
      <c r="F18" s="169">
        <v>6</v>
      </c>
      <c r="G18" s="169">
        <v>0</v>
      </c>
      <c r="H18" s="169">
        <v>0</v>
      </c>
      <c r="I18" s="169">
        <v>0</v>
      </c>
      <c r="J18" s="169">
        <v>0</v>
      </c>
      <c r="K18" s="169">
        <v>0</v>
      </c>
      <c r="L18" s="169">
        <v>0</v>
      </c>
      <c r="M18" s="169">
        <v>0</v>
      </c>
      <c r="N18" s="169">
        <v>0</v>
      </c>
      <c r="O18" s="169">
        <v>0</v>
      </c>
      <c r="P18" s="169">
        <v>0</v>
      </c>
      <c r="Q18" s="169">
        <v>0</v>
      </c>
      <c r="R18" s="169">
        <v>0</v>
      </c>
      <c r="S18" s="169">
        <v>0</v>
      </c>
      <c r="T18" s="169">
        <v>0</v>
      </c>
      <c r="U18" s="169">
        <v>0</v>
      </c>
      <c r="V18" s="169">
        <v>0</v>
      </c>
      <c r="W18" s="169">
        <v>6</v>
      </c>
      <c r="X18" s="169">
        <v>0</v>
      </c>
      <c r="Y18" s="169">
        <v>0</v>
      </c>
      <c r="Z18" s="169">
        <v>0</v>
      </c>
      <c r="AA18" s="169">
        <v>0</v>
      </c>
      <c r="AB18" s="169">
        <v>0</v>
      </c>
      <c r="AC18" s="169">
        <v>0</v>
      </c>
      <c r="AD18" s="169">
        <v>0</v>
      </c>
      <c r="AE18" s="169">
        <v>0</v>
      </c>
      <c r="AF18" s="169">
        <v>0</v>
      </c>
      <c r="AG18" s="169">
        <v>0</v>
      </c>
      <c r="AH18" s="169">
        <v>0</v>
      </c>
      <c r="AI18" s="169">
        <v>0</v>
      </c>
      <c r="AJ18" s="169">
        <v>0</v>
      </c>
      <c r="AK18" s="169">
        <v>0</v>
      </c>
      <c r="AL18" s="169">
        <v>0</v>
      </c>
      <c r="AM18" s="169">
        <v>0</v>
      </c>
      <c r="AN18" s="169">
        <v>0</v>
      </c>
      <c r="AO18" s="169">
        <v>0</v>
      </c>
      <c r="AP18" s="169">
        <v>0</v>
      </c>
      <c r="AQ18" s="169">
        <v>0</v>
      </c>
      <c r="AR18" s="169">
        <v>0</v>
      </c>
      <c r="AS18" s="169">
        <v>0</v>
      </c>
      <c r="AT18" s="169">
        <v>0</v>
      </c>
      <c r="AU18" s="169">
        <v>0</v>
      </c>
      <c r="AV18" s="169">
        <v>0</v>
      </c>
      <c r="AW18" s="169">
        <v>0</v>
      </c>
    </row>
    <row r="19" spans="3:49" x14ac:dyDescent="0.3">
      <c r="C19" s="169">
        <v>45</v>
      </c>
      <c r="D19" s="169">
        <v>5</v>
      </c>
      <c r="E19" s="169">
        <v>2</v>
      </c>
      <c r="F19" s="169">
        <v>1064</v>
      </c>
      <c r="G19" s="169">
        <v>0</v>
      </c>
      <c r="H19" s="169">
        <v>0</v>
      </c>
      <c r="I19" s="169">
        <v>0</v>
      </c>
      <c r="J19" s="169">
        <v>0</v>
      </c>
      <c r="K19" s="169">
        <v>0</v>
      </c>
      <c r="L19" s="169">
        <v>0</v>
      </c>
      <c r="M19" s="169">
        <v>0</v>
      </c>
      <c r="N19" s="169">
        <v>0</v>
      </c>
      <c r="O19" s="169">
        <v>0</v>
      </c>
      <c r="P19" s="169">
        <v>0</v>
      </c>
      <c r="Q19" s="169">
        <v>0</v>
      </c>
      <c r="R19" s="169">
        <v>0</v>
      </c>
      <c r="S19" s="169">
        <v>0</v>
      </c>
      <c r="T19" s="169">
        <v>0</v>
      </c>
      <c r="U19" s="169">
        <v>0</v>
      </c>
      <c r="V19" s="169">
        <v>0</v>
      </c>
      <c r="W19" s="169">
        <v>1064</v>
      </c>
      <c r="X19" s="169">
        <v>0</v>
      </c>
      <c r="Y19" s="169">
        <v>0</v>
      </c>
      <c r="Z19" s="169">
        <v>0</v>
      </c>
      <c r="AA19" s="169">
        <v>0</v>
      </c>
      <c r="AB19" s="169">
        <v>0</v>
      </c>
      <c r="AC19" s="169">
        <v>0</v>
      </c>
      <c r="AD19" s="169">
        <v>0</v>
      </c>
      <c r="AE19" s="169">
        <v>0</v>
      </c>
      <c r="AF19" s="169">
        <v>0</v>
      </c>
      <c r="AG19" s="169">
        <v>0</v>
      </c>
      <c r="AH19" s="169">
        <v>0</v>
      </c>
      <c r="AI19" s="169">
        <v>0</v>
      </c>
      <c r="AJ19" s="169">
        <v>0</v>
      </c>
      <c r="AK19" s="169">
        <v>0</v>
      </c>
      <c r="AL19" s="169">
        <v>0</v>
      </c>
      <c r="AM19" s="169">
        <v>0</v>
      </c>
      <c r="AN19" s="169">
        <v>0</v>
      </c>
      <c r="AO19" s="169">
        <v>0</v>
      </c>
      <c r="AP19" s="169">
        <v>0</v>
      </c>
      <c r="AQ19" s="169">
        <v>0</v>
      </c>
      <c r="AR19" s="169">
        <v>0</v>
      </c>
      <c r="AS19" s="169">
        <v>0</v>
      </c>
      <c r="AT19" s="169">
        <v>0</v>
      </c>
      <c r="AU19" s="169">
        <v>0</v>
      </c>
      <c r="AV19" s="169">
        <v>0</v>
      </c>
      <c r="AW19" s="169">
        <v>0</v>
      </c>
    </row>
    <row r="20" spans="3:49" x14ac:dyDescent="0.3">
      <c r="C20" s="169">
        <v>45</v>
      </c>
      <c r="D20" s="169">
        <v>5</v>
      </c>
      <c r="E20" s="169">
        <v>6</v>
      </c>
      <c r="F20" s="169">
        <v>228481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228481</v>
      </c>
      <c r="X20" s="169">
        <v>0</v>
      </c>
      <c r="Y20" s="169">
        <v>0</v>
      </c>
      <c r="Z20" s="169">
        <v>0</v>
      </c>
      <c r="AA20" s="169">
        <v>0</v>
      </c>
      <c r="AB20" s="169">
        <v>0</v>
      </c>
      <c r="AC20" s="169">
        <v>0</v>
      </c>
      <c r="AD20" s="169">
        <v>0</v>
      </c>
      <c r="AE20" s="169">
        <v>0</v>
      </c>
      <c r="AF20" s="169">
        <v>0</v>
      </c>
      <c r="AG20" s="169">
        <v>0</v>
      </c>
      <c r="AH20" s="169">
        <v>0</v>
      </c>
      <c r="AI20" s="169">
        <v>0</v>
      </c>
      <c r="AJ20" s="169">
        <v>0</v>
      </c>
      <c r="AK20" s="169">
        <v>0</v>
      </c>
      <c r="AL20" s="169">
        <v>0</v>
      </c>
      <c r="AM20" s="169">
        <v>0</v>
      </c>
      <c r="AN20" s="169">
        <v>0</v>
      </c>
      <c r="AO20" s="169">
        <v>0</v>
      </c>
      <c r="AP20" s="169">
        <v>0</v>
      </c>
      <c r="AQ20" s="169">
        <v>0</v>
      </c>
      <c r="AR20" s="169">
        <v>0</v>
      </c>
      <c r="AS20" s="169">
        <v>0</v>
      </c>
      <c r="AT20" s="169">
        <v>0</v>
      </c>
      <c r="AU20" s="169">
        <v>0</v>
      </c>
      <c r="AV20" s="169">
        <v>0</v>
      </c>
      <c r="AW20" s="169">
        <v>0</v>
      </c>
    </row>
    <row r="21" spans="3:49" x14ac:dyDescent="0.3">
      <c r="C21" s="169">
        <v>45</v>
      </c>
      <c r="D21" s="169">
        <v>6</v>
      </c>
      <c r="E21" s="169">
        <v>1</v>
      </c>
      <c r="F21" s="169">
        <v>7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69">
        <v>0</v>
      </c>
      <c r="M21" s="169">
        <v>0</v>
      </c>
      <c r="N21" s="169">
        <v>0</v>
      </c>
      <c r="O21" s="169">
        <v>0</v>
      </c>
      <c r="P21" s="169">
        <v>0</v>
      </c>
      <c r="Q21" s="169">
        <v>0</v>
      </c>
      <c r="R21" s="169">
        <v>0</v>
      </c>
      <c r="S21" s="169">
        <v>0</v>
      </c>
      <c r="T21" s="169">
        <v>0</v>
      </c>
      <c r="U21" s="169">
        <v>0</v>
      </c>
      <c r="V21" s="169">
        <v>0</v>
      </c>
      <c r="W21" s="169">
        <v>7</v>
      </c>
      <c r="X21" s="169">
        <v>0</v>
      </c>
      <c r="Y21" s="169">
        <v>0</v>
      </c>
      <c r="Z21" s="169">
        <v>0</v>
      </c>
      <c r="AA21" s="169">
        <v>0</v>
      </c>
      <c r="AB21" s="169">
        <v>0</v>
      </c>
      <c r="AC21" s="169">
        <v>0</v>
      </c>
      <c r="AD21" s="169">
        <v>0</v>
      </c>
      <c r="AE21" s="169">
        <v>0</v>
      </c>
      <c r="AF21" s="169">
        <v>0</v>
      </c>
      <c r="AG21" s="169">
        <v>0</v>
      </c>
      <c r="AH21" s="169">
        <v>0</v>
      </c>
      <c r="AI21" s="169">
        <v>0</v>
      </c>
      <c r="AJ21" s="169">
        <v>0</v>
      </c>
      <c r="AK21" s="169">
        <v>0</v>
      </c>
      <c r="AL21" s="169">
        <v>0</v>
      </c>
      <c r="AM21" s="169">
        <v>0</v>
      </c>
      <c r="AN21" s="169">
        <v>0</v>
      </c>
      <c r="AO21" s="169">
        <v>0</v>
      </c>
      <c r="AP21" s="169">
        <v>0</v>
      </c>
      <c r="AQ21" s="169">
        <v>0</v>
      </c>
      <c r="AR21" s="169">
        <v>0</v>
      </c>
      <c r="AS21" s="169">
        <v>0</v>
      </c>
      <c r="AT21" s="169">
        <v>0</v>
      </c>
      <c r="AU21" s="169">
        <v>0</v>
      </c>
      <c r="AV21" s="169">
        <v>0</v>
      </c>
      <c r="AW21" s="169">
        <v>0</v>
      </c>
    </row>
    <row r="22" spans="3:49" x14ac:dyDescent="0.3">
      <c r="C22" s="169">
        <v>45</v>
      </c>
      <c r="D22" s="169">
        <v>6</v>
      </c>
      <c r="E22" s="169">
        <v>2</v>
      </c>
      <c r="F22" s="169">
        <v>996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0</v>
      </c>
      <c r="M22" s="169">
        <v>0</v>
      </c>
      <c r="N22" s="169">
        <v>0</v>
      </c>
      <c r="O22" s="169">
        <v>0</v>
      </c>
      <c r="P22" s="169">
        <v>0</v>
      </c>
      <c r="Q22" s="169">
        <v>0</v>
      </c>
      <c r="R22" s="169">
        <v>0</v>
      </c>
      <c r="S22" s="169">
        <v>0</v>
      </c>
      <c r="T22" s="169">
        <v>0</v>
      </c>
      <c r="U22" s="169">
        <v>0</v>
      </c>
      <c r="V22" s="169">
        <v>0</v>
      </c>
      <c r="W22" s="169">
        <v>996</v>
      </c>
      <c r="X22" s="169">
        <v>0</v>
      </c>
      <c r="Y22" s="169">
        <v>0</v>
      </c>
      <c r="Z22" s="169">
        <v>0</v>
      </c>
      <c r="AA22" s="169">
        <v>0</v>
      </c>
      <c r="AB22" s="169">
        <v>0</v>
      </c>
      <c r="AC22" s="169">
        <v>0</v>
      </c>
      <c r="AD22" s="169">
        <v>0</v>
      </c>
      <c r="AE22" s="169">
        <v>0</v>
      </c>
      <c r="AF22" s="169">
        <v>0</v>
      </c>
      <c r="AG22" s="169">
        <v>0</v>
      </c>
      <c r="AH22" s="169">
        <v>0</v>
      </c>
      <c r="AI22" s="169">
        <v>0</v>
      </c>
      <c r="AJ22" s="169">
        <v>0</v>
      </c>
      <c r="AK22" s="169">
        <v>0</v>
      </c>
      <c r="AL22" s="169">
        <v>0</v>
      </c>
      <c r="AM22" s="169">
        <v>0</v>
      </c>
      <c r="AN22" s="169">
        <v>0</v>
      </c>
      <c r="AO22" s="169">
        <v>0</v>
      </c>
      <c r="AP22" s="169">
        <v>0</v>
      </c>
      <c r="AQ22" s="169">
        <v>0</v>
      </c>
      <c r="AR22" s="169">
        <v>0</v>
      </c>
      <c r="AS22" s="169">
        <v>0</v>
      </c>
      <c r="AT22" s="169">
        <v>0</v>
      </c>
      <c r="AU22" s="169">
        <v>0</v>
      </c>
      <c r="AV22" s="169">
        <v>0</v>
      </c>
      <c r="AW22" s="169">
        <v>0</v>
      </c>
    </row>
    <row r="23" spans="3:49" x14ac:dyDescent="0.3">
      <c r="C23" s="169">
        <v>45</v>
      </c>
      <c r="D23" s="169">
        <v>6</v>
      </c>
      <c r="E23" s="169">
        <v>4</v>
      </c>
      <c r="F23" s="169">
        <v>2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0</v>
      </c>
      <c r="O23" s="169">
        <v>0</v>
      </c>
      <c r="P23" s="169">
        <v>0</v>
      </c>
      <c r="Q23" s="169">
        <v>0</v>
      </c>
      <c r="R23" s="169">
        <v>0</v>
      </c>
      <c r="S23" s="169">
        <v>0</v>
      </c>
      <c r="T23" s="169">
        <v>0</v>
      </c>
      <c r="U23" s="169">
        <v>0</v>
      </c>
      <c r="V23" s="169">
        <v>0</v>
      </c>
      <c r="W23" s="169">
        <v>2</v>
      </c>
      <c r="X23" s="169">
        <v>0</v>
      </c>
      <c r="Y23" s="169">
        <v>0</v>
      </c>
      <c r="Z23" s="169">
        <v>0</v>
      </c>
      <c r="AA23" s="169">
        <v>0</v>
      </c>
      <c r="AB23" s="169">
        <v>0</v>
      </c>
      <c r="AC23" s="169">
        <v>0</v>
      </c>
      <c r="AD23" s="169">
        <v>0</v>
      </c>
      <c r="AE23" s="169">
        <v>0</v>
      </c>
      <c r="AF23" s="169">
        <v>0</v>
      </c>
      <c r="AG23" s="169">
        <v>0</v>
      </c>
      <c r="AH23" s="169">
        <v>0</v>
      </c>
      <c r="AI23" s="169">
        <v>0</v>
      </c>
      <c r="AJ23" s="169">
        <v>0</v>
      </c>
      <c r="AK23" s="169">
        <v>0</v>
      </c>
      <c r="AL23" s="169">
        <v>0</v>
      </c>
      <c r="AM23" s="169">
        <v>0</v>
      </c>
      <c r="AN23" s="169">
        <v>0</v>
      </c>
      <c r="AO23" s="169">
        <v>0</v>
      </c>
      <c r="AP23" s="169">
        <v>0</v>
      </c>
      <c r="AQ23" s="169">
        <v>0</v>
      </c>
      <c r="AR23" s="169">
        <v>0</v>
      </c>
      <c r="AS23" s="169">
        <v>0</v>
      </c>
      <c r="AT23" s="169">
        <v>0</v>
      </c>
      <c r="AU23" s="169">
        <v>0</v>
      </c>
      <c r="AV23" s="169">
        <v>0</v>
      </c>
      <c r="AW23" s="169">
        <v>0</v>
      </c>
    </row>
    <row r="24" spans="3:49" x14ac:dyDescent="0.3">
      <c r="C24" s="169">
        <v>45</v>
      </c>
      <c r="D24" s="169">
        <v>6</v>
      </c>
      <c r="E24" s="169">
        <v>6</v>
      </c>
      <c r="F24" s="169">
        <v>219925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69">
        <v>0</v>
      </c>
      <c r="O24" s="169">
        <v>0</v>
      </c>
      <c r="P24" s="169">
        <v>0</v>
      </c>
      <c r="Q24" s="169">
        <v>0</v>
      </c>
      <c r="R24" s="169">
        <v>0</v>
      </c>
      <c r="S24" s="169">
        <v>0</v>
      </c>
      <c r="T24" s="169">
        <v>0</v>
      </c>
      <c r="U24" s="169">
        <v>0</v>
      </c>
      <c r="V24" s="169">
        <v>0</v>
      </c>
      <c r="W24" s="169">
        <v>219925</v>
      </c>
      <c r="X24" s="169">
        <v>0</v>
      </c>
      <c r="Y24" s="169">
        <v>0</v>
      </c>
      <c r="Z24" s="169">
        <v>0</v>
      </c>
      <c r="AA24" s="169">
        <v>0</v>
      </c>
      <c r="AB24" s="169">
        <v>0</v>
      </c>
      <c r="AC24" s="169">
        <v>0</v>
      </c>
      <c r="AD24" s="169">
        <v>0</v>
      </c>
      <c r="AE24" s="169">
        <v>0</v>
      </c>
      <c r="AF24" s="169">
        <v>0</v>
      </c>
      <c r="AG24" s="169">
        <v>0</v>
      </c>
      <c r="AH24" s="169">
        <v>0</v>
      </c>
      <c r="AI24" s="169">
        <v>0</v>
      </c>
      <c r="AJ24" s="169">
        <v>0</v>
      </c>
      <c r="AK24" s="169">
        <v>0</v>
      </c>
      <c r="AL24" s="169">
        <v>0</v>
      </c>
      <c r="AM24" s="169">
        <v>0</v>
      </c>
      <c r="AN24" s="169">
        <v>0</v>
      </c>
      <c r="AO24" s="169">
        <v>0</v>
      </c>
      <c r="AP24" s="169">
        <v>0</v>
      </c>
      <c r="AQ24" s="169">
        <v>0</v>
      </c>
      <c r="AR24" s="169">
        <v>0</v>
      </c>
      <c r="AS24" s="169">
        <v>0</v>
      </c>
      <c r="AT24" s="169">
        <v>0</v>
      </c>
      <c r="AU24" s="169">
        <v>0</v>
      </c>
      <c r="AV24" s="169">
        <v>0</v>
      </c>
      <c r="AW24" s="169">
        <v>0</v>
      </c>
    </row>
    <row r="25" spans="3:49" x14ac:dyDescent="0.3">
      <c r="C25" s="169">
        <v>45</v>
      </c>
      <c r="D25" s="169">
        <v>6</v>
      </c>
      <c r="E25" s="169">
        <v>9</v>
      </c>
      <c r="F25" s="169">
        <v>3000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0</v>
      </c>
      <c r="O25" s="169">
        <v>0</v>
      </c>
      <c r="P25" s="169">
        <v>0</v>
      </c>
      <c r="Q25" s="169">
        <v>0</v>
      </c>
      <c r="R25" s="169">
        <v>0</v>
      </c>
      <c r="S25" s="169">
        <v>0</v>
      </c>
      <c r="T25" s="169">
        <v>0</v>
      </c>
      <c r="U25" s="169">
        <v>0</v>
      </c>
      <c r="V25" s="169">
        <v>0</v>
      </c>
      <c r="W25" s="169">
        <v>3000</v>
      </c>
      <c r="X25" s="169">
        <v>0</v>
      </c>
      <c r="Y25" s="169">
        <v>0</v>
      </c>
      <c r="Z25" s="169">
        <v>0</v>
      </c>
      <c r="AA25" s="169">
        <v>0</v>
      </c>
      <c r="AB25" s="169">
        <v>0</v>
      </c>
      <c r="AC25" s="169">
        <v>0</v>
      </c>
      <c r="AD25" s="169">
        <v>0</v>
      </c>
      <c r="AE25" s="169">
        <v>0</v>
      </c>
      <c r="AF25" s="169">
        <v>0</v>
      </c>
      <c r="AG25" s="169">
        <v>0</v>
      </c>
      <c r="AH25" s="169">
        <v>0</v>
      </c>
      <c r="AI25" s="169">
        <v>0</v>
      </c>
      <c r="AJ25" s="169">
        <v>0</v>
      </c>
      <c r="AK25" s="169">
        <v>0</v>
      </c>
      <c r="AL25" s="169">
        <v>0</v>
      </c>
      <c r="AM25" s="169">
        <v>0</v>
      </c>
      <c r="AN25" s="169">
        <v>0</v>
      </c>
      <c r="AO25" s="169">
        <v>0</v>
      </c>
      <c r="AP25" s="169">
        <v>0</v>
      </c>
      <c r="AQ25" s="169">
        <v>0</v>
      </c>
      <c r="AR25" s="169">
        <v>0</v>
      </c>
      <c r="AS25" s="169">
        <v>0</v>
      </c>
      <c r="AT25" s="169">
        <v>0</v>
      </c>
      <c r="AU25" s="169">
        <v>0</v>
      </c>
      <c r="AV25" s="169">
        <v>0</v>
      </c>
      <c r="AW25" s="169">
        <v>0</v>
      </c>
    </row>
    <row r="26" spans="3:49" x14ac:dyDescent="0.3">
      <c r="C26" s="169">
        <v>45</v>
      </c>
      <c r="D26" s="169">
        <v>6</v>
      </c>
      <c r="E26" s="169">
        <v>10</v>
      </c>
      <c r="F26" s="169">
        <v>600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600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  <c r="AB26" s="169">
        <v>0</v>
      </c>
      <c r="AC26" s="169">
        <v>0</v>
      </c>
      <c r="AD26" s="169">
        <v>0</v>
      </c>
      <c r="AE26" s="169">
        <v>0</v>
      </c>
      <c r="AF26" s="169">
        <v>0</v>
      </c>
      <c r="AG26" s="169">
        <v>0</v>
      </c>
      <c r="AH26" s="169">
        <v>0</v>
      </c>
      <c r="AI26" s="169">
        <v>0</v>
      </c>
      <c r="AJ26" s="169">
        <v>0</v>
      </c>
      <c r="AK26" s="169">
        <v>0</v>
      </c>
      <c r="AL26" s="169">
        <v>0</v>
      </c>
      <c r="AM26" s="169">
        <v>0</v>
      </c>
      <c r="AN26" s="169">
        <v>0</v>
      </c>
      <c r="AO26" s="169">
        <v>0</v>
      </c>
      <c r="AP26" s="169">
        <v>0</v>
      </c>
      <c r="AQ26" s="169">
        <v>0</v>
      </c>
      <c r="AR26" s="169">
        <v>0</v>
      </c>
      <c r="AS26" s="169">
        <v>0</v>
      </c>
      <c r="AT26" s="169">
        <v>0</v>
      </c>
      <c r="AU26" s="169">
        <v>0</v>
      </c>
      <c r="AV26" s="169">
        <v>0</v>
      </c>
      <c r="AW26" s="16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43" t="s">
        <v>73</v>
      </c>
      <c r="B1" s="243"/>
      <c r="C1" s="244"/>
      <c r="D1" s="244"/>
      <c r="E1" s="244"/>
    </row>
    <row r="2" spans="1:5" ht="14.4" customHeight="1" thickBot="1" x14ac:dyDescent="0.35">
      <c r="A2" s="173" t="s">
        <v>161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1983.9182506936249</v>
      </c>
      <c r="D4" s="124">
        <f ca="1">IF(ISERROR(VLOOKUP("Náklady celkem",INDIRECT("HI!$A:$G"),5,0)),0,VLOOKUP("Náklady celkem",INDIRECT("HI!$A:$G"),5,0))</f>
        <v>1918.7250900000001</v>
      </c>
      <c r="E4" s="125">
        <f ca="1">IF(C4=0,0,D4/C4)</f>
        <v>0.96713918999896709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0.12164001098150001</v>
      </c>
      <c r="D7" s="132">
        <f>IF(ISERROR(HI!E5),"",HI!E5)</f>
        <v>4.863E-2</v>
      </c>
      <c r="E7" s="129">
        <f t="shared" ref="E7:E11" si="0">IF(C7=0,0,D7/C7)</f>
        <v>0.39978621842936235</v>
      </c>
    </row>
    <row r="8" spans="1:5" ht="14.4" customHeight="1" x14ac:dyDescent="0.3">
      <c r="A8" s="133" t="s">
        <v>83</v>
      </c>
      <c r="B8" s="131"/>
      <c r="C8" s="132"/>
      <c r="D8" s="132"/>
      <c r="E8" s="129"/>
    </row>
    <row r="9" spans="1:5" ht="14.4" customHeight="1" x14ac:dyDescent="0.3">
      <c r="A9" s="133" t="s">
        <v>84</v>
      </c>
      <c r="B9" s="131"/>
      <c r="C9" s="132"/>
      <c r="D9" s="132"/>
      <c r="E9" s="129"/>
    </row>
    <row r="10" spans="1:5" ht="14.4" customHeight="1" x14ac:dyDescent="0.3">
      <c r="A10" s="134" t="s">
        <v>88</v>
      </c>
      <c r="B10" s="131"/>
      <c r="C10" s="128"/>
      <c r="D10" s="128"/>
      <c r="E10" s="129"/>
    </row>
    <row r="11" spans="1:5" ht="14.4" customHeight="1" x14ac:dyDescent="0.3">
      <c r="A11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1" t="s">
        <v>66</v>
      </c>
      <c r="C11" s="132">
        <f>IF(ISERROR(HI!F6),"",HI!F6)</f>
        <v>0.1314900118705</v>
      </c>
      <c r="D11" s="132">
        <f>IF(ISERROR(HI!E6),"",HI!E6)</f>
        <v>1.0120000000000001E-2</v>
      </c>
      <c r="E11" s="129">
        <f t="shared" si="0"/>
        <v>7.6964020734645922E-2</v>
      </c>
    </row>
    <row r="12" spans="1:5" ht="14.4" customHeight="1" thickBot="1" x14ac:dyDescent="0.35">
      <c r="A12" s="136" t="str">
        <f>HYPERLINK("#HI!A1","Osobní náklady")</f>
        <v>Osobní náklady</v>
      </c>
      <c r="B12" s="131"/>
      <c r="C12" s="128">
        <f ca="1">IF(ISERROR(VLOOKUP("Osobní náklady (Kč) *",INDIRECT("HI!$A:$G"),6,0)),0,VLOOKUP("Osobní náklady (Kč) *",INDIRECT("HI!$A:$G"),6,0))</f>
        <v>1901.0001716213151</v>
      </c>
      <c r="D12" s="128">
        <f ca="1">IF(ISERROR(VLOOKUP("Osobní náklady (Kč) *",INDIRECT("HI!$A:$G"),5,0)),0,VLOOKUP("Osobní náklady (Kč) *",INDIRECT("HI!$A:$G"),5,0))</f>
        <v>1828.0593200000003</v>
      </c>
      <c r="E12" s="129">
        <f ca="1">IF(C12=0,0,D12/C12)</f>
        <v>0.96163027615136654</v>
      </c>
    </row>
    <row r="13" spans="1:5" ht="14.4" customHeight="1" thickBot="1" x14ac:dyDescent="0.35">
      <c r="A13" s="140"/>
      <c r="B13" s="141"/>
      <c r="C13" s="142"/>
      <c r="D13" s="142"/>
      <c r="E13" s="143"/>
    </row>
    <row r="14" spans="1:5" ht="14.4" customHeight="1" thickBot="1" x14ac:dyDescent="0.35">
      <c r="A14" s="144" t="str">
        <f>HYPERLINK("#HI!A1","VÝNOSY CELKEM (v tisících)")</f>
        <v>VÝNOSY CELKEM (v tisících)</v>
      </c>
      <c r="B14" s="145"/>
      <c r="C14" s="146">
        <f ca="1">IF(ISERROR(VLOOKUP("Výnosy celkem",INDIRECT("HI!$A:$G"),6,0)),0,VLOOKUP("Výnosy celkem",INDIRECT("HI!$A:$G"),6,0))</f>
        <v>0</v>
      </c>
      <c r="D14" s="146">
        <f ca="1">IF(ISERROR(VLOOKUP("Výnosy celkem",INDIRECT("HI!$A:$G"),5,0)),0,VLOOKUP("Výnosy celkem",INDIRECT("HI!$A:$G"),5,0))</f>
        <v>0</v>
      </c>
      <c r="E14" s="147">
        <f t="shared" ref="E14:E15" ca="1" si="1">IF(C14=0,0,D14/C14)</f>
        <v>0</v>
      </c>
    </row>
    <row r="15" spans="1:5" ht="14.4" customHeight="1" x14ac:dyDescent="0.3">
      <c r="A15" s="148" t="str">
        <f>HYPERLINK("#HI!A1","Ambulance (body za výkony + Kč za ZUM a ZULP)")</f>
        <v>Ambulance (body za výkony + Kč za ZUM a ZULP)</v>
      </c>
      <c r="B15" s="127"/>
      <c r="C15" s="128">
        <f ca="1">IF(ISERROR(VLOOKUP("Ambulance *",INDIRECT("HI!$A:$G"),6,0)),0,VLOOKUP("Ambulance *",INDIRECT("HI!$A:$G"),6,0))</f>
        <v>0</v>
      </c>
      <c r="D15" s="128">
        <f ca="1">IF(ISERROR(VLOOKUP("Ambulance *",INDIRECT("HI!$A:$G"),5,0)),0,VLOOKUP("Ambulance *",INDIRECT("HI!$A:$G"),5,0))</f>
        <v>0</v>
      </c>
      <c r="E15" s="129">
        <f t="shared" ca="1" si="1"/>
        <v>0</v>
      </c>
    </row>
    <row r="16" spans="1:5" ht="14.4" customHeight="1" x14ac:dyDescent="0.3">
      <c r="A16" s="149" t="str">
        <f>HYPERLINK("#HI!A1","Hospitalizace (casemix * 30000)")</f>
        <v>Hospitalizace (casemix * 30000)</v>
      </c>
      <c r="B16" s="131"/>
      <c r="C16" s="128">
        <f ca="1">IF(ISERROR(VLOOKUP("Hospitalizace *",INDIRECT("HI!$A:$G"),6,0)),0,VLOOKUP("Hospitalizace *",INDIRECT("HI!$A:$G"),6,0))</f>
        <v>0</v>
      </c>
      <c r="D16" s="128">
        <f ca="1">IF(ISERROR(VLOOKUP("Hospitalizace *",INDIRECT("HI!$A:$G"),5,0)),0,VLOOKUP("Hospitalizace *",INDIRECT("HI!$A:$G"),5,0))</f>
        <v>0</v>
      </c>
      <c r="E16" s="129">
        <f ca="1">IF(C16=0,0,D16/C16)</f>
        <v>0</v>
      </c>
    </row>
    <row r="17" spans="1:5" ht="14.4" customHeight="1" thickBot="1" x14ac:dyDescent="0.35">
      <c r="A17" s="150" t="s">
        <v>85</v>
      </c>
      <c r="B17" s="137"/>
      <c r="C17" s="138"/>
      <c r="D17" s="138"/>
      <c r="E17" s="139"/>
    </row>
    <row r="18" spans="1:5" ht="14.4" customHeight="1" thickBot="1" x14ac:dyDescent="0.35">
      <c r="A18" s="151"/>
      <c r="B18" s="152"/>
      <c r="C18" s="153"/>
      <c r="D18" s="153"/>
      <c r="E18" s="154"/>
    </row>
    <row r="19" spans="1:5" ht="14.4" customHeight="1" thickBot="1" x14ac:dyDescent="0.35">
      <c r="A19" s="155" t="s">
        <v>86</v>
      </c>
      <c r="B19" s="156"/>
      <c r="C19" s="157"/>
      <c r="D19" s="157"/>
      <c r="E19" s="158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3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2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3" t="s">
        <v>76</v>
      </c>
      <c r="B1" s="243"/>
      <c r="C1" s="243"/>
      <c r="D1" s="243"/>
      <c r="E1" s="243"/>
      <c r="F1" s="243"/>
      <c r="G1" s="244"/>
      <c r="H1" s="244"/>
    </row>
    <row r="2" spans="1:8" ht="14.4" customHeight="1" thickBot="1" x14ac:dyDescent="0.35">
      <c r="A2" s="173" t="s">
        <v>161</v>
      </c>
      <c r="B2" s="77"/>
      <c r="C2" s="77"/>
      <c r="D2" s="77"/>
      <c r="E2" s="77"/>
      <c r="F2" s="77"/>
    </row>
    <row r="3" spans="1:8" ht="14.4" customHeight="1" x14ac:dyDescent="0.3">
      <c r="A3" s="245"/>
      <c r="B3" s="73">
        <v>2014</v>
      </c>
      <c r="C3" s="40">
        <v>2015</v>
      </c>
      <c r="D3" s="7"/>
      <c r="E3" s="249">
        <v>2016</v>
      </c>
      <c r="F3" s="250"/>
      <c r="G3" s="250"/>
      <c r="H3" s="251"/>
    </row>
    <row r="4" spans="1:8" ht="14.4" customHeight="1" thickBot="1" x14ac:dyDescent="0.35">
      <c r="A4" s="246"/>
      <c r="B4" s="247" t="s">
        <v>55</v>
      </c>
      <c r="C4" s="248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8.2100000000000006E-2</v>
      </c>
      <c r="D5" s="8"/>
      <c r="E5" s="83">
        <v>4.863E-2</v>
      </c>
      <c r="F5" s="28">
        <v>0.12164001098150001</v>
      </c>
      <c r="G5" s="82">
        <f>E5-F5</f>
        <v>-7.3010010981500006E-2</v>
      </c>
      <c r="H5" s="88">
        <f>IF(F5&lt;0.00000001,"",E5/F5)</f>
        <v>0.39978621842936235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0</v>
      </c>
      <c r="C6" s="31">
        <v>0.1699</v>
      </c>
      <c r="D6" s="8"/>
      <c r="E6" s="84">
        <v>1.0120000000000001E-2</v>
      </c>
      <c r="F6" s="30">
        <v>0.1314900118705</v>
      </c>
      <c r="G6" s="85">
        <f>E6-F6</f>
        <v>-0.12137001187049999</v>
      </c>
      <c r="H6" s="89">
        <f>IF(F6&lt;0.00000001,"",E6/F6)</f>
        <v>7.6964020734645922E-2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1663.4619300000011</v>
      </c>
      <c r="C7" s="31">
        <v>1748.528080000001</v>
      </c>
      <c r="D7" s="8"/>
      <c r="E7" s="84">
        <v>1828.0593200000003</v>
      </c>
      <c r="F7" s="30">
        <v>1901.0001716213151</v>
      </c>
      <c r="G7" s="85">
        <f>E7-F7</f>
        <v>-72.940851621314778</v>
      </c>
      <c r="H7" s="89">
        <f>IF(F7&lt;0.00000001,"",E7/F7)</f>
        <v>0.96163027615136654</v>
      </c>
    </row>
    <row r="8" spans="1:8" ht="14.4" customHeight="1" thickBot="1" x14ac:dyDescent="0.35">
      <c r="A8" s="1" t="s">
        <v>58</v>
      </c>
      <c r="B8" s="11">
        <v>89.370190000000093</v>
      </c>
      <c r="C8" s="33">
        <v>94.646869999999993</v>
      </c>
      <c r="D8" s="8"/>
      <c r="E8" s="86">
        <v>90.607019999999835</v>
      </c>
      <c r="F8" s="32">
        <v>82.664949049457874</v>
      </c>
      <c r="G8" s="87">
        <f>E8-F8</f>
        <v>7.9420709505419609</v>
      </c>
      <c r="H8" s="90">
        <f>IF(F8&lt;0.00000001,"",E8/F8)</f>
        <v>1.096075435137452</v>
      </c>
    </row>
    <row r="9" spans="1:8" ht="14.4" customHeight="1" thickBot="1" x14ac:dyDescent="0.35">
      <c r="A9" s="2" t="s">
        <v>59</v>
      </c>
      <c r="B9" s="3">
        <v>1752.8321200000012</v>
      </c>
      <c r="C9" s="35">
        <v>1843.4269500000009</v>
      </c>
      <c r="D9" s="8"/>
      <c r="E9" s="3">
        <v>1918.7250900000001</v>
      </c>
      <c r="F9" s="34">
        <v>1983.9182506936249</v>
      </c>
      <c r="G9" s="34">
        <f>E9-F9</f>
        <v>-65.193160693624804</v>
      </c>
      <c r="H9" s="91">
        <f>IF(F9&lt;0.00000001,"",E9/F9)</f>
        <v>0.96713918999896709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3" t="s">
        <v>121</v>
      </c>
      <c r="B18" s="224"/>
      <c r="C18" s="224"/>
      <c r="D18" s="224"/>
      <c r="E18" s="224"/>
      <c r="F18" s="224"/>
      <c r="G18" s="224"/>
      <c r="H18" s="224"/>
    </row>
    <row r="19" spans="1:8" x14ac:dyDescent="0.3">
      <c r="A19" s="222" t="s">
        <v>120</v>
      </c>
      <c r="B19" s="224"/>
      <c r="C19" s="224"/>
      <c r="D19" s="224"/>
      <c r="E19" s="224"/>
      <c r="F19" s="224"/>
      <c r="G19" s="224"/>
      <c r="H19" s="224"/>
    </row>
    <row r="20" spans="1:8" ht="14.4" customHeight="1" x14ac:dyDescent="0.3">
      <c r="A20" s="80" t="s">
        <v>134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160</v>
      </c>
    </row>
    <row r="23" spans="1:8" ht="14.4" customHeight="1" x14ac:dyDescent="0.3">
      <c r="A23" s="81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52" t="s">
        <v>163</v>
      </c>
      <c r="B1" s="252"/>
      <c r="C1" s="252"/>
      <c r="D1" s="252"/>
      <c r="E1" s="252"/>
      <c r="F1" s="252"/>
      <c r="G1" s="252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17" s="159" customFormat="1" ht="14.4" customHeight="1" thickBot="1" x14ac:dyDescent="0.3">
      <c r="A2" s="173" t="s">
        <v>161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53" t="s">
        <v>13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140</v>
      </c>
      <c r="E4" s="95" t="s">
        <v>141</v>
      </c>
      <c r="F4" s="95" t="s">
        <v>142</v>
      </c>
      <c r="G4" s="95" t="s">
        <v>143</v>
      </c>
      <c r="H4" s="95" t="s">
        <v>144</v>
      </c>
      <c r="I4" s="95" t="s">
        <v>145</v>
      </c>
      <c r="J4" s="95" t="s">
        <v>146</v>
      </c>
      <c r="K4" s="95" t="s">
        <v>147</v>
      </c>
      <c r="L4" s="95" t="s">
        <v>148</v>
      </c>
      <c r="M4" s="95" t="s">
        <v>149</v>
      </c>
      <c r="N4" s="95" t="s">
        <v>150</v>
      </c>
      <c r="O4" s="95" t="s">
        <v>151</v>
      </c>
      <c r="P4" s="255" t="s">
        <v>2</v>
      </c>
      <c r="Q4" s="256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162</v>
      </c>
    </row>
    <row r="7" spans="1:17" ht="14.4" customHeight="1" x14ac:dyDescent="0.3">
      <c r="A7" s="15" t="s">
        <v>19</v>
      </c>
      <c r="B7" s="46">
        <v>0.243280067061</v>
      </c>
      <c r="C7" s="47">
        <v>2.0273338921E-2</v>
      </c>
      <c r="D7" s="47">
        <v>0</v>
      </c>
      <c r="E7" s="47">
        <v>0</v>
      </c>
      <c r="F7" s="47">
        <v>0</v>
      </c>
      <c r="G7" s="47">
        <v>4.863E-2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4.863E-2</v>
      </c>
      <c r="Q7" s="68">
        <v>0.39978614431800003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162</v>
      </c>
    </row>
    <row r="9" spans="1:17" ht="14.4" customHeight="1" x14ac:dyDescent="0.3">
      <c r="A9" s="15" t="s">
        <v>21</v>
      </c>
      <c r="B9" s="46">
        <v>0.26298007249100003</v>
      </c>
      <c r="C9" s="47">
        <v>2.1915006040000001E-2</v>
      </c>
      <c r="D9" s="47">
        <v>0</v>
      </c>
      <c r="E9" s="47">
        <v>0</v>
      </c>
      <c r="F9" s="47">
        <v>0</v>
      </c>
      <c r="G9" s="47">
        <v>1.0120000000000001E-2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1.0120000000000001E-2</v>
      </c>
      <c r="Q9" s="68">
        <v>7.6964006466999996E-2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162</v>
      </c>
    </row>
    <row r="11" spans="1:17" ht="14.4" customHeight="1" x14ac:dyDescent="0.3">
      <c r="A11" s="15" t="s">
        <v>23</v>
      </c>
      <c r="B11" s="46">
        <v>9.3761655150040006</v>
      </c>
      <c r="C11" s="47">
        <v>0.78134712625000002</v>
      </c>
      <c r="D11" s="47">
        <v>0.52488000000000001</v>
      </c>
      <c r="E11" s="47">
        <v>0.20141999999999999</v>
      </c>
      <c r="F11" s="47">
        <v>0.33160000000000001</v>
      </c>
      <c r="G11" s="47">
        <v>2.9081800000000002</v>
      </c>
      <c r="H11" s="47">
        <v>1.2628299999999999</v>
      </c>
      <c r="I11" s="47">
        <v>1.1668000000000001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6.3957100000000002</v>
      </c>
      <c r="Q11" s="68">
        <v>1.364248527772</v>
      </c>
    </row>
    <row r="12" spans="1:17" ht="14.4" customHeight="1" x14ac:dyDescent="0.3">
      <c r="A12" s="15" t="s">
        <v>24</v>
      </c>
      <c r="B12" s="46">
        <v>0.46582636399299998</v>
      </c>
      <c r="C12" s="47">
        <v>3.8818863666E-2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0.26378000000000001</v>
      </c>
      <c r="E13" s="47">
        <v>0.85909999999999997</v>
      </c>
      <c r="F13" s="47">
        <v>0</v>
      </c>
      <c r="G13" s="47">
        <v>0.22991</v>
      </c>
      <c r="H13" s="47">
        <v>0.29765999999999998</v>
      </c>
      <c r="I13" s="47">
        <v>3.5123600000000001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5.1628100000000003</v>
      </c>
      <c r="Q13" s="68" t="s">
        <v>162</v>
      </c>
    </row>
    <row r="14" spans="1:17" ht="14.4" customHeight="1" x14ac:dyDescent="0.3">
      <c r="A14" s="15" t="s">
        <v>26</v>
      </c>
      <c r="B14" s="46">
        <v>88.523693475000997</v>
      </c>
      <c r="C14" s="47">
        <v>7.3769744562500001</v>
      </c>
      <c r="D14" s="47">
        <v>10.343999999999999</v>
      </c>
      <c r="E14" s="47">
        <v>7.8949999999999996</v>
      </c>
      <c r="F14" s="47">
        <v>8.7639999999999993</v>
      </c>
      <c r="G14" s="47">
        <v>7.1379999999999999</v>
      </c>
      <c r="H14" s="47">
        <v>6.4829999999999997</v>
      </c>
      <c r="I14" s="47">
        <v>6.2489999999999997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46.872999999999998</v>
      </c>
      <c r="Q14" s="68">
        <v>1.0589933194150001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162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162</v>
      </c>
    </row>
    <row r="17" spans="1:17" ht="14.4" customHeight="1" x14ac:dyDescent="0.3">
      <c r="A17" s="15" t="s">
        <v>29</v>
      </c>
      <c r="B17" s="46">
        <v>4.8811776842699999</v>
      </c>
      <c r="C17" s="47">
        <v>0.40676480702200002</v>
      </c>
      <c r="D17" s="47">
        <v>0</v>
      </c>
      <c r="E17" s="47">
        <v>0.73531000000000002</v>
      </c>
      <c r="F17" s="47">
        <v>0</v>
      </c>
      <c r="G17" s="47">
        <v>0</v>
      </c>
      <c r="H17" s="47">
        <v>0</v>
      </c>
      <c r="I17" s="47">
        <v>0.27633999999999997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1.0116499999999999</v>
      </c>
      <c r="Q17" s="68">
        <v>0.414510622409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1.0820000000000001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1.0820000000000001</v>
      </c>
      <c r="Q18" s="68" t="s">
        <v>162</v>
      </c>
    </row>
    <row r="19" spans="1:17" ht="14.4" customHeight="1" x14ac:dyDescent="0.3">
      <c r="A19" s="15" t="s">
        <v>31</v>
      </c>
      <c r="B19" s="46">
        <v>45.083099121468003</v>
      </c>
      <c r="C19" s="47">
        <v>3.7569249267889999</v>
      </c>
      <c r="D19" s="47">
        <v>3.1644000000000001</v>
      </c>
      <c r="E19" s="47">
        <v>3.1694300000000002</v>
      </c>
      <c r="F19" s="47">
        <v>3.5840399999999999</v>
      </c>
      <c r="G19" s="47">
        <v>3.4915600000000002</v>
      </c>
      <c r="H19" s="47">
        <v>3.9431699999999998</v>
      </c>
      <c r="I19" s="47">
        <v>3.5892499999999998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20.941849999999999</v>
      </c>
      <c r="Q19" s="68">
        <v>0.92903329221300002</v>
      </c>
    </row>
    <row r="20" spans="1:17" ht="14.4" customHeight="1" x14ac:dyDescent="0.3">
      <c r="A20" s="15" t="s">
        <v>32</v>
      </c>
      <c r="B20" s="46">
        <v>3802.0010480429</v>
      </c>
      <c r="C20" s="47">
        <v>316.83342067024103</v>
      </c>
      <c r="D20" s="47">
        <v>307.54869000000002</v>
      </c>
      <c r="E20" s="47">
        <v>302.51821000000001</v>
      </c>
      <c r="F20" s="47">
        <v>306.26925</v>
      </c>
      <c r="G20" s="47">
        <v>304.74907000000002</v>
      </c>
      <c r="H20" s="47">
        <v>309.58893</v>
      </c>
      <c r="I20" s="47">
        <v>297.38517000000002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1828.0593200000001</v>
      </c>
      <c r="Q20" s="68">
        <v>0.96163009788800002</v>
      </c>
    </row>
    <row r="21" spans="1:17" ht="14.4" customHeight="1" x14ac:dyDescent="0.3">
      <c r="A21" s="16" t="s">
        <v>33</v>
      </c>
      <c r="B21" s="46">
        <v>17.000042408816</v>
      </c>
      <c r="C21" s="47">
        <v>1.416670200734</v>
      </c>
      <c r="D21" s="47">
        <v>1.405</v>
      </c>
      <c r="E21" s="47">
        <v>1.405</v>
      </c>
      <c r="F21" s="47">
        <v>1.405</v>
      </c>
      <c r="G21" s="47">
        <v>1.405</v>
      </c>
      <c r="H21" s="47">
        <v>1.405</v>
      </c>
      <c r="I21" s="47">
        <v>1.405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8.43</v>
      </c>
      <c r="Q21" s="68">
        <v>0.99176223179599998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162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162</v>
      </c>
    </row>
    <row r="24" spans="1:17" ht="14.4" customHeight="1" x14ac:dyDescent="0.3">
      <c r="A24" s="16" t="s">
        <v>36</v>
      </c>
      <c r="B24" s="46">
        <v>0</v>
      </c>
      <c r="C24" s="47">
        <v>-5.6843418860808002E-14</v>
      </c>
      <c r="D24" s="47">
        <v>5.6843418860808002E-14</v>
      </c>
      <c r="E24" s="47">
        <v>5.6843418860808002E-14</v>
      </c>
      <c r="F24" s="47">
        <v>0.11</v>
      </c>
      <c r="G24" s="47">
        <v>0</v>
      </c>
      <c r="H24" s="47">
        <v>0.6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0.71</v>
      </c>
      <c r="Q24" s="68"/>
    </row>
    <row r="25" spans="1:17" ht="14.4" customHeight="1" x14ac:dyDescent="0.3">
      <c r="A25" s="17" t="s">
        <v>37</v>
      </c>
      <c r="B25" s="49">
        <v>3967.8373127509999</v>
      </c>
      <c r="C25" s="50">
        <v>330.653109395917</v>
      </c>
      <c r="D25" s="50">
        <v>324.33274999999998</v>
      </c>
      <c r="E25" s="50">
        <v>316.78347000000002</v>
      </c>
      <c r="F25" s="50">
        <v>320.46388999999999</v>
      </c>
      <c r="G25" s="50">
        <v>319.98047000000003</v>
      </c>
      <c r="H25" s="50">
        <v>323.58058999999997</v>
      </c>
      <c r="I25" s="50">
        <v>313.58391999999998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1918.7250899999999</v>
      </c>
      <c r="Q25" s="69">
        <v>0.96713899223300004</v>
      </c>
    </row>
    <row r="26" spans="1:17" ht="14.4" customHeight="1" x14ac:dyDescent="0.3">
      <c r="A26" s="15" t="s">
        <v>38</v>
      </c>
      <c r="B26" s="46">
        <v>586.89130645282</v>
      </c>
      <c r="C26" s="47">
        <v>48.907608871068</v>
      </c>
      <c r="D26" s="47">
        <v>45.744750000000003</v>
      </c>
      <c r="E26" s="47">
        <v>40.985489999999999</v>
      </c>
      <c r="F26" s="47">
        <v>44.363509999999998</v>
      </c>
      <c r="G26" s="47">
        <v>44.625790000000002</v>
      </c>
      <c r="H26" s="47">
        <v>40.801729999999999</v>
      </c>
      <c r="I26" s="47">
        <v>64.662009999999995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281.18328000000002</v>
      </c>
      <c r="Q26" s="68">
        <v>0.95821245572500002</v>
      </c>
    </row>
    <row r="27" spans="1:17" ht="14.4" customHeight="1" x14ac:dyDescent="0.3">
      <c r="A27" s="18" t="s">
        <v>39</v>
      </c>
      <c r="B27" s="49">
        <v>4554.72861920382</v>
      </c>
      <c r="C27" s="50">
        <v>379.56071826698502</v>
      </c>
      <c r="D27" s="50">
        <v>370.07749999999999</v>
      </c>
      <c r="E27" s="50">
        <v>357.76895999999999</v>
      </c>
      <c r="F27" s="50">
        <v>364.82740000000001</v>
      </c>
      <c r="G27" s="50">
        <v>364.60626000000002</v>
      </c>
      <c r="H27" s="50">
        <v>364.38231999999999</v>
      </c>
      <c r="I27" s="50">
        <v>378.24592999999999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2199.9083700000001</v>
      </c>
      <c r="Q27" s="69">
        <v>0.96598877953899998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162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162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152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9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2" t="s">
        <v>45</v>
      </c>
      <c r="B1" s="252"/>
      <c r="C1" s="252"/>
      <c r="D1" s="252"/>
      <c r="E1" s="252"/>
      <c r="F1" s="252"/>
      <c r="G1" s="252"/>
      <c r="H1" s="257"/>
      <c r="I1" s="257"/>
      <c r="J1" s="257"/>
      <c r="K1" s="257"/>
    </row>
    <row r="2" spans="1:11" s="55" customFormat="1" ht="14.4" customHeight="1" thickBot="1" x14ac:dyDescent="0.35">
      <c r="A2" s="173" t="s">
        <v>161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3" t="s">
        <v>46</v>
      </c>
      <c r="C3" s="254"/>
      <c r="D3" s="254"/>
      <c r="E3" s="254"/>
      <c r="F3" s="260" t="s">
        <v>47</v>
      </c>
      <c r="G3" s="254"/>
      <c r="H3" s="254"/>
      <c r="I3" s="254"/>
      <c r="J3" s="254"/>
      <c r="K3" s="261"/>
    </row>
    <row r="4" spans="1:11" ht="14.4" customHeight="1" x14ac:dyDescent="0.3">
      <c r="A4" s="59"/>
      <c r="B4" s="258"/>
      <c r="C4" s="259"/>
      <c r="D4" s="259"/>
      <c r="E4" s="259"/>
      <c r="F4" s="262" t="s">
        <v>157</v>
      </c>
      <c r="G4" s="264" t="s">
        <v>48</v>
      </c>
      <c r="H4" s="107" t="s">
        <v>80</v>
      </c>
      <c r="I4" s="262" t="s">
        <v>49</v>
      </c>
      <c r="J4" s="264" t="s">
        <v>135</v>
      </c>
      <c r="K4" s="265" t="s">
        <v>159</v>
      </c>
    </row>
    <row r="5" spans="1:11" ht="42" thickBot="1" x14ac:dyDescent="0.35">
      <c r="A5" s="60"/>
      <c r="B5" s="24" t="s">
        <v>153</v>
      </c>
      <c r="C5" s="25" t="s">
        <v>154</v>
      </c>
      <c r="D5" s="26" t="s">
        <v>155</v>
      </c>
      <c r="E5" s="26" t="s">
        <v>156</v>
      </c>
      <c r="F5" s="263"/>
      <c r="G5" s="263"/>
      <c r="H5" s="25" t="s">
        <v>158</v>
      </c>
      <c r="I5" s="263"/>
      <c r="J5" s="263"/>
      <c r="K5" s="266"/>
    </row>
    <row r="6" spans="1:11" ht="14.4" customHeight="1" thickBot="1" x14ac:dyDescent="0.35">
      <c r="A6" s="301" t="s">
        <v>164</v>
      </c>
      <c r="B6" s="283">
        <v>3845.2730259094101</v>
      </c>
      <c r="C6" s="283">
        <v>3953.9071600000002</v>
      </c>
      <c r="D6" s="284">
        <v>108.634134090586</v>
      </c>
      <c r="E6" s="285">
        <v>1.028251344796</v>
      </c>
      <c r="F6" s="283">
        <v>3967.8373127509999</v>
      </c>
      <c r="G6" s="284">
        <v>1983.9186563754999</v>
      </c>
      <c r="H6" s="286">
        <v>313.58391999999998</v>
      </c>
      <c r="I6" s="283">
        <v>1918.7250899999999</v>
      </c>
      <c r="J6" s="284">
        <v>-65.193566375502002</v>
      </c>
      <c r="K6" s="287">
        <v>0.48356949611599997</v>
      </c>
    </row>
    <row r="7" spans="1:11" ht="14.4" customHeight="1" thickBot="1" x14ac:dyDescent="0.35">
      <c r="A7" s="302" t="s">
        <v>165</v>
      </c>
      <c r="B7" s="283">
        <v>108.866453708653</v>
      </c>
      <c r="C7" s="283">
        <v>114.00036</v>
      </c>
      <c r="D7" s="284">
        <v>5.1339062913470004</v>
      </c>
      <c r="E7" s="285">
        <v>1.047157835278</v>
      </c>
      <c r="F7" s="283">
        <v>98.871945493553</v>
      </c>
      <c r="G7" s="284">
        <v>49.435972746776002</v>
      </c>
      <c r="H7" s="286">
        <v>10.92816</v>
      </c>
      <c r="I7" s="283">
        <v>58.490270000000002</v>
      </c>
      <c r="J7" s="284">
        <v>9.0542972532229999</v>
      </c>
      <c r="K7" s="287">
        <v>0.59157599972300001</v>
      </c>
    </row>
    <row r="8" spans="1:11" ht="14.4" customHeight="1" thickBot="1" x14ac:dyDescent="0.35">
      <c r="A8" s="303" t="s">
        <v>166</v>
      </c>
      <c r="B8" s="283">
        <v>15.306453100452</v>
      </c>
      <c r="C8" s="283">
        <v>23.371359999999999</v>
      </c>
      <c r="D8" s="284">
        <v>8.0649068995469992</v>
      </c>
      <c r="E8" s="285">
        <v>1.5268958684689999</v>
      </c>
      <c r="F8" s="283">
        <v>10.348252018550999</v>
      </c>
      <c r="G8" s="284">
        <v>5.1741260092749997</v>
      </c>
      <c r="H8" s="286">
        <v>4.6791600000000004</v>
      </c>
      <c r="I8" s="283">
        <v>11.61727</v>
      </c>
      <c r="J8" s="284">
        <v>6.4431439907239998</v>
      </c>
      <c r="K8" s="287">
        <v>1.1226311438080001</v>
      </c>
    </row>
    <row r="9" spans="1:11" ht="14.4" customHeight="1" thickBot="1" x14ac:dyDescent="0.35">
      <c r="A9" s="304" t="s">
        <v>167</v>
      </c>
      <c r="B9" s="288">
        <v>0</v>
      </c>
      <c r="C9" s="288">
        <v>0.16269</v>
      </c>
      <c r="D9" s="289">
        <v>0.16269</v>
      </c>
      <c r="E9" s="290" t="s">
        <v>168</v>
      </c>
      <c r="F9" s="288">
        <v>0.243280067061</v>
      </c>
      <c r="G9" s="289">
        <v>0.12164003353</v>
      </c>
      <c r="H9" s="291">
        <v>0</v>
      </c>
      <c r="I9" s="288">
        <v>4.863E-2</v>
      </c>
      <c r="J9" s="289">
        <v>-7.3010033530000004E-2</v>
      </c>
      <c r="K9" s="292">
        <v>0.19989307215900001</v>
      </c>
    </row>
    <row r="10" spans="1:11" ht="14.4" customHeight="1" thickBot="1" x14ac:dyDescent="0.35">
      <c r="A10" s="305" t="s">
        <v>169</v>
      </c>
      <c r="B10" s="283">
        <v>0</v>
      </c>
      <c r="C10" s="283">
        <v>0.16269</v>
      </c>
      <c r="D10" s="284">
        <v>0.16269</v>
      </c>
      <c r="E10" s="293" t="s">
        <v>168</v>
      </c>
      <c r="F10" s="283">
        <v>0.243280067061</v>
      </c>
      <c r="G10" s="284">
        <v>0.12164003353</v>
      </c>
      <c r="H10" s="286">
        <v>0</v>
      </c>
      <c r="I10" s="283">
        <v>4.863E-2</v>
      </c>
      <c r="J10" s="284">
        <v>-7.3010033530000004E-2</v>
      </c>
      <c r="K10" s="287">
        <v>0.19989307215900001</v>
      </c>
    </row>
    <row r="11" spans="1:11" ht="14.4" customHeight="1" thickBot="1" x14ac:dyDescent="0.35">
      <c r="A11" s="304" t="s">
        <v>170</v>
      </c>
      <c r="B11" s="288">
        <v>0</v>
      </c>
      <c r="C11" s="288">
        <v>0.22214</v>
      </c>
      <c r="D11" s="289">
        <v>0.22214</v>
      </c>
      <c r="E11" s="290" t="s">
        <v>168</v>
      </c>
      <c r="F11" s="288">
        <v>0.26298007249100003</v>
      </c>
      <c r="G11" s="289">
        <v>0.131490036245</v>
      </c>
      <c r="H11" s="291">
        <v>0</v>
      </c>
      <c r="I11" s="288">
        <v>1.0120000000000001E-2</v>
      </c>
      <c r="J11" s="289">
        <v>-0.12137003624499999</v>
      </c>
      <c r="K11" s="292">
        <v>3.8482003233000002E-2</v>
      </c>
    </row>
    <row r="12" spans="1:11" ht="14.4" customHeight="1" thickBot="1" x14ac:dyDescent="0.35">
      <c r="A12" s="305" t="s">
        <v>171</v>
      </c>
      <c r="B12" s="283">
        <v>0</v>
      </c>
      <c r="C12" s="283">
        <v>0.22214</v>
      </c>
      <c r="D12" s="284">
        <v>0.22214</v>
      </c>
      <c r="E12" s="293" t="s">
        <v>168</v>
      </c>
      <c r="F12" s="283">
        <v>0.26298007249100003</v>
      </c>
      <c r="G12" s="284">
        <v>0.131490036245</v>
      </c>
      <c r="H12" s="286">
        <v>0</v>
      </c>
      <c r="I12" s="283">
        <v>1.0120000000000001E-2</v>
      </c>
      <c r="J12" s="284">
        <v>-0.12137003624499999</v>
      </c>
      <c r="K12" s="287">
        <v>3.8482003233000002E-2</v>
      </c>
    </row>
    <row r="13" spans="1:11" ht="14.4" customHeight="1" thickBot="1" x14ac:dyDescent="0.35">
      <c r="A13" s="304" t="s">
        <v>172</v>
      </c>
      <c r="B13" s="288">
        <v>15.306453100452</v>
      </c>
      <c r="C13" s="288">
        <v>19.866630000000001</v>
      </c>
      <c r="D13" s="289">
        <v>4.5601768995469998</v>
      </c>
      <c r="E13" s="294">
        <v>1.2979251214900001</v>
      </c>
      <c r="F13" s="288">
        <v>9.3761655150040006</v>
      </c>
      <c r="G13" s="289">
        <v>4.6880827575020003</v>
      </c>
      <c r="H13" s="291">
        <v>1.1668000000000001</v>
      </c>
      <c r="I13" s="288">
        <v>6.3957100000000002</v>
      </c>
      <c r="J13" s="289">
        <v>1.707627242497</v>
      </c>
      <c r="K13" s="292">
        <v>0.682124263886</v>
      </c>
    </row>
    <row r="14" spans="1:11" ht="14.4" customHeight="1" thickBot="1" x14ac:dyDescent="0.35">
      <c r="A14" s="305" t="s">
        <v>173</v>
      </c>
      <c r="B14" s="283">
        <v>0</v>
      </c>
      <c r="C14" s="283">
        <v>0.2742</v>
      </c>
      <c r="D14" s="284">
        <v>0.2742</v>
      </c>
      <c r="E14" s="293" t="s">
        <v>162</v>
      </c>
      <c r="F14" s="283">
        <v>0.25708915034599999</v>
      </c>
      <c r="G14" s="284">
        <v>0.128544575173</v>
      </c>
      <c r="H14" s="286">
        <v>0</v>
      </c>
      <c r="I14" s="283">
        <v>8.2000000000000003E-2</v>
      </c>
      <c r="J14" s="284">
        <v>-4.6544575173000001E-2</v>
      </c>
      <c r="K14" s="287">
        <v>0.31895550585999999</v>
      </c>
    </row>
    <row r="15" spans="1:11" ht="14.4" customHeight="1" thickBot="1" x14ac:dyDescent="0.35">
      <c r="A15" s="305" t="s">
        <v>174</v>
      </c>
      <c r="B15" s="283">
        <v>2.9999999055069999</v>
      </c>
      <c r="C15" s="283">
        <v>4.1914400000000001</v>
      </c>
      <c r="D15" s="284">
        <v>1.1914400944920001</v>
      </c>
      <c r="E15" s="285">
        <v>1.397146710673</v>
      </c>
      <c r="F15" s="283">
        <v>3.0916182237299998</v>
      </c>
      <c r="G15" s="284">
        <v>1.5458091118649999</v>
      </c>
      <c r="H15" s="286">
        <v>0.94079999999999997</v>
      </c>
      <c r="I15" s="283">
        <v>2.2670499999999998</v>
      </c>
      <c r="J15" s="284">
        <v>0.721240888134</v>
      </c>
      <c r="K15" s="287">
        <v>0.73328911784700002</v>
      </c>
    </row>
    <row r="16" spans="1:11" ht="14.4" customHeight="1" thickBot="1" x14ac:dyDescent="0.35">
      <c r="A16" s="305" t="s">
        <v>175</v>
      </c>
      <c r="B16" s="283">
        <v>0.99999996850200001</v>
      </c>
      <c r="C16" s="283">
        <v>0.3009</v>
      </c>
      <c r="D16" s="284">
        <v>-0.69909996850199996</v>
      </c>
      <c r="E16" s="285">
        <v>0.30090000947700002</v>
      </c>
      <c r="F16" s="283">
        <v>0.33121897348599999</v>
      </c>
      <c r="G16" s="284">
        <v>0.165609486743</v>
      </c>
      <c r="H16" s="286">
        <v>0</v>
      </c>
      <c r="I16" s="283">
        <v>0</v>
      </c>
      <c r="J16" s="284">
        <v>-0.165609486743</v>
      </c>
      <c r="K16" s="287">
        <v>0</v>
      </c>
    </row>
    <row r="17" spans="1:11" ht="14.4" customHeight="1" thickBot="1" x14ac:dyDescent="0.35">
      <c r="A17" s="305" t="s">
        <v>176</v>
      </c>
      <c r="B17" s="283">
        <v>11.306453226442001</v>
      </c>
      <c r="C17" s="283">
        <v>13.83684</v>
      </c>
      <c r="D17" s="284">
        <v>2.5303867735569998</v>
      </c>
      <c r="E17" s="285">
        <v>1.223800224781</v>
      </c>
      <c r="F17" s="283">
        <v>4.145378030072</v>
      </c>
      <c r="G17" s="284">
        <v>2.072689015036</v>
      </c>
      <c r="H17" s="286">
        <v>0</v>
      </c>
      <c r="I17" s="283">
        <v>3.0993599999999999</v>
      </c>
      <c r="J17" s="284">
        <v>1.026670984963</v>
      </c>
      <c r="K17" s="287">
        <v>0.74766643175000003</v>
      </c>
    </row>
    <row r="18" spans="1:11" ht="14.4" customHeight="1" thickBot="1" x14ac:dyDescent="0.35">
      <c r="A18" s="305" t="s">
        <v>177</v>
      </c>
      <c r="B18" s="283">
        <v>0</v>
      </c>
      <c r="C18" s="283">
        <v>1.26325</v>
      </c>
      <c r="D18" s="284">
        <v>1.26325</v>
      </c>
      <c r="E18" s="293" t="s">
        <v>162</v>
      </c>
      <c r="F18" s="283">
        <v>1.5508611373679999</v>
      </c>
      <c r="G18" s="284">
        <v>0.77543056868399995</v>
      </c>
      <c r="H18" s="286">
        <v>0.22600000000000001</v>
      </c>
      <c r="I18" s="283">
        <v>0.94730000000000003</v>
      </c>
      <c r="J18" s="284">
        <v>0.17186943131499999</v>
      </c>
      <c r="K18" s="287">
        <v>0.61082193445499999</v>
      </c>
    </row>
    <row r="19" spans="1:11" ht="14.4" customHeight="1" thickBot="1" x14ac:dyDescent="0.35">
      <c r="A19" s="304" t="s">
        <v>178</v>
      </c>
      <c r="B19" s="288">
        <v>0</v>
      </c>
      <c r="C19" s="288">
        <v>0.40114</v>
      </c>
      <c r="D19" s="289">
        <v>0.40114</v>
      </c>
      <c r="E19" s="290" t="s">
        <v>162</v>
      </c>
      <c r="F19" s="288">
        <v>0.46582636399299998</v>
      </c>
      <c r="G19" s="289">
        <v>0.232913181996</v>
      </c>
      <c r="H19" s="291">
        <v>0</v>
      </c>
      <c r="I19" s="288">
        <v>0</v>
      </c>
      <c r="J19" s="289">
        <v>-0.232913181996</v>
      </c>
      <c r="K19" s="292">
        <v>0</v>
      </c>
    </row>
    <row r="20" spans="1:11" ht="14.4" customHeight="1" thickBot="1" x14ac:dyDescent="0.35">
      <c r="A20" s="305" t="s">
        <v>179</v>
      </c>
      <c r="B20" s="283">
        <v>0</v>
      </c>
      <c r="C20" s="283">
        <v>0.40114</v>
      </c>
      <c r="D20" s="284">
        <v>0.40114</v>
      </c>
      <c r="E20" s="293" t="s">
        <v>162</v>
      </c>
      <c r="F20" s="283">
        <v>0.46582636399299998</v>
      </c>
      <c r="G20" s="284">
        <v>0.232913181996</v>
      </c>
      <c r="H20" s="286">
        <v>0</v>
      </c>
      <c r="I20" s="283">
        <v>0</v>
      </c>
      <c r="J20" s="284">
        <v>-0.232913181996</v>
      </c>
      <c r="K20" s="287">
        <v>0</v>
      </c>
    </row>
    <row r="21" spans="1:11" ht="14.4" customHeight="1" thickBot="1" x14ac:dyDescent="0.35">
      <c r="A21" s="304" t="s">
        <v>180</v>
      </c>
      <c r="B21" s="288">
        <v>0</v>
      </c>
      <c r="C21" s="288">
        <v>2.7187600000000001</v>
      </c>
      <c r="D21" s="289">
        <v>2.7187600000000001</v>
      </c>
      <c r="E21" s="290" t="s">
        <v>162</v>
      </c>
      <c r="F21" s="288">
        <v>0</v>
      </c>
      <c r="G21" s="289">
        <v>0</v>
      </c>
      <c r="H21" s="291">
        <v>3.5123600000000001</v>
      </c>
      <c r="I21" s="288">
        <v>5.1628100000000003</v>
      </c>
      <c r="J21" s="289">
        <v>5.1628100000000003</v>
      </c>
      <c r="K21" s="295" t="s">
        <v>162</v>
      </c>
    </row>
    <row r="22" spans="1:11" ht="14.4" customHeight="1" thickBot="1" x14ac:dyDescent="0.35">
      <c r="A22" s="305" t="s">
        <v>181</v>
      </c>
      <c r="B22" s="283">
        <v>0</v>
      </c>
      <c r="C22" s="283">
        <v>2.7187600000000001</v>
      </c>
      <c r="D22" s="284">
        <v>2.7187600000000001</v>
      </c>
      <c r="E22" s="293" t="s">
        <v>162</v>
      </c>
      <c r="F22" s="283">
        <v>0</v>
      </c>
      <c r="G22" s="284">
        <v>0</v>
      </c>
      <c r="H22" s="286">
        <v>3.5123600000000001</v>
      </c>
      <c r="I22" s="283">
        <v>5.1628100000000003</v>
      </c>
      <c r="J22" s="284">
        <v>5.1628100000000003</v>
      </c>
      <c r="K22" s="296" t="s">
        <v>162</v>
      </c>
    </row>
    <row r="23" spans="1:11" ht="14.4" customHeight="1" thickBot="1" x14ac:dyDescent="0.35">
      <c r="A23" s="303" t="s">
        <v>26</v>
      </c>
      <c r="B23" s="283">
        <v>93.560000608199999</v>
      </c>
      <c r="C23" s="283">
        <v>90.629000000000005</v>
      </c>
      <c r="D23" s="284">
        <v>-2.9310006082000002</v>
      </c>
      <c r="E23" s="285">
        <v>0.96867250332199994</v>
      </c>
      <c r="F23" s="283">
        <v>88.523693475000997</v>
      </c>
      <c r="G23" s="284">
        <v>44.261846737500001</v>
      </c>
      <c r="H23" s="286">
        <v>6.2489999999999997</v>
      </c>
      <c r="I23" s="283">
        <v>46.872999999999998</v>
      </c>
      <c r="J23" s="284">
        <v>2.6111532624990001</v>
      </c>
      <c r="K23" s="287">
        <v>0.52949665970699999</v>
      </c>
    </row>
    <row r="24" spans="1:11" ht="14.4" customHeight="1" thickBot="1" x14ac:dyDescent="0.35">
      <c r="A24" s="304" t="s">
        <v>182</v>
      </c>
      <c r="B24" s="288">
        <v>93.560000608199999</v>
      </c>
      <c r="C24" s="288">
        <v>90.629000000000005</v>
      </c>
      <c r="D24" s="289">
        <v>-2.9310006082000002</v>
      </c>
      <c r="E24" s="294">
        <v>0.96867250332199994</v>
      </c>
      <c r="F24" s="288">
        <v>88.523693475000997</v>
      </c>
      <c r="G24" s="289">
        <v>44.261846737500001</v>
      </c>
      <c r="H24" s="291">
        <v>6.2489999999999997</v>
      </c>
      <c r="I24" s="288">
        <v>46.872999999999998</v>
      </c>
      <c r="J24" s="289">
        <v>2.6111532624990001</v>
      </c>
      <c r="K24" s="292">
        <v>0.52949665970699999</v>
      </c>
    </row>
    <row r="25" spans="1:11" ht="14.4" customHeight="1" thickBot="1" x14ac:dyDescent="0.35">
      <c r="A25" s="305" t="s">
        <v>183</v>
      </c>
      <c r="B25" s="283">
        <v>32.311707951845001</v>
      </c>
      <c r="C25" s="283">
        <v>31.922999999999998</v>
      </c>
      <c r="D25" s="284">
        <v>-0.38870795184500001</v>
      </c>
      <c r="E25" s="285">
        <v>0.98797005864099996</v>
      </c>
      <c r="F25" s="283">
        <v>31.495192884378</v>
      </c>
      <c r="G25" s="284">
        <v>15.747596442189</v>
      </c>
      <c r="H25" s="286">
        <v>2.4980000000000002</v>
      </c>
      <c r="I25" s="283">
        <v>14.247</v>
      </c>
      <c r="J25" s="284">
        <v>-1.5005964421889999</v>
      </c>
      <c r="K25" s="287">
        <v>0.45235474671600001</v>
      </c>
    </row>
    <row r="26" spans="1:11" ht="14.4" customHeight="1" thickBot="1" x14ac:dyDescent="0.35">
      <c r="A26" s="305" t="s">
        <v>184</v>
      </c>
      <c r="B26" s="283">
        <v>34.999998897584</v>
      </c>
      <c r="C26" s="283">
        <v>31.248000000000001</v>
      </c>
      <c r="D26" s="284">
        <v>-3.751998897584</v>
      </c>
      <c r="E26" s="285">
        <v>0.89280002812100001</v>
      </c>
      <c r="F26" s="283">
        <v>29.931496256848</v>
      </c>
      <c r="G26" s="284">
        <v>14.965748128424</v>
      </c>
      <c r="H26" s="286">
        <v>2.8530000000000002</v>
      </c>
      <c r="I26" s="283">
        <v>16.748000000000001</v>
      </c>
      <c r="J26" s="284">
        <v>1.782251871575</v>
      </c>
      <c r="K26" s="287">
        <v>0.55954436277599995</v>
      </c>
    </row>
    <row r="27" spans="1:11" ht="14.4" customHeight="1" thickBot="1" x14ac:dyDescent="0.35">
      <c r="A27" s="305" t="s">
        <v>185</v>
      </c>
      <c r="B27" s="283">
        <v>25.999999181063</v>
      </c>
      <c r="C27" s="283">
        <v>27.457999999999998</v>
      </c>
      <c r="D27" s="284">
        <v>1.4580008189360001</v>
      </c>
      <c r="E27" s="285">
        <v>1.0560769563400001</v>
      </c>
      <c r="F27" s="283">
        <v>27.097004333773999</v>
      </c>
      <c r="G27" s="284">
        <v>13.548502166886999</v>
      </c>
      <c r="H27" s="286">
        <v>0.89800000000000002</v>
      </c>
      <c r="I27" s="283">
        <v>15.878</v>
      </c>
      <c r="J27" s="284">
        <v>2.3294978331120002</v>
      </c>
      <c r="K27" s="287">
        <v>0.58596883273199996</v>
      </c>
    </row>
    <row r="28" spans="1:11" ht="14.4" customHeight="1" thickBot="1" x14ac:dyDescent="0.35">
      <c r="A28" s="305" t="s">
        <v>186</v>
      </c>
      <c r="B28" s="283">
        <v>0.248294577706</v>
      </c>
      <c r="C28" s="283">
        <v>0</v>
      </c>
      <c r="D28" s="284">
        <v>-0.248294577706</v>
      </c>
      <c r="E28" s="285">
        <v>0</v>
      </c>
      <c r="F28" s="283">
        <v>0</v>
      </c>
      <c r="G28" s="284">
        <v>0</v>
      </c>
      <c r="H28" s="286">
        <v>0</v>
      </c>
      <c r="I28" s="283">
        <v>0</v>
      </c>
      <c r="J28" s="284">
        <v>0</v>
      </c>
      <c r="K28" s="287">
        <v>0</v>
      </c>
    </row>
    <row r="29" spans="1:11" ht="14.4" customHeight="1" thickBot="1" x14ac:dyDescent="0.35">
      <c r="A29" s="306" t="s">
        <v>187</v>
      </c>
      <c r="B29" s="288">
        <v>66.406687796865995</v>
      </c>
      <c r="C29" s="288">
        <v>50.243259999999999</v>
      </c>
      <c r="D29" s="289">
        <v>-16.163427796865999</v>
      </c>
      <c r="E29" s="294">
        <v>0.75659939784499997</v>
      </c>
      <c r="F29" s="288">
        <v>49.964276805738002</v>
      </c>
      <c r="G29" s="289">
        <v>24.982138402869001</v>
      </c>
      <c r="H29" s="291">
        <v>3.8655900000000001</v>
      </c>
      <c r="I29" s="288">
        <v>23.035499999999999</v>
      </c>
      <c r="J29" s="289">
        <v>-1.946638402869</v>
      </c>
      <c r="K29" s="292">
        <v>0.46103939599799998</v>
      </c>
    </row>
    <row r="30" spans="1:11" ht="14.4" customHeight="1" thickBot="1" x14ac:dyDescent="0.35">
      <c r="A30" s="303" t="s">
        <v>29</v>
      </c>
      <c r="B30" s="283">
        <v>21.623146560443999</v>
      </c>
      <c r="C30" s="283">
        <v>3.8030300000000001</v>
      </c>
      <c r="D30" s="284">
        <v>-17.820116560443999</v>
      </c>
      <c r="E30" s="285">
        <v>0.175877733121</v>
      </c>
      <c r="F30" s="283">
        <v>4.8811776842699999</v>
      </c>
      <c r="G30" s="284">
        <v>2.4405888421349999</v>
      </c>
      <c r="H30" s="286">
        <v>0.27633999999999997</v>
      </c>
      <c r="I30" s="283">
        <v>1.0116499999999999</v>
      </c>
      <c r="J30" s="284">
        <v>-1.428938842135</v>
      </c>
      <c r="K30" s="287">
        <v>0.20725531120400001</v>
      </c>
    </row>
    <row r="31" spans="1:11" ht="14.4" customHeight="1" thickBot="1" x14ac:dyDescent="0.35">
      <c r="A31" s="307" t="s">
        <v>188</v>
      </c>
      <c r="B31" s="283">
        <v>21.623146560443999</v>
      </c>
      <c r="C31" s="283">
        <v>3.8030300000000001</v>
      </c>
      <c r="D31" s="284">
        <v>-17.820116560443999</v>
      </c>
      <c r="E31" s="285">
        <v>0.175877733121</v>
      </c>
      <c r="F31" s="283">
        <v>4.8811776842699999</v>
      </c>
      <c r="G31" s="284">
        <v>2.4405888421349999</v>
      </c>
      <c r="H31" s="286">
        <v>0.27633999999999997</v>
      </c>
      <c r="I31" s="283">
        <v>1.0116499999999999</v>
      </c>
      <c r="J31" s="284">
        <v>-1.428938842135</v>
      </c>
      <c r="K31" s="287">
        <v>0.20725531120400001</v>
      </c>
    </row>
    <row r="32" spans="1:11" ht="14.4" customHeight="1" thickBot="1" x14ac:dyDescent="0.35">
      <c r="A32" s="305" t="s">
        <v>189</v>
      </c>
      <c r="B32" s="283">
        <v>8.0375081878210004</v>
      </c>
      <c r="C32" s="283">
        <v>0</v>
      </c>
      <c r="D32" s="284">
        <v>-8.0375081878210004</v>
      </c>
      <c r="E32" s="285">
        <v>0</v>
      </c>
      <c r="F32" s="283">
        <v>0</v>
      </c>
      <c r="G32" s="284">
        <v>0</v>
      </c>
      <c r="H32" s="286">
        <v>0</v>
      </c>
      <c r="I32" s="283">
        <v>0</v>
      </c>
      <c r="J32" s="284">
        <v>0</v>
      </c>
      <c r="K32" s="287">
        <v>0</v>
      </c>
    </row>
    <row r="33" spans="1:11" ht="14.4" customHeight="1" thickBot="1" x14ac:dyDescent="0.35">
      <c r="A33" s="305" t="s">
        <v>190</v>
      </c>
      <c r="B33" s="283">
        <v>11.999999622029</v>
      </c>
      <c r="C33" s="283">
        <v>2.1282999999999999</v>
      </c>
      <c r="D33" s="284">
        <v>-9.8716996220290003</v>
      </c>
      <c r="E33" s="285">
        <v>0.17735833891899999</v>
      </c>
      <c r="F33" s="283">
        <v>2.4733566662180002</v>
      </c>
      <c r="G33" s="284">
        <v>1.2366783331090001</v>
      </c>
      <c r="H33" s="286">
        <v>0</v>
      </c>
      <c r="I33" s="283">
        <v>0</v>
      </c>
      <c r="J33" s="284">
        <v>-1.2366783331090001</v>
      </c>
      <c r="K33" s="287">
        <v>0</v>
      </c>
    </row>
    <row r="34" spans="1:11" ht="14.4" customHeight="1" thickBot="1" x14ac:dyDescent="0.35">
      <c r="A34" s="305" t="s">
        <v>191</v>
      </c>
      <c r="B34" s="283">
        <v>1.5856387505930001</v>
      </c>
      <c r="C34" s="283">
        <v>1.6747300000000001</v>
      </c>
      <c r="D34" s="284">
        <v>8.9091249405999995E-2</v>
      </c>
      <c r="E34" s="285">
        <v>1.0561863472199999</v>
      </c>
      <c r="F34" s="283">
        <v>2.4078210180520001</v>
      </c>
      <c r="G34" s="284">
        <v>1.2039105090260001</v>
      </c>
      <c r="H34" s="286">
        <v>0.27633999999999997</v>
      </c>
      <c r="I34" s="283">
        <v>1.0116499999999999</v>
      </c>
      <c r="J34" s="284">
        <v>-0.192260509026</v>
      </c>
      <c r="K34" s="287">
        <v>0.42015166094700002</v>
      </c>
    </row>
    <row r="35" spans="1:11" ht="14.4" customHeight="1" thickBot="1" x14ac:dyDescent="0.35">
      <c r="A35" s="308" t="s">
        <v>30</v>
      </c>
      <c r="B35" s="288">
        <v>0</v>
      </c>
      <c r="C35" s="288">
        <v>1.232</v>
      </c>
      <c r="D35" s="289">
        <v>1.232</v>
      </c>
      <c r="E35" s="290" t="s">
        <v>162</v>
      </c>
      <c r="F35" s="288">
        <v>0</v>
      </c>
      <c r="G35" s="289">
        <v>0</v>
      </c>
      <c r="H35" s="291">
        <v>0</v>
      </c>
      <c r="I35" s="288">
        <v>1.0820000000000001</v>
      </c>
      <c r="J35" s="289">
        <v>1.0820000000000001</v>
      </c>
      <c r="K35" s="295" t="s">
        <v>162</v>
      </c>
    </row>
    <row r="36" spans="1:11" ht="14.4" customHeight="1" thickBot="1" x14ac:dyDescent="0.35">
      <c r="A36" s="304" t="s">
        <v>192</v>
      </c>
      <c r="B36" s="288">
        <v>0</v>
      </c>
      <c r="C36" s="288">
        <v>1.232</v>
      </c>
      <c r="D36" s="289">
        <v>1.232</v>
      </c>
      <c r="E36" s="290" t="s">
        <v>162</v>
      </c>
      <c r="F36" s="288">
        <v>0</v>
      </c>
      <c r="G36" s="289">
        <v>0</v>
      </c>
      <c r="H36" s="291">
        <v>0</v>
      </c>
      <c r="I36" s="288">
        <v>1.0820000000000001</v>
      </c>
      <c r="J36" s="289">
        <v>1.0820000000000001</v>
      </c>
      <c r="K36" s="295" t="s">
        <v>162</v>
      </c>
    </row>
    <row r="37" spans="1:11" ht="14.4" customHeight="1" thickBot="1" x14ac:dyDescent="0.35">
      <c r="A37" s="305" t="s">
        <v>193</v>
      </c>
      <c r="B37" s="283">
        <v>0</v>
      </c>
      <c r="C37" s="283">
        <v>1.232</v>
      </c>
      <c r="D37" s="284">
        <v>1.232</v>
      </c>
      <c r="E37" s="293" t="s">
        <v>162</v>
      </c>
      <c r="F37" s="283">
        <v>0</v>
      </c>
      <c r="G37" s="284">
        <v>0</v>
      </c>
      <c r="H37" s="286">
        <v>0</v>
      </c>
      <c r="I37" s="283">
        <v>1.0820000000000001</v>
      </c>
      <c r="J37" s="284">
        <v>1.0820000000000001</v>
      </c>
      <c r="K37" s="296" t="s">
        <v>162</v>
      </c>
    </row>
    <row r="38" spans="1:11" ht="14.4" customHeight="1" thickBot="1" x14ac:dyDescent="0.35">
      <c r="A38" s="303" t="s">
        <v>31</v>
      </c>
      <c r="B38" s="283">
        <v>44.783541236422003</v>
      </c>
      <c r="C38" s="283">
        <v>45.20823</v>
      </c>
      <c r="D38" s="284">
        <v>0.42468876357699997</v>
      </c>
      <c r="E38" s="285">
        <v>1.0094831438480001</v>
      </c>
      <c r="F38" s="283">
        <v>45.083099121468003</v>
      </c>
      <c r="G38" s="284">
        <v>22.541549560734001</v>
      </c>
      <c r="H38" s="286">
        <v>3.5892499999999998</v>
      </c>
      <c r="I38" s="283">
        <v>20.941849999999999</v>
      </c>
      <c r="J38" s="284">
        <v>-1.5996995607340001</v>
      </c>
      <c r="K38" s="287">
        <v>0.46451664610600002</v>
      </c>
    </row>
    <row r="39" spans="1:11" ht="14.4" customHeight="1" thickBot="1" x14ac:dyDescent="0.35">
      <c r="A39" s="304" t="s">
        <v>194</v>
      </c>
      <c r="B39" s="288">
        <v>22.455456364566999</v>
      </c>
      <c r="C39" s="288">
        <v>22.66911</v>
      </c>
      <c r="D39" s="289">
        <v>0.213653635432</v>
      </c>
      <c r="E39" s="294">
        <v>1.009514553254</v>
      </c>
      <c r="F39" s="288">
        <v>22.113995045054001</v>
      </c>
      <c r="G39" s="289">
        <v>11.056997522527</v>
      </c>
      <c r="H39" s="291">
        <v>1.7616799999999999</v>
      </c>
      <c r="I39" s="288">
        <v>9.4335900000000006</v>
      </c>
      <c r="J39" s="289">
        <v>-1.6234075225269999</v>
      </c>
      <c r="K39" s="292">
        <v>0.42658913420099998</v>
      </c>
    </row>
    <row r="40" spans="1:11" ht="14.4" customHeight="1" thickBot="1" x14ac:dyDescent="0.35">
      <c r="A40" s="305" t="s">
        <v>195</v>
      </c>
      <c r="B40" s="283">
        <v>6.4837612672110003</v>
      </c>
      <c r="C40" s="283">
        <v>6.0316000000000001</v>
      </c>
      <c r="D40" s="284">
        <v>-0.45216126721099997</v>
      </c>
      <c r="E40" s="285">
        <v>0.93026250526800003</v>
      </c>
      <c r="F40" s="283">
        <v>3.762911732389</v>
      </c>
      <c r="G40" s="284">
        <v>1.881455866194</v>
      </c>
      <c r="H40" s="286">
        <v>0.68969999999999998</v>
      </c>
      <c r="I40" s="283">
        <v>3.3231000000000002</v>
      </c>
      <c r="J40" s="284">
        <v>1.4416441338049999</v>
      </c>
      <c r="K40" s="287">
        <v>0.88311930662500004</v>
      </c>
    </row>
    <row r="41" spans="1:11" ht="14.4" customHeight="1" thickBot="1" x14ac:dyDescent="0.35">
      <c r="A41" s="305" t="s">
        <v>196</v>
      </c>
      <c r="B41" s="283">
        <v>15.971695097354999</v>
      </c>
      <c r="C41" s="283">
        <v>16.637509999999999</v>
      </c>
      <c r="D41" s="284">
        <v>0.66581490264400001</v>
      </c>
      <c r="E41" s="285">
        <v>1.0416871783849999</v>
      </c>
      <c r="F41" s="283">
        <v>18.351083312665001</v>
      </c>
      <c r="G41" s="284">
        <v>9.1755416563319994</v>
      </c>
      <c r="H41" s="286">
        <v>1.0719799999999999</v>
      </c>
      <c r="I41" s="283">
        <v>6.1104900000000004</v>
      </c>
      <c r="J41" s="284">
        <v>-3.0650516563319998</v>
      </c>
      <c r="K41" s="287">
        <v>0.33297707257300002</v>
      </c>
    </row>
    <row r="42" spans="1:11" ht="14.4" customHeight="1" thickBot="1" x14ac:dyDescent="0.35">
      <c r="A42" s="304" t="s">
        <v>197</v>
      </c>
      <c r="B42" s="288">
        <v>0.99999996850200001</v>
      </c>
      <c r="C42" s="288">
        <v>1.08</v>
      </c>
      <c r="D42" s="289">
        <v>8.0000031496999996E-2</v>
      </c>
      <c r="E42" s="294">
        <v>1.080000034017</v>
      </c>
      <c r="F42" s="288">
        <v>1.0000002756549999</v>
      </c>
      <c r="G42" s="289">
        <v>0.50000013782700004</v>
      </c>
      <c r="H42" s="291">
        <v>0</v>
      </c>
      <c r="I42" s="288">
        <v>0.54</v>
      </c>
      <c r="J42" s="289">
        <v>3.9999862172000002E-2</v>
      </c>
      <c r="K42" s="292">
        <v>0.53999985114500004</v>
      </c>
    </row>
    <row r="43" spans="1:11" ht="14.4" customHeight="1" thickBot="1" x14ac:dyDescent="0.35">
      <c r="A43" s="305" t="s">
        <v>198</v>
      </c>
      <c r="B43" s="283">
        <v>0.99999996850200001</v>
      </c>
      <c r="C43" s="283">
        <v>1.08</v>
      </c>
      <c r="D43" s="284">
        <v>8.0000031496999996E-2</v>
      </c>
      <c r="E43" s="285">
        <v>1.080000034017</v>
      </c>
      <c r="F43" s="283">
        <v>1.0000002756549999</v>
      </c>
      <c r="G43" s="284">
        <v>0.50000013782700004</v>
      </c>
      <c r="H43" s="286">
        <v>0</v>
      </c>
      <c r="I43" s="283">
        <v>0.54</v>
      </c>
      <c r="J43" s="284">
        <v>3.9999862172000002E-2</v>
      </c>
      <c r="K43" s="287">
        <v>0.53999985114500004</v>
      </c>
    </row>
    <row r="44" spans="1:11" ht="14.4" customHeight="1" thickBot="1" x14ac:dyDescent="0.35">
      <c r="A44" s="304" t="s">
        <v>199</v>
      </c>
      <c r="B44" s="288">
        <v>21.328084903352998</v>
      </c>
      <c r="C44" s="288">
        <v>21.459119999999999</v>
      </c>
      <c r="D44" s="289">
        <v>0.13103509664599999</v>
      </c>
      <c r="E44" s="294">
        <v>1.006143781649</v>
      </c>
      <c r="F44" s="288">
        <v>21.969103800757001</v>
      </c>
      <c r="G44" s="289">
        <v>10.984551900377999</v>
      </c>
      <c r="H44" s="291">
        <v>1.8275699999999999</v>
      </c>
      <c r="I44" s="288">
        <v>10.968260000000001</v>
      </c>
      <c r="J44" s="289">
        <v>-1.6291900378000001E-2</v>
      </c>
      <c r="K44" s="292">
        <v>0.49925841761500001</v>
      </c>
    </row>
    <row r="45" spans="1:11" ht="14.4" customHeight="1" thickBot="1" x14ac:dyDescent="0.35">
      <c r="A45" s="305" t="s">
        <v>200</v>
      </c>
      <c r="B45" s="283">
        <v>21.328084903352998</v>
      </c>
      <c r="C45" s="283">
        <v>21.459119999999999</v>
      </c>
      <c r="D45" s="284">
        <v>0.13103509664599999</v>
      </c>
      <c r="E45" s="285">
        <v>1.006143781649</v>
      </c>
      <c r="F45" s="283">
        <v>21.969103800757001</v>
      </c>
      <c r="G45" s="284">
        <v>10.984551900377999</v>
      </c>
      <c r="H45" s="286">
        <v>1.8275699999999999</v>
      </c>
      <c r="I45" s="283">
        <v>10.968260000000001</v>
      </c>
      <c r="J45" s="284">
        <v>-1.6291900378000001E-2</v>
      </c>
      <c r="K45" s="287">
        <v>0.49925841761500001</v>
      </c>
    </row>
    <row r="46" spans="1:11" ht="14.4" customHeight="1" thickBot="1" x14ac:dyDescent="0.35">
      <c r="A46" s="302" t="s">
        <v>32</v>
      </c>
      <c r="B46" s="283">
        <v>3652.9998849393501</v>
      </c>
      <c r="C46" s="283">
        <v>3772.6526399999998</v>
      </c>
      <c r="D46" s="284">
        <v>119.652755060647</v>
      </c>
      <c r="E46" s="285">
        <v>1.0327546561259999</v>
      </c>
      <c r="F46" s="283">
        <v>3802.0010480429</v>
      </c>
      <c r="G46" s="284">
        <v>1901.00052402145</v>
      </c>
      <c r="H46" s="286">
        <v>297.38517000000002</v>
      </c>
      <c r="I46" s="283">
        <v>1828.0593200000001</v>
      </c>
      <c r="J46" s="284">
        <v>-72.941204021448002</v>
      </c>
      <c r="K46" s="287">
        <v>0.48081504894400001</v>
      </c>
    </row>
    <row r="47" spans="1:11" ht="14.4" customHeight="1" thickBot="1" x14ac:dyDescent="0.35">
      <c r="A47" s="308" t="s">
        <v>201</v>
      </c>
      <c r="B47" s="288">
        <v>2707.9999147045601</v>
      </c>
      <c r="C47" s="288">
        <v>2794.5590000000002</v>
      </c>
      <c r="D47" s="289">
        <v>86.559085295436006</v>
      </c>
      <c r="E47" s="294">
        <v>1.031964212711</v>
      </c>
      <c r="F47" s="288">
        <v>2808.0007740411502</v>
      </c>
      <c r="G47" s="289">
        <v>1404.0003870205801</v>
      </c>
      <c r="H47" s="291">
        <v>219.92500000000001</v>
      </c>
      <c r="I47" s="288">
        <v>1349.575</v>
      </c>
      <c r="J47" s="289">
        <v>-54.425387020575002</v>
      </c>
      <c r="K47" s="292">
        <v>0.480617745007</v>
      </c>
    </row>
    <row r="48" spans="1:11" ht="14.4" customHeight="1" thickBot="1" x14ac:dyDescent="0.35">
      <c r="A48" s="304" t="s">
        <v>202</v>
      </c>
      <c r="B48" s="288">
        <v>2699.9999149565401</v>
      </c>
      <c r="C48" s="288">
        <v>2794.5590000000002</v>
      </c>
      <c r="D48" s="289">
        <v>94.559085043454999</v>
      </c>
      <c r="E48" s="294">
        <v>1.0350218844520001</v>
      </c>
      <c r="F48" s="288">
        <v>2800.0007718359002</v>
      </c>
      <c r="G48" s="289">
        <v>1400.0003859179501</v>
      </c>
      <c r="H48" s="291">
        <v>218.124</v>
      </c>
      <c r="I48" s="288">
        <v>1347.7739999999999</v>
      </c>
      <c r="J48" s="289">
        <v>-52.226385917952001</v>
      </c>
      <c r="K48" s="292">
        <v>0.48134772445599999</v>
      </c>
    </row>
    <row r="49" spans="1:11" ht="14.4" customHeight="1" thickBot="1" x14ac:dyDescent="0.35">
      <c r="A49" s="305" t="s">
        <v>203</v>
      </c>
      <c r="B49" s="283">
        <v>2699.9999149565401</v>
      </c>
      <c r="C49" s="283">
        <v>2794.5590000000002</v>
      </c>
      <c r="D49" s="284">
        <v>94.559085043454999</v>
      </c>
      <c r="E49" s="285">
        <v>1.0350218844520001</v>
      </c>
      <c r="F49" s="283">
        <v>2800.0007718359002</v>
      </c>
      <c r="G49" s="284">
        <v>1400.0003859179501</v>
      </c>
      <c r="H49" s="286">
        <v>218.124</v>
      </c>
      <c r="I49" s="283">
        <v>1347.7739999999999</v>
      </c>
      <c r="J49" s="284">
        <v>-52.226385917952001</v>
      </c>
      <c r="K49" s="287">
        <v>0.48134772445599999</v>
      </c>
    </row>
    <row r="50" spans="1:11" ht="14.4" customHeight="1" thickBot="1" x14ac:dyDescent="0.35">
      <c r="A50" s="304" t="s">
        <v>204</v>
      </c>
      <c r="B50" s="288">
        <v>7.9999997480190004</v>
      </c>
      <c r="C50" s="288">
        <v>0</v>
      </c>
      <c r="D50" s="289">
        <v>-7.9999997480190004</v>
      </c>
      <c r="E50" s="294">
        <v>0</v>
      </c>
      <c r="F50" s="288">
        <v>8.0000022052449999</v>
      </c>
      <c r="G50" s="289">
        <v>4.0000011026219999</v>
      </c>
      <c r="H50" s="291">
        <v>1.8009999999999999</v>
      </c>
      <c r="I50" s="288">
        <v>1.8009999999999999</v>
      </c>
      <c r="J50" s="289">
        <v>-2.1990011026220002</v>
      </c>
      <c r="K50" s="292">
        <v>0.22512493794300001</v>
      </c>
    </row>
    <row r="51" spans="1:11" ht="14.4" customHeight="1" thickBot="1" x14ac:dyDescent="0.35">
      <c r="A51" s="305" t="s">
        <v>205</v>
      </c>
      <c r="B51" s="283">
        <v>7.9999997480190004</v>
      </c>
      <c r="C51" s="283">
        <v>0</v>
      </c>
      <c r="D51" s="284">
        <v>-7.9999997480190004</v>
      </c>
      <c r="E51" s="285">
        <v>0</v>
      </c>
      <c r="F51" s="283">
        <v>8.0000022052449999</v>
      </c>
      <c r="G51" s="284">
        <v>4.0000011026219999</v>
      </c>
      <c r="H51" s="286">
        <v>1.8009999999999999</v>
      </c>
      <c r="I51" s="283">
        <v>1.8009999999999999</v>
      </c>
      <c r="J51" s="284">
        <v>-2.1990011026220002</v>
      </c>
      <c r="K51" s="287">
        <v>0.22512493794300001</v>
      </c>
    </row>
    <row r="52" spans="1:11" ht="14.4" customHeight="1" thickBot="1" x14ac:dyDescent="0.35">
      <c r="A52" s="303" t="s">
        <v>206</v>
      </c>
      <c r="B52" s="283">
        <v>917.99997108522405</v>
      </c>
      <c r="C52" s="283">
        <v>950.14873</v>
      </c>
      <c r="D52" s="284">
        <v>32.148758914775001</v>
      </c>
      <c r="E52" s="285">
        <v>1.0350204356499999</v>
      </c>
      <c r="F52" s="283">
        <v>952.00026242420802</v>
      </c>
      <c r="G52" s="284">
        <v>476.00013121210401</v>
      </c>
      <c r="H52" s="286">
        <v>74.162000000000006</v>
      </c>
      <c r="I52" s="283">
        <v>458.2405</v>
      </c>
      <c r="J52" s="284">
        <v>-17.759631212102999</v>
      </c>
      <c r="K52" s="287">
        <v>0.481344930339</v>
      </c>
    </row>
    <row r="53" spans="1:11" ht="14.4" customHeight="1" thickBot="1" x14ac:dyDescent="0.35">
      <c r="A53" s="304" t="s">
        <v>207</v>
      </c>
      <c r="B53" s="288">
        <v>242.99999234608899</v>
      </c>
      <c r="C53" s="288">
        <v>251.50898000000001</v>
      </c>
      <c r="D53" s="289">
        <v>8.5089876539109994</v>
      </c>
      <c r="E53" s="294">
        <v>1.0350164112010001</v>
      </c>
      <c r="F53" s="288">
        <v>252.00006946523101</v>
      </c>
      <c r="G53" s="289">
        <v>126.000034732616</v>
      </c>
      <c r="H53" s="291">
        <v>19.631</v>
      </c>
      <c r="I53" s="288">
        <v>121.297</v>
      </c>
      <c r="J53" s="289">
        <v>-4.7030347326150004</v>
      </c>
      <c r="K53" s="292">
        <v>0.48133716890299999</v>
      </c>
    </row>
    <row r="54" spans="1:11" ht="14.4" customHeight="1" thickBot="1" x14ac:dyDescent="0.35">
      <c r="A54" s="305" t="s">
        <v>208</v>
      </c>
      <c r="B54" s="283">
        <v>242.99999234608899</v>
      </c>
      <c r="C54" s="283">
        <v>251.50898000000001</v>
      </c>
      <c r="D54" s="284">
        <v>8.5089876539109994</v>
      </c>
      <c r="E54" s="285">
        <v>1.0350164112010001</v>
      </c>
      <c r="F54" s="283">
        <v>252.00006946523101</v>
      </c>
      <c r="G54" s="284">
        <v>126.000034732616</v>
      </c>
      <c r="H54" s="286">
        <v>19.631</v>
      </c>
      <c r="I54" s="283">
        <v>121.297</v>
      </c>
      <c r="J54" s="284">
        <v>-4.7030347326150004</v>
      </c>
      <c r="K54" s="287">
        <v>0.48133716890299999</v>
      </c>
    </row>
    <row r="55" spans="1:11" ht="14.4" customHeight="1" thickBot="1" x14ac:dyDescent="0.35">
      <c r="A55" s="304" t="s">
        <v>209</v>
      </c>
      <c r="B55" s="288">
        <v>674.99997873913503</v>
      </c>
      <c r="C55" s="288">
        <v>698.63975000000005</v>
      </c>
      <c r="D55" s="289">
        <v>23.639771260863998</v>
      </c>
      <c r="E55" s="294">
        <v>1.0350218844520001</v>
      </c>
      <c r="F55" s="288">
        <v>700.00019295897596</v>
      </c>
      <c r="G55" s="289">
        <v>350.00009647948798</v>
      </c>
      <c r="H55" s="291">
        <v>54.530999999999999</v>
      </c>
      <c r="I55" s="288">
        <v>336.94349999999997</v>
      </c>
      <c r="J55" s="289">
        <v>-13.056596479488</v>
      </c>
      <c r="K55" s="292">
        <v>0.48134772445599999</v>
      </c>
    </row>
    <row r="56" spans="1:11" ht="14.4" customHeight="1" thickBot="1" x14ac:dyDescent="0.35">
      <c r="A56" s="305" t="s">
        <v>210</v>
      </c>
      <c r="B56" s="283">
        <v>674.99997873913503</v>
      </c>
      <c r="C56" s="283">
        <v>698.63975000000005</v>
      </c>
      <c r="D56" s="284">
        <v>23.639771260863998</v>
      </c>
      <c r="E56" s="285">
        <v>1.0350218844520001</v>
      </c>
      <c r="F56" s="283">
        <v>700.00019295897596</v>
      </c>
      <c r="G56" s="284">
        <v>350.00009647948798</v>
      </c>
      <c r="H56" s="286">
        <v>54.530999999999999</v>
      </c>
      <c r="I56" s="283">
        <v>336.94349999999997</v>
      </c>
      <c r="J56" s="284">
        <v>-13.056596479488</v>
      </c>
      <c r="K56" s="287">
        <v>0.48134772445599999</v>
      </c>
    </row>
    <row r="57" spans="1:11" ht="14.4" customHeight="1" thickBot="1" x14ac:dyDescent="0.35">
      <c r="A57" s="303" t="s">
        <v>211</v>
      </c>
      <c r="B57" s="283">
        <v>26.999999149564999</v>
      </c>
      <c r="C57" s="283">
        <v>27.94491</v>
      </c>
      <c r="D57" s="284">
        <v>0.94491085043400003</v>
      </c>
      <c r="E57" s="285">
        <v>1.034996699266</v>
      </c>
      <c r="F57" s="283">
        <v>42.000011577537997</v>
      </c>
      <c r="G57" s="284">
        <v>21.000005788768998</v>
      </c>
      <c r="H57" s="286">
        <v>3.2981699999999998</v>
      </c>
      <c r="I57" s="283">
        <v>20.243819999999999</v>
      </c>
      <c r="J57" s="284">
        <v>-0.756185788769</v>
      </c>
      <c r="K57" s="287">
        <v>0.48199558141999999</v>
      </c>
    </row>
    <row r="58" spans="1:11" ht="14.4" customHeight="1" thickBot="1" x14ac:dyDescent="0.35">
      <c r="A58" s="304" t="s">
        <v>212</v>
      </c>
      <c r="B58" s="288">
        <v>26.999999149564999</v>
      </c>
      <c r="C58" s="288">
        <v>27.94491</v>
      </c>
      <c r="D58" s="289">
        <v>0.94491085043400003</v>
      </c>
      <c r="E58" s="294">
        <v>1.034996699266</v>
      </c>
      <c r="F58" s="288">
        <v>42.000011577537997</v>
      </c>
      <c r="G58" s="289">
        <v>21.000005788768998</v>
      </c>
      <c r="H58" s="291">
        <v>3.2981699999999998</v>
      </c>
      <c r="I58" s="288">
        <v>20.243819999999999</v>
      </c>
      <c r="J58" s="289">
        <v>-0.756185788769</v>
      </c>
      <c r="K58" s="292">
        <v>0.48199558141999999</v>
      </c>
    </row>
    <row r="59" spans="1:11" ht="14.4" customHeight="1" thickBot="1" x14ac:dyDescent="0.35">
      <c r="A59" s="305" t="s">
        <v>213</v>
      </c>
      <c r="B59" s="283">
        <v>26.999999149564999</v>
      </c>
      <c r="C59" s="283">
        <v>27.94491</v>
      </c>
      <c r="D59" s="284">
        <v>0.94491085043400003</v>
      </c>
      <c r="E59" s="285">
        <v>1.034996699266</v>
      </c>
      <c r="F59" s="283">
        <v>42.000011577537997</v>
      </c>
      <c r="G59" s="284">
        <v>21.000005788768998</v>
      </c>
      <c r="H59" s="286">
        <v>3.2981699999999998</v>
      </c>
      <c r="I59" s="283">
        <v>20.243819999999999</v>
      </c>
      <c r="J59" s="284">
        <v>-0.756185788769</v>
      </c>
      <c r="K59" s="287">
        <v>0.48199558141999999</v>
      </c>
    </row>
    <row r="60" spans="1:11" ht="14.4" customHeight="1" thickBot="1" x14ac:dyDescent="0.35">
      <c r="A60" s="302" t="s">
        <v>214</v>
      </c>
      <c r="B60" s="283">
        <v>0</v>
      </c>
      <c r="C60" s="283">
        <v>0.15090000000000001</v>
      </c>
      <c r="D60" s="284">
        <v>0.15090000000000001</v>
      </c>
      <c r="E60" s="293" t="s">
        <v>162</v>
      </c>
      <c r="F60" s="283">
        <v>0</v>
      </c>
      <c r="G60" s="284">
        <v>0</v>
      </c>
      <c r="H60" s="286">
        <v>0</v>
      </c>
      <c r="I60" s="283">
        <v>0.71</v>
      </c>
      <c r="J60" s="284">
        <v>0.71</v>
      </c>
      <c r="K60" s="296" t="s">
        <v>162</v>
      </c>
    </row>
    <row r="61" spans="1:11" ht="14.4" customHeight="1" thickBot="1" x14ac:dyDescent="0.35">
      <c r="A61" s="303" t="s">
        <v>215</v>
      </c>
      <c r="B61" s="283">
        <v>0</v>
      </c>
      <c r="C61" s="283">
        <v>0.15090000000000001</v>
      </c>
      <c r="D61" s="284">
        <v>0.15090000000000001</v>
      </c>
      <c r="E61" s="293" t="s">
        <v>162</v>
      </c>
      <c r="F61" s="283">
        <v>0</v>
      </c>
      <c r="G61" s="284">
        <v>0</v>
      </c>
      <c r="H61" s="286">
        <v>0</v>
      </c>
      <c r="I61" s="283">
        <v>0.71</v>
      </c>
      <c r="J61" s="284">
        <v>0.71</v>
      </c>
      <c r="K61" s="296" t="s">
        <v>162</v>
      </c>
    </row>
    <row r="62" spans="1:11" ht="14.4" customHeight="1" thickBot="1" x14ac:dyDescent="0.35">
      <c r="A62" s="304" t="s">
        <v>216</v>
      </c>
      <c r="B62" s="288">
        <v>0</v>
      </c>
      <c r="C62" s="288">
        <v>0.15090000000000001</v>
      </c>
      <c r="D62" s="289">
        <v>0.15090000000000001</v>
      </c>
      <c r="E62" s="290" t="s">
        <v>162</v>
      </c>
      <c r="F62" s="288">
        <v>0</v>
      </c>
      <c r="G62" s="289">
        <v>0</v>
      </c>
      <c r="H62" s="291">
        <v>0</v>
      </c>
      <c r="I62" s="288">
        <v>0.11</v>
      </c>
      <c r="J62" s="289">
        <v>0.11</v>
      </c>
      <c r="K62" s="295" t="s">
        <v>162</v>
      </c>
    </row>
    <row r="63" spans="1:11" ht="14.4" customHeight="1" thickBot="1" x14ac:dyDescent="0.35">
      <c r="A63" s="305" t="s">
        <v>217</v>
      </c>
      <c r="B63" s="283">
        <v>0</v>
      </c>
      <c r="C63" s="283">
        <v>5.0900000000000001E-2</v>
      </c>
      <c r="D63" s="284">
        <v>5.0900000000000001E-2</v>
      </c>
      <c r="E63" s="293" t="s">
        <v>168</v>
      </c>
      <c r="F63" s="283">
        <v>0</v>
      </c>
      <c r="G63" s="284">
        <v>0</v>
      </c>
      <c r="H63" s="286">
        <v>0</v>
      </c>
      <c r="I63" s="283">
        <v>0</v>
      </c>
      <c r="J63" s="284">
        <v>0</v>
      </c>
      <c r="K63" s="296" t="s">
        <v>162</v>
      </c>
    </row>
    <row r="64" spans="1:11" ht="14.4" customHeight="1" thickBot="1" x14ac:dyDescent="0.35">
      <c r="A64" s="305" t="s">
        <v>218</v>
      </c>
      <c r="B64" s="283">
        <v>0</v>
      </c>
      <c r="C64" s="283">
        <v>0.1</v>
      </c>
      <c r="D64" s="284">
        <v>0.1</v>
      </c>
      <c r="E64" s="293" t="s">
        <v>162</v>
      </c>
      <c r="F64" s="283">
        <v>0</v>
      </c>
      <c r="G64" s="284">
        <v>0</v>
      </c>
      <c r="H64" s="286">
        <v>0</v>
      </c>
      <c r="I64" s="283">
        <v>0.11</v>
      </c>
      <c r="J64" s="284">
        <v>0.11</v>
      </c>
      <c r="K64" s="296" t="s">
        <v>162</v>
      </c>
    </row>
    <row r="65" spans="1:11" ht="14.4" customHeight="1" thickBot="1" x14ac:dyDescent="0.35">
      <c r="A65" s="307" t="s">
        <v>219</v>
      </c>
      <c r="B65" s="283">
        <v>0</v>
      </c>
      <c r="C65" s="283">
        <v>0</v>
      </c>
      <c r="D65" s="284">
        <v>0</v>
      </c>
      <c r="E65" s="285">
        <v>1</v>
      </c>
      <c r="F65" s="283">
        <v>0</v>
      </c>
      <c r="G65" s="284">
        <v>0</v>
      </c>
      <c r="H65" s="286">
        <v>0</v>
      </c>
      <c r="I65" s="283">
        <v>0.6</v>
      </c>
      <c r="J65" s="284">
        <v>0.6</v>
      </c>
      <c r="K65" s="296" t="s">
        <v>168</v>
      </c>
    </row>
    <row r="66" spans="1:11" ht="14.4" customHeight="1" thickBot="1" x14ac:dyDescent="0.35">
      <c r="A66" s="305" t="s">
        <v>220</v>
      </c>
      <c r="B66" s="283">
        <v>0</v>
      </c>
      <c r="C66" s="283">
        <v>0</v>
      </c>
      <c r="D66" s="284">
        <v>0</v>
      </c>
      <c r="E66" s="285">
        <v>1</v>
      </c>
      <c r="F66" s="283">
        <v>0</v>
      </c>
      <c r="G66" s="284">
        <v>0</v>
      </c>
      <c r="H66" s="286">
        <v>0</v>
      </c>
      <c r="I66" s="283">
        <v>0.6</v>
      </c>
      <c r="J66" s="284">
        <v>0.6</v>
      </c>
      <c r="K66" s="296" t="s">
        <v>168</v>
      </c>
    </row>
    <row r="67" spans="1:11" ht="14.4" customHeight="1" thickBot="1" x14ac:dyDescent="0.35">
      <c r="A67" s="302" t="s">
        <v>221</v>
      </c>
      <c r="B67" s="283">
        <v>16.99999946454</v>
      </c>
      <c r="C67" s="283">
        <v>16.86</v>
      </c>
      <c r="D67" s="284">
        <v>-0.13999946454000001</v>
      </c>
      <c r="E67" s="285">
        <v>0.99176473712000002</v>
      </c>
      <c r="F67" s="283">
        <v>17.000042408816</v>
      </c>
      <c r="G67" s="284">
        <v>8.5000212044080001</v>
      </c>
      <c r="H67" s="286">
        <v>1.405</v>
      </c>
      <c r="I67" s="283">
        <v>8.43</v>
      </c>
      <c r="J67" s="284">
        <v>-7.0021204407999998E-2</v>
      </c>
      <c r="K67" s="287">
        <v>0.49588111589799999</v>
      </c>
    </row>
    <row r="68" spans="1:11" ht="14.4" customHeight="1" thickBot="1" x14ac:dyDescent="0.35">
      <c r="A68" s="303" t="s">
        <v>222</v>
      </c>
      <c r="B68" s="283">
        <v>16.99999946454</v>
      </c>
      <c r="C68" s="283">
        <v>16.86</v>
      </c>
      <c r="D68" s="284">
        <v>-0.13999946454000001</v>
      </c>
      <c r="E68" s="285">
        <v>0.99176473712000002</v>
      </c>
      <c r="F68" s="283">
        <v>17.000042408816</v>
      </c>
      <c r="G68" s="284">
        <v>8.5000212044080001</v>
      </c>
      <c r="H68" s="286">
        <v>1.405</v>
      </c>
      <c r="I68" s="283">
        <v>8.43</v>
      </c>
      <c r="J68" s="284">
        <v>-7.0021204407999998E-2</v>
      </c>
      <c r="K68" s="287">
        <v>0.49588111589799999</v>
      </c>
    </row>
    <row r="69" spans="1:11" ht="14.4" customHeight="1" thickBot="1" x14ac:dyDescent="0.35">
      <c r="A69" s="304" t="s">
        <v>223</v>
      </c>
      <c r="B69" s="288">
        <v>16.99999946454</v>
      </c>
      <c r="C69" s="288">
        <v>16.86</v>
      </c>
      <c r="D69" s="289">
        <v>-0.13999946454000001</v>
      </c>
      <c r="E69" s="294">
        <v>0.99176473712000002</v>
      </c>
      <c r="F69" s="288">
        <v>17.000042408816</v>
      </c>
      <c r="G69" s="289">
        <v>8.5000212044080001</v>
      </c>
      <c r="H69" s="291">
        <v>1.405</v>
      </c>
      <c r="I69" s="288">
        <v>8.43</v>
      </c>
      <c r="J69" s="289">
        <v>-7.0021204407999998E-2</v>
      </c>
      <c r="K69" s="292">
        <v>0.49588111589799999</v>
      </c>
    </row>
    <row r="70" spans="1:11" ht="14.4" customHeight="1" thickBot="1" x14ac:dyDescent="0.35">
      <c r="A70" s="305" t="s">
        <v>224</v>
      </c>
      <c r="B70" s="283">
        <v>16.99999946454</v>
      </c>
      <c r="C70" s="283">
        <v>16.86</v>
      </c>
      <c r="D70" s="284">
        <v>-0.13999946454000001</v>
      </c>
      <c r="E70" s="285">
        <v>0.99176473712000002</v>
      </c>
      <c r="F70" s="283">
        <v>17.000042408816</v>
      </c>
      <c r="G70" s="284">
        <v>8.5000212044080001</v>
      </c>
      <c r="H70" s="286">
        <v>1.405</v>
      </c>
      <c r="I70" s="283">
        <v>8.43</v>
      </c>
      <c r="J70" s="284">
        <v>-7.0021204407999998E-2</v>
      </c>
      <c r="K70" s="287">
        <v>0.49588111589799999</v>
      </c>
    </row>
    <row r="71" spans="1:11" ht="14.4" customHeight="1" thickBot="1" x14ac:dyDescent="0.35">
      <c r="A71" s="301" t="s">
        <v>225</v>
      </c>
      <c r="B71" s="283">
        <v>10.231484933615</v>
      </c>
      <c r="C71" s="283">
        <v>4.96868</v>
      </c>
      <c r="D71" s="284">
        <v>-5.2628049336149996</v>
      </c>
      <c r="E71" s="285">
        <v>0.48562647868199998</v>
      </c>
      <c r="F71" s="283">
        <v>3.9967298604080002</v>
      </c>
      <c r="G71" s="284">
        <v>1.9983649302040001</v>
      </c>
      <c r="H71" s="286">
        <v>3.7190099999999999</v>
      </c>
      <c r="I71" s="283">
        <v>3.7190099999999999</v>
      </c>
      <c r="J71" s="284">
        <v>1.720645069795</v>
      </c>
      <c r="K71" s="287">
        <v>0.93051322703600003</v>
      </c>
    </row>
    <row r="72" spans="1:11" ht="14.4" customHeight="1" thickBot="1" x14ac:dyDescent="0.35">
      <c r="A72" s="302" t="s">
        <v>226</v>
      </c>
      <c r="B72" s="283">
        <v>10.231484933615</v>
      </c>
      <c r="C72" s="283">
        <v>4.96868</v>
      </c>
      <c r="D72" s="284">
        <v>-5.2628049336149996</v>
      </c>
      <c r="E72" s="285">
        <v>0.48562647868199998</v>
      </c>
      <c r="F72" s="283">
        <v>3.9967298604080002</v>
      </c>
      <c r="G72" s="284">
        <v>1.9983649302040001</v>
      </c>
      <c r="H72" s="286">
        <v>3.7190099999999999</v>
      </c>
      <c r="I72" s="283">
        <v>3.7190099999999999</v>
      </c>
      <c r="J72" s="284">
        <v>1.720645069795</v>
      </c>
      <c r="K72" s="287">
        <v>0.93051322703600003</v>
      </c>
    </row>
    <row r="73" spans="1:11" ht="14.4" customHeight="1" thickBot="1" x14ac:dyDescent="0.35">
      <c r="A73" s="308" t="s">
        <v>227</v>
      </c>
      <c r="B73" s="288">
        <v>10.231484933615</v>
      </c>
      <c r="C73" s="288">
        <v>4.96868</v>
      </c>
      <c r="D73" s="289">
        <v>-5.2628049336149996</v>
      </c>
      <c r="E73" s="294">
        <v>0.48562647868199998</v>
      </c>
      <c r="F73" s="288">
        <v>3.9967298604080002</v>
      </c>
      <c r="G73" s="289">
        <v>1.9983649302040001</v>
      </c>
      <c r="H73" s="291">
        <v>3.7190099999999999</v>
      </c>
      <c r="I73" s="288">
        <v>3.7190099999999999</v>
      </c>
      <c r="J73" s="289">
        <v>1.720645069795</v>
      </c>
      <c r="K73" s="292">
        <v>0.93051322703600003</v>
      </c>
    </row>
    <row r="74" spans="1:11" ht="14.4" customHeight="1" thickBot="1" x14ac:dyDescent="0.35">
      <c r="A74" s="304" t="s">
        <v>228</v>
      </c>
      <c r="B74" s="288">
        <v>0</v>
      </c>
      <c r="C74" s="288">
        <v>8.0000000000000007E-5</v>
      </c>
      <c r="D74" s="289">
        <v>8.0000000000000007E-5</v>
      </c>
      <c r="E74" s="290" t="s">
        <v>162</v>
      </c>
      <c r="F74" s="288">
        <v>0</v>
      </c>
      <c r="G74" s="289">
        <v>0</v>
      </c>
      <c r="H74" s="291">
        <v>6.0000000000000002E-5</v>
      </c>
      <c r="I74" s="288">
        <v>6.0000000000000002E-5</v>
      </c>
      <c r="J74" s="289">
        <v>6.0000000000000002E-5</v>
      </c>
      <c r="K74" s="295" t="s">
        <v>162</v>
      </c>
    </row>
    <row r="75" spans="1:11" ht="14.4" customHeight="1" thickBot="1" x14ac:dyDescent="0.35">
      <c r="A75" s="305" t="s">
        <v>229</v>
      </c>
      <c r="B75" s="283">
        <v>0</v>
      </c>
      <c r="C75" s="283">
        <v>8.0000000000000007E-5</v>
      </c>
      <c r="D75" s="284">
        <v>8.0000000000000007E-5</v>
      </c>
      <c r="E75" s="293" t="s">
        <v>162</v>
      </c>
      <c r="F75" s="283">
        <v>0</v>
      </c>
      <c r="G75" s="284">
        <v>0</v>
      </c>
      <c r="H75" s="286">
        <v>6.0000000000000002E-5</v>
      </c>
      <c r="I75" s="283">
        <v>6.0000000000000002E-5</v>
      </c>
      <c r="J75" s="284">
        <v>6.0000000000000002E-5</v>
      </c>
      <c r="K75" s="296" t="s">
        <v>162</v>
      </c>
    </row>
    <row r="76" spans="1:11" ht="14.4" customHeight="1" thickBot="1" x14ac:dyDescent="0.35">
      <c r="A76" s="304" t="s">
        <v>230</v>
      </c>
      <c r="B76" s="288">
        <v>10.231484933615</v>
      </c>
      <c r="C76" s="288">
        <v>4.9686000000000003</v>
      </c>
      <c r="D76" s="289">
        <v>-5.2628849336150001</v>
      </c>
      <c r="E76" s="294">
        <v>0.48561865968000001</v>
      </c>
      <c r="F76" s="288">
        <v>3.9967298604080002</v>
      </c>
      <c r="G76" s="289">
        <v>1.9983649302040001</v>
      </c>
      <c r="H76" s="291">
        <v>3.71895</v>
      </c>
      <c r="I76" s="288">
        <v>3.71895</v>
      </c>
      <c r="J76" s="289">
        <v>1.720585069795</v>
      </c>
      <c r="K76" s="292">
        <v>0.93049821476200001</v>
      </c>
    </row>
    <row r="77" spans="1:11" ht="14.4" customHeight="1" thickBot="1" x14ac:dyDescent="0.35">
      <c r="A77" s="305" t="s">
        <v>231</v>
      </c>
      <c r="B77" s="283">
        <v>0</v>
      </c>
      <c r="C77" s="283">
        <v>0.01</v>
      </c>
      <c r="D77" s="284">
        <v>0.01</v>
      </c>
      <c r="E77" s="293" t="s">
        <v>162</v>
      </c>
      <c r="F77" s="283">
        <v>9.9341064629999993E-3</v>
      </c>
      <c r="G77" s="284">
        <v>4.9670532310000003E-3</v>
      </c>
      <c r="H77" s="286">
        <v>0</v>
      </c>
      <c r="I77" s="283">
        <v>0</v>
      </c>
      <c r="J77" s="284">
        <v>-4.9670532310000003E-3</v>
      </c>
      <c r="K77" s="287">
        <v>0</v>
      </c>
    </row>
    <row r="78" spans="1:11" ht="14.4" customHeight="1" thickBot="1" x14ac:dyDescent="0.35">
      <c r="A78" s="305" t="s">
        <v>232</v>
      </c>
      <c r="B78" s="283">
        <v>10.231484933615</v>
      </c>
      <c r="C78" s="283">
        <v>4.9585999999999997</v>
      </c>
      <c r="D78" s="284">
        <v>-5.2728849336149999</v>
      </c>
      <c r="E78" s="285">
        <v>0.48464128444400001</v>
      </c>
      <c r="F78" s="283">
        <v>3.9867957539450001</v>
      </c>
      <c r="G78" s="284">
        <v>1.993397876972</v>
      </c>
      <c r="H78" s="286">
        <v>3.71895</v>
      </c>
      <c r="I78" s="283">
        <v>3.71895</v>
      </c>
      <c r="J78" s="284">
        <v>1.7255521230269999</v>
      </c>
      <c r="K78" s="287">
        <v>0.93281678559000003</v>
      </c>
    </row>
    <row r="79" spans="1:11" ht="14.4" customHeight="1" thickBot="1" x14ac:dyDescent="0.35">
      <c r="A79" s="301" t="s">
        <v>233</v>
      </c>
      <c r="B79" s="283">
        <v>598.83737160582905</v>
      </c>
      <c r="C79" s="283">
        <v>577.62096000000099</v>
      </c>
      <c r="D79" s="284">
        <v>-21.216411605828</v>
      </c>
      <c r="E79" s="285">
        <v>0.96457066206599995</v>
      </c>
      <c r="F79" s="283">
        <v>586.89130645282</v>
      </c>
      <c r="G79" s="284">
        <v>293.44565322641</v>
      </c>
      <c r="H79" s="286">
        <v>64.662009999999995</v>
      </c>
      <c r="I79" s="283">
        <v>281.18328000000002</v>
      </c>
      <c r="J79" s="284">
        <v>-12.262373226409</v>
      </c>
      <c r="K79" s="287">
        <v>0.47910622786200002</v>
      </c>
    </row>
    <row r="80" spans="1:11" ht="14.4" customHeight="1" thickBot="1" x14ac:dyDescent="0.35">
      <c r="A80" s="306" t="s">
        <v>234</v>
      </c>
      <c r="B80" s="288">
        <v>598.83737160582905</v>
      </c>
      <c r="C80" s="288">
        <v>577.62096000000099</v>
      </c>
      <c r="D80" s="289">
        <v>-21.216411605828</v>
      </c>
      <c r="E80" s="294">
        <v>0.96457066206599995</v>
      </c>
      <c r="F80" s="288">
        <v>586.89130645282</v>
      </c>
      <c r="G80" s="289">
        <v>293.44565322641</v>
      </c>
      <c r="H80" s="291">
        <v>64.662009999999995</v>
      </c>
      <c r="I80" s="288">
        <v>281.18328000000002</v>
      </c>
      <c r="J80" s="289">
        <v>-12.262373226409</v>
      </c>
      <c r="K80" s="292">
        <v>0.47910622786200002</v>
      </c>
    </row>
    <row r="81" spans="1:11" ht="14.4" customHeight="1" thickBot="1" x14ac:dyDescent="0.35">
      <c r="A81" s="308" t="s">
        <v>38</v>
      </c>
      <c r="B81" s="288">
        <v>598.83737160582905</v>
      </c>
      <c r="C81" s="288">
        <v>577.62096000000099</v>
      </c>
      <c r="D81" s="289">
        <v>-21.216411605828</v>
      </c>
      <c r="E81" s="294">
        <v>0.96457066206599995</v>
      </c>
      <c r="F81" s="288">
        <v>586.89130645282</v>
      </c>
      <c r="G81" s="289">
        <v>293.44565322641</v>
      </c>
      <c r="H81" s="291">
        <v>64.662009999999995</v>
      </c>
      <c r="I81" s="288">
        <v>281.18328000000002</v>
      </c>
      <c r="J81" s="289">
        <v>-12.262373226409</v>
      </c>
      <c r="K81" s="292">
        <v>0.47910622786200002</v>
      </c>
    </row>
    <row r="82" spans="1:11" ht="14.4" customHeight="1" thickBot="1" x14ac:dyDescent="0.35">
      <c r="A82" s="304" t="s">
        <v>235</v>
      </c>
      <c r="B82" s="288">
        <v>0</v>
      </c>
      <c r="C82" s="288">
        <v>0</v>
      </c>
      <c r="D82" s="289">
        <v>0</v>
      </c>
      <c r="E82" s="290" t="s">
        <v>162</v>
      </c>
      <c r="F82" s="288">
        <v>0.19230938355300001</v>
      </c>
      <c r="G82" s="289">
        <v>9.6154691776000001E-2</v>
      </c>
      <c r="H82" s="291">
        <v>0.73209999999999997</v>
      </c>
      <c r="I82" s="288">
        <v>0.80559999999999998</v>
      </c>
      <c r="J82" s="289">
        <v>0.709445308223</v>
      </c>
      <c r="K82" s="292">
        <v>4.1890831592059996</v>
      </c>
    </row>
    <row r="83" spans="1:11" ht="14.4" customHeight="1" thickBot="1" x14ac:dyDescent="0.35">
      <c r="A83" s="305" t="s">
        <v>236</v>
      </c>
      <c r="B83" s="283">
        <v>0</v>
      </c>
      <c r="C83" s="283">
        <v>0</v>
      </c>
      <c r="D83" s="284">
        <v>0</v>
      </c>
      <c r="E83" s="293" t="s">
        <v>162</v>
      </c>
      <c r="F83" s="283">
        <v>0</v>
      </c>
      <c r="G83" s="284">
        <v>0</v>
      </c>
      <c r="H83" s="286">
        <v>0.73209999999999997</v>
      </c>
      <c r="I83" s="283">
        <v>0.73209999999999997</v>
      </c>
      <c r="J83" s="284">
        <v>0.73209999999999997</v>
      </c>
      <c r="K83" s="296" t="s">
        <v>168</v>
      </c>
    </row>
    <row r="84" spans="1:11" ht="14.4" customHeight="1" thickBot="1" x14ac:dyDescent="0.35">
      <c r="A84" s="305" t="s">
        <v>237</v>
      </c>
      <c r="B84" s="283">
        <v>0</v>
      </c>
      <c r="C84" s="283">
        <v>0</v>
      </c>
      <c r="D84" s="284">
        <v>0</v>
      </c>
      <c r="E84" s="285">
        <v>1</v>
      </c>
      <c r="F84" s="283">
        <v>0.19230938355300001</v>
      </c>
      <c r="G84" s="284">
        <v>9.6154691776000001E-2</v>
      </c>
      <c r="H84" s="286">
        <v>0</v>
      </c>
      <c r="I84" s="283">
        <v>7.3499999999999996E-2</v>
      </c>
      <c r="J84" s="284">
        <v>-2.2654691776000001E-2</v>
      </c>
      <c r="K84" s="287">
        <v>0.38219663877999999</v>
      </c>
    </row>
    <row r="85" spans="1:11" ht="14.4" customHeight="1" thickBot="1" x14ac:dyDescent="0.35">
      <c r="A85" s="304" t="s">
        <v>238</v>
      </c>
      <c r="B85" s="288">
        <v>12.389070186610001</v>
      </c>
      <c r="C85" s="288">
        <v>11.81488</v>
      </c>
      <c r="D85" s="289">
        <v>-0.57419018660999999</v>
      </c>
      <c r="E85" s="294">
        <v>0.95365348827899998</v>
      </c>
      <c r="F85" s="288">
        <v>12.342802747026999</v>
      </c>
      <c r="G85" s="289">
        <v>6.1714013735130004</v>
      </c>
      <c r="H85" s="291">
        <v>0.88070000000000004</v>
      </c>
      <c r="I85" s="288">
        <v>6.3291000000000004</v>
      </c>
      <c r="J85" s="289">
        <v>0.157698626486</v>
      </c>
      <c r="K85" s="292">
        <v>0.51277656539700001</v>
      </c>
    </row>
    <row r="86" spans="1:11" ht="14.4" customHeight="1" thickBot="1" x14ac:dyDescent="0.35">
      <c r="A86" s="305" t="s">
        <v>239</v>
      </c>
      <c r="B86" s="283">
        <v>12.389070186610001</v>
      </c>
      <c r="C86" s="283">
        <v>11.81488</v>
      </c>
      <c r="D86" s="284">
        <v>-0.57419018660999999</v>
      </c>
      <c r="E86" s="285">
        <v>0.95365348827899998</v>
      </c>
      <c r="F86" s="283">
        <v>12.342802747026999</v>
      </c>
      <c r="G86" s="284">
        <v>6.1714013735130004</v>
      </c>
      <c r="H86" s="286">
        <v>0.88070000000000004</v>
      </c>
      <c r="I86" s="283">
        <v>6.3291000000000004</v>
      </c>
      <c r="J86" s="284">
        <v>0.157698626486</v>
      </c>
      <c r="K86" s="287">
        <v>0.51277656539700001</v>
      </c>
    </row>
    <row r="87" spans="1:11" ht="14.4" customHeight="1" thickBot="1" x14ac:dyDescent="0.35">
      <c r="A87" s="304" t="s">
        <v>240</v>
      </c>
      <c r="B87" s="288">
        <v>0</v>
      </c>
      <c r="C87" s="288">
        <v>0.28000000000000003</v>
      </c>
      <c r="D87" s="289">
        <v>0.28000000000000003</v>
      </c>
      <c r="E87" s="290" t="s">
        <v>162</v>
      </c>
      <c r="F87" s="288">
        <v>0</v>
      </c>
      <c r="G87" s="289">
        <v>0</v>
      </c>
      <c r="H87" s="291">
        <v>5.6000000000000001E-2</v>
      </c>
      <c r="I87" s="288">
        <v>5.6000000000000001E-2</v>
      </c>
      <c r="J87" s="289">
        <v>5.6000000000000001E-2</v>
      </c>
      <c r="K87" s="295" t="s">
        <v>168</v>
      </c>
    </row>
    <row r="88" spans="1:11" ht="14.4" customHeight="1" thickBot="1" x14ac:dyDescent="0.35">
      <c r="A88" s="305" t="s">
        <v>241</v>
      </c>
      <c r="B88" s="283">
        <v>0</v>
      </c>
      <c r="C88" s="283">
        <v>0.28000000000000003</v>
      </c>
      <c r="D88" s="284">
        <v>0.28000000000000003</v>
      </c>
      <c r="E88" s="293" t="s">
        <v>162</v>
      </c>
      <c r="F88" s="283">
        <v>0</v>
      </c>
      <c r="G88" s="284">
        <v>0</v>
      </c>
      <c r="H88" s="286">
        <v>5.6000000000000001E-2</v>
      </c>
      <c r="I88" s="283">
        <v>5.6000000000000001E-2</v>
      </c>
      <c r="J88" s="284">
        <v>5.6000000000000001E-2</v>
      </c>
      <c r="K88" s="296" t="s">
        <v>168</v>
      </c>
    </row>
    <row r="89" spans="1:11" ht="14.4" customHeight="1" thickBot="1" x14ac:dyDescent="0.35">
      <c r="A89" s="304" t="s">
        <v>242</v>
      </c>
      <c r="B89" s="288">
        <v>188</v>
      </c>
      <c r="C89" s="288">
        <v>171.4469</v>
      </c>
      <c r="D89" s="289">
        <v>-16.553099999998999</v>
      </c>
      <c r="E89" s="294">
        <v>0.91195159574399998</v>
      </c>
      <c r="F89" s="288">
        <v>179.992794733913</v>
      </c>
      <c r="G89" s="289">
        <v>89.996397366956003</v>
      </c>
      <c r="H89" s="291">
        <v>27.3689</v>
      </c>
      <c r="I89" s="288">
        <v>82.739859999999993</v>
      </c>
      <c r="J89" s="289">
        <v>-7.2565373669559996</v>
      </c>
      <c r="K89" s="292">
        <v>0.45968428970899999</v>
      </c>
    </row>
    <row r="90" spans="1:11" ht="14.4" customHeight="1" thickBot="1" x14ac:dyDescent="0.35">
      <c r="A90" s="305" t="s">
        <v>243</v>
      </c>
      <c r="B90" s="283">
        <v>188</v>
      </c>
      <c r="C90" s="283">
        <v>171.4469</v>
      </c>
      <c r="D90" s="284">
        <v>-16.553099999998999</v>
      </c>
      <c r="E90" s="285">
        <v>0.91195159574399998</v>
      </c>
      <c r="F90" s="283">
        <v>179.992794733913</v>
      </c>
      <c r="G90" s="284">
        <v>89.996397366956003</v>
      </c>
      <c r="H90" s="286">
        <v>27.3689</v>
      </c>
      <c r="I90" s="283">
        <v>82.739859999999993</v>
      </c>
      <c r="J90" s="284">
        <v>-7.2565373669559996</v>
      </c>
      <c r="K90" s="287">
        <v>0.45968428970899999</v>
      </c>
    </row>
    <row r="91" spans="1:11" ht="14.4" customHeight="1" thickBot="1" x14ac:dyDescent="0.35">
      <c r="A91" s="304" t="s">
        <v>244</v>
      </c>
      <c r="B91" s="288">
        <v>398.44830141921898</v>
      </c>
      <c r="C91" s="288">
        <v>394.07918000000001</v>
      </c>
      <c r="D91" s="289">
        <v>-4.3691214192179997</v>
      </c>
      <c r="E91" s="294">
        <v>0.98903465919199995</v>
      </c>
      <c r="F91" s="288">
        <v>394.36339958832599</v>
      </c>
      <c r="G91" s="289">
        <v>197.18169979416299</v>
      </c>
      <c r="H91" s="291">
        <v>35.624310000000001</v>
      </c>
      <c r="I91" s="288">
        <v>191.25272000000001</v>
      </c>
      <c r="J91" s="289">
        <v>-5.9289797941620002</v>
      </c>
      <c r="K91" s="292">
        <v>0.48496569458400002</v>
      </c>
    </row>
    <row r="92" spans="1:11" ht="14.4" customHeight="1" thickBot="1" x14ac:dyDescent="0.35">
      <c r="A92" s="305" t="s">
        <v>245</v>
      </c>
      <c r="B92" s="283">
        <v>398.44830141921898</v>
      </c>
      <c r="C92" s="283">
        <v>394.07918000000001</v>
      </c>
      <c r="D92" s="284">
        <v>-4.3691214192179997</v>
      </c>
      <c r="E92" s="285">
        <v>0.98903465919199995</v>
      </c>
      <c r="F92" s="283">
        <v>394.36339958832599</v>
      </c>
      <c r="G92" s="284">
        <v>197.18169979416299</v>
      </c>
      <c r="H92" s="286">
        <v>35.624310000000001</v>
      </c>
      <c r="I92" s="283">
        <v>191.25272000000001</v>
      </c>
      <c r="J92" s="284">
        <v>-5.9289797941620002</v>
      </c>
      <c r="K92" s="287">
        <v>0.48496569458400002</v>
      </c>
    </row>
    <row r="93" spans="1:11" ht="14.4" customHeight="1" thickBot="1" x14ac:dyDescent="0.35">
      <c r="A93" s="309"/>
      <c r="B93" s="283">
        <v>-4433.8789125816302</v>
      </c>
      <c r="C93" s="283">
        <v>-4526.55944</v>
      </c>
      <c r="D93" s="284">
        <v>-92.680527418371994</v>
      </c>
      <c r="E93" s="285">
        <v>1.0209028097620001</v>
      </c>
      <c r="F93" s="283">
        <v>-4550.7318893434203</v>
      </c>
      <c r="G93" s="284">
        <v>-2275.3659446717102</v>
      </c>
      <c r="H93" s="286">
        <v>-374.52692000000002</v>
      </c>
      <c r="I93" s="283">
        <v>-2196.1893599999999</v>
      </c>
      <c r="J93" s="284">
        <v>79.176584671708</v>
      </c>
      <c r="K93" s="287">
        <v>0.482601351475</v>
      </c>
    </row>
    <row r="94" spans="1:11" ht="14.4" customHeight="1" thickBot="1" x14ac:dyDescent="0.35">
      <c r="A94" s="310" t="s">
        <v>50</v>
      </c>
      <c r="B94" s="297">
        <v>-4433.8789125816302</v>
      </c>
      <c r="C94" s="297">
        <v>-4526.55944</v>
      </c>
      <c r="D94" s="298">
        <v>-92.680527418373003</v>
      </c>
      <c r="E94" s="299">
        <v>-1.50719552818</v>
      </c>
      <c r="F94" s="297">
        <v>-4550.7318893434203</v>
      </c>
      <c r="G94" s="298">
        <v>-2275.3659446717102</v>
      </c>
      <c r="H94" s="297">
        <v>-374.52692000000002</v>
      </c>
      <c r="I94" s="297">
        <v>-2196.1893599999999</v>
      </c>
      <c r="J94" s="298">
        <v>79.176584671708</v>
      </c>
      <c r="K94" s="300">
        <v>0.482601351475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2" t="s">
        <v>77</v>
      </c>
      <c r="B1" s="273"/>
      <c r="C1" s="273"/>
      <c r="D1" s="273"/>
      <c r="E1" s="273"/>
      <c r="F1" s="273"/>
      <c r="G1" s="244"/>
      <c r="H1" s="274"/>
      <c r="I1" s="274"/>
    </row>
    <row r="2" spans="1:10" ht="14.4" customHeight="1" thickBot="1" x14ac:dyDescent="0.35">
      <c r="A2" s="173" t="s">
        <v>161</v>
      </c>
      <c r="B2" s="161"/>
      <c r="C2" s="161"/>
      <c r="D2" s="161"/>
      <c r="E2" s="161"/>
      <c r="F2" s="161"/>
    </row>
    <row r="3" spans="1:10" ht="14.4" customHeight="1" thickBot="1" x14ac:dyDescent="0.35">
      <c r="A3" s="173"/>
      <c r="B3" s="161"/>
      <c r="C3" s="228">
        <v>2014</v>
      </c>
      <c r="D3" s="229">
        <v>2015</v>
      </c>
      <c r="E3" s="7"/>
      <c r="F3" s="267">
        <v>2016</v>
      </c>
      <c r="G3" s="268"/>
      <c r="H3" s="268"/>
      <c r="I3" s="269"/>
    </row>
    <row r="4" spans="1:10" ht="14.4" customHeight="1" thickBot="1" x14ac:dyDescent="0.35">
      <c r="A4" s="233" t="s">
        <v>0</v>
      </c>
      <c r="B4" s="234" t="s">
        <v>133</v>
      </c>
      <c r="C4" s="270" t="s">
        <v>55</v>
      </c>
      <c r="D4" s="271"/>
      <c r="E4" s="235"/>
      <c r="F4" s="230" t="s">
        <v>55</v>
      </c>
      <c r="G4" s="231" t="s">
        <v>56</v>
      </c>
      <c r="H4" s="231" t="s">
        <v>52</v>
      </c>
      <c r="I4" s="232" t="s">
        <v>57</v>
      </c>
    </row>
    <row r="5" spans="1:10" ht="14.4" customHeight="1" x14ac:dyDescent="0.3">
      <c r="A5" s="311" t="s">
        <v>246</v>
      </c>
      <c r="B5" s="312" t="s">
        <v>247</v>
      </c>
      <c r="C5" s="313" t="s">
        <v>248</v>
      </c>
      <c r="D5" s="313" t="s">
        <v>248</v>
      </c>
      <c r="E5" s="313"/>
      <c r="F5" s="313" t="s">
        <v>248</v>
      </c>
      <c r="G5" s="313" t="s">
        <v>248</v>
      </c>
      <c r="H5" s="313" t="s">
        <v>248</v>
      </c>
      <c r="I5" s="314" t="s">
        <v>248</v>
      </c>
      <c r="J5" s="315" t="s">
        <v>53</v>
      </c>
    </row>
    <row r="6" spans="1:10" ht="14.4" customHeight="1" x14ac:dyDescent="0.3">
      <c r="A6" s="311" t="s">
        <v>246</v>
      </c>
      <c r="B6" s="312" t="s">
        <v>169</v>
      </c>
      <c r="C6" s="313" t="s">
        <v>248</v>
      </c>
      <c r="D6" s="313">
        <v>8.2100000000000006E-2</v>
      </c>
      <c r="E6" s="313"/>
      <c r="F6" s="313">
        <v>4.863E-2</v>
      </c>
      <c r="G6" s="313">
        <v>0.12164001098150001</v>
      </c>
      <c r="H6" s="313">
        <v>-7.3010010981500006E-2</v>
      </c>
      <c r="I6" s="314">
        <v>0.39978621842936235</v>
      </c>
      <c r="J6" s="315" t="s">
        <v>1</v>
      </c>
    </row>
    <row r="7" spans="1:10" ht="14.4" customHeight="1" x14ac:dyDescent="0.3">
      <c r="A7" s="311" t="s">
        <v>246</v>
      </c>
      <c r="B7" s="312" t="s">
        <v>249</v>
      </c>
      <c r="C7" s="313" t="s">
        <v>248</v>
      </c>
      <c r="D7" s="313">
        <v>8.2100000000000006E-2</v>
      </c>
      <c r="E7" s="313"/>
      <c r="F7" s="313">
        <v>4.863E-2</v>
      </c>
      <c r="G7" s="313">
        <v>0.12164001098150001</v>
      </c>
      <c r="H7" s="313">
        <v>-7.3010010981500006E-2</v>
      </c>
      <c r="I7" s="314">
        <v>0.39978621842936235</v>
      </c>
      <c r="J7" s="315" t="s">
        <v>250</v>
      </c>
    </row>
    <row r="9" spans="1:10" ht="14.4" customHeight="1" x14ac:dyDescent="0.3">
      <c r="A9" s="311" t="s">
        <v>246</v>
      </c>
      <c r="B9" s="312" t="s">
        <v>247</v>
      </c>
      <c r="C9" s="313" t="s">
        <v>248</v>
      </c>
      <c r="D9" s="313" t="s">
        <v>248</v>
      </c>
      <c r="E9" s="313"/>
      <c r="F9" s="313" t="s">
        <v>248</v>
      </c>
      <c r="G9" s="313" t="s">
        <v>248</v>
      </c>
      <c r="H9" s="313" t="s">
        <v>248</v>
      </c>
      <c r="I9" s="314" t="s">
        <v>248</v>
      </c>
      <c r="J9" s="315" t="s">
        <v>53</v>
      </c>
    </row>
    <row r="10" spans="1:10" ht="14.4" customHeight="1" x14ac:dyDescent="0.3">
      <c r="A10" s="311" t="s">
        <v>251</v>
      </c>
      <c r="B10" s="312" t="s">
        <v>252</v>
      </c>
      <c r="C10" s="313" t="s">
        <v>248</v>
      </c>
      <c r="D10" s="313" t="s">
        <v>248</v>
      </c>
      <c r="E10" s="313"/>
      <c r="F10" s="313" t="s">
        <v>248</v>
      </c>
      <c r="G10" s="313" t="s">
        <v>248</v>
      </c>
      <c r="H10" s="313" t="s">
        <v>248</v>
      </c>
      <c r="I10" s="314" t="s">
        <v>248</v>
      </c>
      <c r="J10" s="315" t="s">
        <v>0</v>
      </c>
    </row>
    <row r="11" spans="1:10" ht="14.4" customHeight="1" x14ac:dyDescent="0.3">
      <c r="A11" s="311" t="s">
        <v>251</v>
      </c>
      <c r="B11" s="312" t="s">
        <v>169</v>
      </c>
      <c r="C11" s="313" t="s">
        <v>248</v>
      </c>
      <c r="D11" s="313">
        <v>8.2100000000000006E-2</v>
      </c>
      <c r="E11" s="313"/>
      <c r="F11" s="313">
        <v>4.863E-2</v>
      </c>
      <c r="G11" s="313">
        <v>0.12164001098150001</v>
      </c>
      <c r="H11" s="313">
        <v>-7.3010010981500006E-2</v>
      </c>
      <c r="I11" s="314">
        <v>0.39978621842936235</v>
      </c>
      <c r="J11" s="315" t="s">
        <v>1</v>
      </c>
    </row>
    <row r="12" spans="1:10" ht="14.4" customHeight="1" x14ac:dyDescent="0.3">
      <c r="A12" s="311" t="s">
        <v>251</v>
      </c>
      <c r="B12" s="312" t="s">
        <v>253</v>
      </c>
      <c r="C12" s="313" t="s">
        <v>248</v>
      </c>
      <c r="D12" s="313">
        <v>8.2100000000000006E-2</v>
      </c>
      <c r="E12" s="313"/>
      <c r="F12" s="313">
        <v>4.863E-2</v>
      </c>
      <c r="G12" s="313">
        <v>0.12164001098150001</v>
      </c>
      <c r="H12" s="313">
        <v>-7.3010010981500006E-2</v>
      </c>
      <c r="I12" s="314">
        <v>0.39978621842936235</v>
      </c>
      <c r="J12" s="315" t="s">
        <v>254</v>
      </c>
    </row>
    <row r="13" spans="1:10" ht="14.4" customHeight="1" x14ac:dyDescent="0.3">
      <c r="A13" s="311" t="s">
        <v>248</v>
      </c>
      <c r="B13" s="312" t="s">
        <v>248</v>
      </c>
      <c r="C13" s="313" t="s">
        <v>248</v>
      </c>
      <c r="D13" s="313" t="s">
        <v>248</v>
      </c>
      <c r="E13" s="313"/>
      <c r="F13" s="313" t="s">
        <v>248</v>
      </c>
      <c r="G13" s="313" t="s">
        <v>248</v>
      </c>
      <c r="H13" s="313" t="s">
        <v>248</v>
      </c>
      <c r="I13" s="314" t="s">
        <v>248</v>
      </c>
      <c r="J13" s="315" t="s">
        <v>255</v>
      </c>
    </row>
    <row r="14" spans="1:10" ht="14.4" customHeight="1" x14ac:dyDescent="0.3">
      <c r="A14" s="311" t="s">
        <v>246</v>
      </c>
      <c r="B14" s="312" t="s">
        <v>249</v>
      </c>
      <c r="C14" s="313" t="s">
        <v>248</v>
      </c>
      <c r="D14" s="313">
        <v>8.2100000000000006E-2</v>
      </c>
      <c r="E14" s="313"/>
      <c r="F14" s="313">
        <v>4.863E-2</v>
      </c>
      <c r="G14" s="313">
        <v>0.12164001098150001</v>
      </c>
      <c r="H14" s="313">
        <v>-7.3010010981500006E-2</v>
      </c>
      <c r="I14" s="314">
        <v>0.39978621842936235</v>
      </c>
      <c r="J14" s="315" t="s">
        <v>250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279" t="s">
        <v>93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14.4" customHeight="1" thickBot="1" x14ac:dyDescent="0.35">
      <c r="A2" s="173" t="s">
        <v>161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75"/>
      <c r="D3" s="276"/>
      <c r="E3" s="276"/>
      <c r="F3" s="276"/>
      <c r="G3" s="276"/>
      <c r="H3" s="276"/>
      <c r="I3" s="276"/>
      <c r="J3" s="277" t="s">
        <v>75</v>
      </c>
      <c r="K3" s="278"/>
      <c r="L3" s="71">
        <f>IF(M3&lt;&gt;0,N3/M3,0)</f>
        <v>48.630000000000024</v>
      </c>
      <c r="M3" s="71">
        <f>SUBTOTAL(9,M5:M1048576)</f>
        <v>1</v>
      </c>
      <c r="N3" s="72">
        <f>SUBTOTAL(9,N5:N1048576)</f>
        <v>48.630000000000024</v>
      </c>
    </row>
    <row r="4" spans="1:14" s="163" customFormat="1" ht="14.4" customHeight="1" thickBot="1" x14ac:dyDescent="0.35">
      <c r="A4" s="316" t="s">
        <v>3</v>
      </c>
      <c r="B4" s="317" t="s">
        <v>4</v>
      </c>
      <c r="C4" s="317" t="s">
        <v>0</v>
      </c>
      <c r="D4" s="317" t="s">
        <v>5</v>
      </c>
      <c r="E4" s="317" t="s">
        <v>6</v>
      </c>
      <c r="F4" s="317" t="s">
        <v>1</v>
      </c>
      <c r="G4" s="317" t="s">
        <v>7</v>
      </c>
      <c r="H4" s="317" t="s">
        <v>8</v>
      </c>
      <c r="I4" s="317" t="s">
        <v>9</v>
      </c>
      <c r="J4" s="318" t="s">
        <v>10</v>
      </c>
      <c r="K4" s="318" t="s">
        <v>11</v>
      </c>
      <c r="L4" s="319" t="s">
        <v>81</v>
      </c>
      <c r="M4" s="319" t="s">
        <v>12</v>
      </c>
      <c r="N4" s="320" t="s">
        <v>89</v>
      </c>
    </row>
    <row r="5" spans="1:14" ht="14.4" customHeight="1" thickBot="1" x14ac:dyDescent="0.35">
      <c r="A5" s="321" t="s">
        <v>246</v>
      </c>
      <c r="B5" s="322" t="s">
        <v>247</v>
      </c>
      <c r="C5" s="323" t="s">
        <v>251</v>
      </c>
      <c r="D5" s="324" t="s">
        <v>262</v>
      </c>
      <c r="E5" s="323" t="s">
        <v>256</v>
      </c>
      <c r="F5" s="324" t="s">
        <v>263</v>
      </c>
      <c r="G5" s="323" t="s">
        <v>257</v>
      </c>
      <c r="H5" s="323" t="s">
        <v>258</v>
      </c>
      <c r="I5" s="323" t="s">
        <v>259</v>
      </c>
      <c r="J5" s="323" t="s">
        <v>260</v>
      </c>
      <c r="K5" s="323" t="s">
        <v>261</v>
      </c>
      <c r="L5" s="325">
        <v>48.630000000000024</v>
      </c>
      <c r="M5" s="325">
        <v>1</v>
      </c>
      <c r="N5" s="326">
        <v>48.630000000000024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2" t="s">
        <v>78</v>
      </c>
      <c r="B1" s="273"/>
      <c r="C1" s="273"/>
      <c r="D1" s="273"/>
      <c r="E1" s="273"/>
      <c r="F1" s="273"/>
      <c r="G1" s="244"/>
      <c r="H1" s="274"/>
      <c r="I1" s="274"/>
    </row>
    <row r="2" spans="1:10" ht="14.4" customHeight="1" thickBot="1" x14ac:dyDescent="0.35">
      <c r="A2" s="173" t="s">
        <v>161</v>
      </c>
      <c r="B2" s="161"/>
      <c r="C2" s="161"/>
      <c r="D2" s="161"/>
      <c r="E2" s="161"/>
      <c r="F2" s="161"/>
    </row>
    <row r="3" spans="1:10" ht="14.4" customHeight="1" thickBot="1" x14ac:dyDescent="0.35">
      <c r="A3" s="173"/>
      <c r="B3" s="161"/>
      <c r="C3" s="228">
        <v>2014</v>
      </c>
      <c r="D3" s="229">
        <v>2015</v>
      </c>
      <c r="E3" s="7"/>
      <c r="F3" s="267">
        <v>2016</v>
      </c>
      <c r="G3" s="268"/>
      <c r="H3" s="268"/>
      <c r="I3" s="269"/>
    </row>
    <row r="4" spans="1:10" ht="14.4" customHeight="1" thickBot="1" x14ac:dyDescent="0.35">
      <c r="A4" s="233" t="s">
        <v>0</v>
      </c>
      <c r="B4" s="234" t="s">
        <v>133</v>
      </c>
      <c r="C4" s="270" t="s">
        <v>55</v>
      </c>
      <c r="D4" s="271"/>
      <c r="E4" s="235"/>
      <c r="F4" s="230" t="s">
        <v>55</v>
      </c>
      <c r="G4" s="231" t="s">
        <v>56</v>
      </c>
      <c r="H4" s="231" t="s">
        <v>52</v>
      </c>
      <c r="I4" s="232" t="s">
        <v>57</v>
      </c>
    </row>
    <row r="5" spans="1:10" ht="14.4" customHeight="1" x14ac:dyDescent="0.3">
      <c r="A5" s="311" t="s">
        <v>246</v>
      </c>
      <c r="B5" s="312" t="s">
        <v>247</v>
      </c>
      <c r="C5" s="313" t="s">
        <v>248</v>
      </c>
      <c r="D5" s="313" t="s">
        <v>248</v>
      </c>
      <c r="E5" s="313"/>
      <c r="F5" s="313" t="s">
        <v>248</v>
      </c>
      <c r="G5" s="313" t="s">
        <v>248</v>
      </c>
      <c r="H5" s="313" t="s">
        <v>248</v>
      </c>
      <c r="I5" s="314" t="s">
        <v>248</v>
      </c>
      <c r="J5" s="315" t="s">
        <v>53</v>
      </c>
    </row>
    <row r="6" spans="1:10" ht="14.4" customHeight="1" x14ac:dyDescent="0.3">
      <c r="A6" s="311" t="s">
        <v>246</v>
      </c>
      <c r="B6" s="312" t="s">
        <v>171</v>
      </c>
      <c r="C6" s="313" t="s">
        <v>248</v>
      </c>
      <c r="D6" s="313">
        <v>0.1699</v>
      </c>
      <c r="E6" s="313"/>
      <c r="F6" s="313">
        <v>1.0120000000000001E-2</v>
      </c>
      <c r="G6" s="313">
        <v>0.1314900118705</v>
      </c>
      <c r="H6" s="313">
        <v>-0.12137001187049999</v>
      </c>
      <c r="I6" s="314">
        <v>7.6964020734645922E-2</v>
      </c>
      <c r="J6" s="315" t="s">
        <v>1</v>
      </c>
    </row>
    <row r="7" spans="1:10" ht="14.4" customHeight="1" x14ac:dyDescent="0.3">
      <c r="A7" s="311" t="s">
        <v>246</v>
      </c>
      <c r="B7" s="312" t="s">
        <v>249</v>
      </c>
      <c r="C7" s="313" t="s">
        <v>248</v>
      </c>
      <c r="D7" s="313">
        <v>0.1699</v>
      </c>
      <c r="E7" s="313"/>
      <c r="F7" s="313">
        <v>1.0120000000000001E-2</v>
      </c>
      <c r="G7" s="313">
        <v>0.1314900118705</v>
      </c>
      <c r="H7" s="313">
        <v>-0.12137001187049999</v>
      </c>
      <c r="I7" s="314">
        <v>7.6964020734645922E-2</v>
      </c>
      <c r="J7" s="315" t="s">
        <v>250</v>
      </c>
    </row>
    <row r="9" spans="1:10" ht="14.4" customHeight="1" x14ac:dyDescent="0.3">
      <c r="A9" s="311" t="s">
        <v>246</v>
      </c>
      <c r="B9" s="312" t="s">
        <v>247</v>
      </c>
      <c r="C9" s="313" t="s">
        <v>248</v>
      </c>
      <c r="D9" s="313" t="s">
        <v>248</v>
      </c>
      <c r="E9" s="313"/>
      <c r="F9" s="313" t="s">
        <v>248</v>
      </c>
      <c r="G9" s="313" t="s">
        <v>248</v>
      </c>
      <c r="H9" s="313" t="s">
        <v>248</v>
      </c>
      <c r="I9" s="314" t="s">
        <v>248</v>
      </c>
      <c r="J9" s="315" t="s">
        <v>53</v>
      </c>
    </row>
    <row r="10" spans="1:10" ht="14.4" customHeight="1" x14ac:dyDescent="0.3">
      <c r="A10" s="311" t="s">
        <v>251</v>
      </c>
      <c r="B10" s="312" t="s">
        <v>252</v>
      </c>
      <c r="C10" s="313" t="s">
        <v>248</v>
      </c>
      <c r="D10" s="313" t="s">
        <v>248</v>
      </c>
      <c r="E10" s="313"/>
      <c r="F10" s="313" t="s">
        <v>248</v>
      </c>
      <c r="G10" s="313" t="s">
        <v>248</v>
      </c>
      <c r="H10" s="313" t="s">
        <v>248</v>
      </c>
      <c r="I10" s="314" t="s">
        <v>248</v>
      </c>
      <c r="J10" s="315" t="s">
        <v>0</v>
      </c>
    </row>
    <row r="11" spans="1:10" ht="14.4" customHeight="1" x14ac:dyDescent="0.3">
      <c r="A11" s="311" t="s">
        <v>251</v>
      </c>
      <c r="B11" s="312" t="s">
        <v>171</v>
      </c>
      <c r="C11" s="313" t="s">
        <v>248</v>
      </c>
      <c r="D11" s="313">
        <v>0.1699</v>
      </c>
      <c r="E11" s="313"/>
      <c r="F11" s="313">
        <v>1.0120000000000001E-2</v>
      </c>
      <c r="G11" s="313">
        <v>0.1314900118705</v>
      </c>
      <c r="H11" s="313">
        <v>-0.12137001187049999</v>
      </c>
      <c r="I11" s="314">
        <v>7.6964020734645922E-2</v>
      </c>
      <c r="J11" s="315" t="s">
        <v>1</v>
      </c>
    </row>
    <row r="12" spans="1:10" ht="14.4" customHeight="1" x14ac:dyDescent="0.3">
      <c r="A12" s="311" t="s">
        <v>251</v>
      </c>
      <c r="B12" s="312" t="s">
        <v>253</v>
      </c>
      <c r="C12" s="313" t="s">
        <v>248</v>
      </c>
      <c r="D12" s="313">
        <v>0.1699</v>
      </c>
      <c r="E12" s="313"/>
      <c r="F12" s="313">
        <v>1.0120000000000001E-2</v>
      </c>
      <c r="G12" s="313">
        <v>0.1314900118705</v>
      </c>
      <c r="H12" s="313">
        <v>-0.12137001187049999</v>
      </c>
      <c r="I12" s="314">
        <v>7.6964020734645922E-2</v>
      </c>
      <c r="J12" s="315" t="s">
        <v>254</v>
      </c>
    </row>
    <row r="13" spans="1:10" ht="14.4" customHeight="1" x14ac:dyDescent="0.3">
      <c r="A13" s="311" t="s">
        <v>248</v>
      </c>
      <c r="B13" s="312" t="s">
        <v>248</v>
      </c>
      <c r="C13" s="313" t="s">
        <v>248</v>
      </c>
      <c r="D13" s="313" t="s">
        <v>248</v>
      </c>
      <c r="E13" s="313"/>
      <c r="F13" s="313" t="s">
        <v>248</v>
      </c>
      <c r="G13" s="313" t="s">
        <v>248</v>
      </c>
      <c r="H13" s="313" t="s">
        <v>248</v>
      </c>
      <c r="I13" s="314" t="s">
        <v>248</v>
      </c>
      <c r="J13" s="315" t="s">
        <v>255</v>
      </c>
    </row>
    <row r="14" spans="1:10" ht="14.4" customHeight="1" x14ac:dyDescent="0.3">
      <c r="A14" s="311" t="s">
        <v>246</v>
      </c>
      <c r="B14" s="312" t="s">
        <v>249</v>
      </c>
      <c r="C14" s="313" t="s">
        <v>248</v>
      </c>
      <c r="D14" s="313">
        <v>0.1699</v>
      </c>
      <c r="E14" s="313"/>
      <c r="F14" s="313">
        <v>1.0120000000000001E-2</v>
      </c>
      <c r="G14" s="313">
        <v>0.1314900118705</v>
      </c>
      <c r="H14" s="313">
        <v>-0.12137001187049999</v>
      </c>
      <c r="I14" s="314">
        <v>7.6964020734645922E-2</v>
      </c>
      <c r="J14" s="315" t="s">
        <v>250</v>
      </c>
    </row>
  </sheetData>
  <mergeCells count="3">
    <mergeCell ref="A1:I1"/>
    <mergeCell ref="F3:I3"/>
    <mergeCell ref="C4:D4"/>
  </mergeCells>
  <conditionalFormatting sqref="F8 F15:F65537">
    <cfRule type="cellIs" dxfId="21" priority="18" stopIfTrue="1" operator="greaterThan">
      <formula>1</formula>
    </cfRule>
  </conditionalFormatting>
  <conditionalFormatting sqref="H5:H7">
    <cfRule type="expression" dxfId="20" priority="14">
      <formula>$H5&gt;0</formula>
    </cfRule>
  </conditionalFormatting>
  <conditionalFormatting sqref="I5:I7">
    <cfRule type="expression" dxfId="19" priority="15">
      <formula>$I5&gt;1</formula>
    </cfRule>
  </conditionalFormatting>
  <conditionalFormatting sqref="B5:B7">
    <cfRule type="expression" dxfId="18" priority="11">
      <formula>OR($J5="NS",$J5="SumaNS",$J5="Účet")</formula>
    </cfRule>
  </conditionalFormatting>
  <conditionalFormatting sqref="F5:I7 B5:D7">
    <cfRule type="expression" dxfId="17" priority="17">
      <formula>AND($J5&lt;&gt;"",$J5&lt;&gt;"mezeraKL")</formula>
    </cfRule>
  </conditionalFormatting>
  <conditionalFormatting sqref="B5:D7 F5:I7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5" priority="13">
      <formula>OR($J5="SumaNS",$J5="NS")</formula>
    </cfRule>
  </conditionalFormatting>
  <conditionalFormatting sqref="A5:A7">
    <cfRule type="expression" dxfId="14" priority="9">
      <formula>AND($J5&lt;&gt;"mezeraKL",$J5&lt;&gt;"")</formula>
    </cfRule>
  </conditionalFormatting>
  <conditionalFormatting sqref="A5:A7">
    <cfRule type="expression" dxfId="13" priority="10">
      <formula>AND($J5&lt;&gt;"",$J5&lt;&gt;"mezeraKL")</formula>
    </cfRule>
  </conditionalFormatting>
  <conditionalFormatting sqref="H9:H14">
    <cfRule type="expression" dxfId="12" priority="5">
      <formula>$H9&gt;0</formula>
    </cfRule>
  </conditionalFormatting>
  <conditionalFormatting sqref="A9:A14">
    <cfRule type="expression" dxfId="11" priority="2">
      <formula>AND($J9&lt;&gt;"mezeraKL",$J9&lt;&gt;"")</formula>
    </cfRule>
  </conditionalFormatting>
  <conditionalFormatting sqref="I9:I14">
    <cfRule type="expression" dxfId="10" priority="6">
      <formula>$I9&gt;1</formula>
    </cfRule>
  </conditionalFormatting>
  <conditionalFormatting sqref="B9:B14">
    <cfRule type="expression" dxfId="9" priority="1">
      <formula>OR($J9="NS",$J9="SumaNS",$J9="Účet")</formula>
    </cfRule>
  </conditionalFormatting>
  <conditionalFormatting sqref="A9:D14 F9:I14">
    <cfRule type="expression" dxfId="8" priority="8">
      <formula>AND($J9&lt;&gt;"",$J9&lt;&gt;"mezeraKL")</formula>
    </cfRule>
  </conditionalFormatting>
  <conditionalFormatting sqref="B9:D14 F9:I14">
    <cfRule type="expression" dxfId="7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6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79" t="s">
        <v>268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spans="1:11" ht="14.4" customHeight="1" thickBot="1" x14ac:dyDescent="0.35">
      <c r="A2" s="173" t="s">
        <v>161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75"/>
      <c r="D3" s="276"/>
      <c r="E3" s="276"/>
      <c r="F3" s="276"/>
      <c r="G3" s="276"/>
      <c r="H3" s="108" t="s">
        <v>75</v>
      </c>
      <c r="I3" s="71">
        <f>IF(J3&lt;&gt;0,K3/J3,0)</f>
        <v>10.119999999999999</v>
      </c>
      <c r="J3" s="71">
        <f>SUBTOTAL(9,J5:J1048576)</f>
        <v>1</v>
      </c>
      <c r="K3" s="72">
        <f>SUBTOTAL(9,K5:K1048576)</f>
        <v>10.119999999999999</v>
      </c>
    </row>
    <row r="4" spans="1:11" s="163" customFormat="1" ht="14.4" customHeight="1" thickBot="1" x14ac:dyDescent="0.35">
      <c r="A4" s="316" t="s">
        <v>3</v>
      </c>
      <c r="B4" s="317" t="s">
        <v>4</v>
      </c>
      <c r="C4" s="317" t="s">
        <v>0</v>
      </c>
      <c r="D4" s="317" t="s">
        <v>5</v>
      </c>
      <c r="E4" s="317" t="s">
        <v>6</v>
      </c>
      <c r="F4" s="317" t="s">
        <v>1</v>
      </c>
      <c r="G4" s="317" t="s">
        <v>54</v>
      </c>
      <c r="H4" s="318" t="s">
        <v>10</v>
      </c>
      <c r="I4" s="319" t="s">
        <v>81</v>
      </c>
      <c r="J4" s="319" t="s">
        <v>12</v>
      </c>
      <c r="K4" s="320" t="s">
        <v>89</v>
      </c>
    </row>
    <row r="5" spans="1:11" ht="14.4" customHeight="1" thickBot="1" x14ac:dyDescent="0.35">
      <c r="A5" s="321" t="s">
        <v>246</v>
      </c>
      <c r="B5" s="322" t="s">
        <v>247</v>
      </c>
      <c r="C5" s="323" t="s">
        <v>251</v>
      </c>
      <c r="D5" s="324" t="s">
        <v>262</v>
      </c>
      <c r="E5" s="323" t="s">
        <v>266</v>
      </c>
      <c r="F5" s="324" t="s">
        <v>267</v>
      </c>
      <c r="G5" s="323" t="s">
        <v>264</v>
      </c>
      <c r="H5" s="323" t="s">
        <v>265</v>
      </c>
      <c r="I5" s="325">
        <v>10.119999999999999</v>
      </c>
      <c r="J5" s="325">
        <v>1</v>
      </c>
      <c r="K5" s="326">
        <v>10.119999999999999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2016-07-27T14:25:35Z</dcterms:modified>
</cp:coreProperties>
</file>