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7" i="41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D22" i="419"/>
  <c r="C22" i="419"/>
  <c r="M3" i="418"/>
  <c r="B21" i="419" l="1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C15" i="414"/>
  <c r="D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6" i="414"/>
  <c r="C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<sst xmlns="http://schemas.openxmlformats.org/spreadsheetml/2006/main" count="534" uniqueCount="279">
  <si>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</si>
  <si>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</si>
  <si>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</si>
  <si>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</si>
  <si>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</si>
  <si>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</si>
  <si>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</si>
  <si>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</si>
  <si>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</si>
  <si>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</si>
  <si>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</si>
  <si>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</si>
  <si>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</si>
  <si>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</si>
  <si>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</si>
  <si>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</si>
  <si>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</si>
  <si>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</si>
  <si>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</si>
  <si>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</si>
  <si>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</si>
  <si>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</si>
  <si>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</si>
  <si>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</si>
  <si>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</si>
  <si>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</si>
  <si>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</si>
  <si>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</si>
  <si>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</si>
  <si>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</si>
  <si>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</si>
  <si>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</si>
  <si>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</si>
  <si>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</si>
  <si>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</si>
  <si>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</si>
  <si>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</si>
  <si>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</si>
  <si>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</si>
  <si>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</si>
  <si>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</si>
  <si>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</si>
  <si>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</si>
  <si>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</si>
  <si>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</si>
  <si>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</si>
  <si>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</si>
  <si>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</si>
  <si>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</si>
  <si>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</si>
  <si>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</si>
  <si>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</si>
  <si>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</si>
  <si>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</si>
  <si>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</si>
  <si>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</si>
  <si>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</si>
  <si>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</si>
  <si>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</si>
  <si>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</si>
  <si>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</si>
  <si>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</si>
  <si>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</si>
  <si>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</si>
  <si>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</si>
  <si>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</si>
  <si>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</si>
  <si>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</si>
  <si>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</si>
  <si>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</si>
  <si>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</si>
  <si>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</si>
  <si>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</si>
  <si>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</si>
  <si>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</si>
  <si>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</si>
  <si>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</si>
  <si>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</si>
  <si>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</si>
  <si>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</si>
  <si>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</si>
  <si>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</si>
  <si>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</si>
  <si>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</si>
  <si>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</si>
  <si>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</si>
  <si>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</si>
  <si>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</si>
  <si>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</si>
  <si>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</si>
  <si>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</si>
  <si>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</si>
  <si>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</si>
  <si>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</si>
  <si>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</si>
  <si>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</si>
  <si>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</si>
  <si>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</si>
  <si>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</si>
  <si>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</si>
  <si>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</si>
  <si>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</si>
  <si>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</si>
  <si>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</si>
  <si>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</si>
  <si>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</si>
  <si>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</si>
  <si>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</si>
  <si>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</si>
  <si>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</si>
  <si>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</si>
  <si>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</si>
  <si>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</si>
  <si>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</si>
  <si>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</si>
  <si>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</si>
  <si>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</si>
  <si>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</si>
  <si>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</si>
  <si>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</si>
  <si>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</si>
  <si>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</si>
  <si>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</si>
  <si>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</si>
  <si>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</si>
  <si>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</si>
  <si>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</si>
  <si>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</si>
  <si>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</si>
  <si>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</si>
  <si>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</si>
  <si>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</si>
  <si>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zdravotně - sociální pracovníci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</si>
  <si>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</si>
  <si>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</si>
  <si>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</si>
  <si>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</si>
  <si>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</si>
  <si>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</si>
  <si>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</si>
  <si>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</si>
  <si>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</si>
  <si>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</si>
  <si>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</si>
  <si>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</si>
  <si>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</si>
  <si>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</si>
  <si>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</si>
  <si>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</si>
  <si>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</si>
  <si>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</si>
  <si>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</si>
  <si>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</si>
  <si>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</si>
  <si>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</si>
  <si>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</si>
  <si>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</si>
  <si>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</si>
  <si>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</si>
  <si>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</si>
  <si>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</si>
  <si>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</si>
  <si>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</si>
  <si>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</si>
  <si>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</si>
  <si>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</si>
  <si>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</si>
  <si>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</si>
  <si>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</si>
  <si>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</si>
  <si>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</si>
  <si>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</si>
  <si>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</si>
  <si>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</si>
  <si>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</si>
  <si>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</si>
  <si>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</si>
  <si>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</si>
  <si>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</si>
  <si>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</si>
  <si>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</si>
  <si>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</si>
  <si>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</si>
  <si>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</si>
  <si>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</si>
  <si>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</si>
  <si>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</si>
  <si>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</si>
  <si>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</si>
  <si>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</si>
  <si>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</si>
  <si>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</si>
  <si>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</si>
  <si>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</si>
  <si>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</si>
  <si>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</si>
  <si>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</si>
  <si>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</si>
  <si>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</si>
  <si>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</si>
  <si>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</si>
  <si>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</si>
  <si>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</si>
  <si>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</si>
  <si>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</si>
  <si>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</si>
  <si>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</si>
  <si>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</si>
  <si>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</si>
  <si>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</si>
  <si>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</si>
  <si>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</si>
  <si>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</si>
  <si>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</si>
  <si>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</si>
  <si>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</si>
  <si>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</si>
  <si>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</si>
  <si>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</si>
  <si>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</si>
  <si>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</si>
  <si>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</si>
  <si>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</si>
  <si>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</si>
  <si>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</si>
  <si>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</si>
  <si>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</si>
  <si>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</si>
  <si>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</si>
  <si>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</si>
  <si>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</si>
  <si>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</si>
  <si>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</si>
  <si>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</si>
  <si>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</si>
  <si>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</si>
  <si>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</si>
  <si>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</si>
  <si>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</si>
  <si>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</si>
  <si>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</si>
  <si>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</si>
  <si>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</si>
  <si>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</si>
  <si>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</si>
  <si>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</si>
  <si>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</si>
  <si>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</si>
  <si>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</si>
  <si>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</si>
  <si>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</si>
  <si>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</si>
  <si>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</si>
  <si>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</si>
  <si>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</si>
  <si>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</si>
  <si>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</si>
  <si>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</si>
  <si>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</si>
  <si>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</si>
  <si>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</si>
  <si>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</si>
  <si>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</si>
  <si>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131963</t>
  </si>
  <si>
    <t>31963</t>
  </si>
  <si>
    <t>CARBOTOX</t>
  </si>
  <si>
    <t>TBL 20 - BLISTR</t>
  </si>
  <si>
    <t>501596</t>
  </si>
  <si>
    <t>0</t>
  </si>
  <si>
    <t>ECOLAV Výplach očí 100ml</t>
  </si>
  <si>
    <t>100 ml</t>
  </si>
  <si>
    <t>SOC: sociální oddělení</t>
  </si>
  <si>
    <t>Lékárna - léčiva</t>
  </si>
  <si>
    <t>ZA443</t>
  </si>
  <si>
    <t>Šátek trojcípý pletený 125 x 85 x 85 cm 20001</t>
  </si>
  <si>
    <t>50115050</t>
  </si>
  <si>
    <t>502 SZM obvazový (112 02 040)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</si>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</sst>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5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3" fillId="2" borderId="72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3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0" borderId="71" xfId="0" applyNumberFormat="1" applyFont="1" applyBorder="1"/>
    <xf numFmtId="173" fontId="32" fillId="0" borderId="58" xfId="0" applyNumberFormat="1" applyFont="1" applyBorder="1"/>
    <xf numFmtId="173" fontId="32" fillId="0" borderId="59" xfId="0" applyNumberFormat="1" applyFont="1" applyBorder="1"/>
    <xf numFmtId="173" fontId="39" fillId="2" borderId="73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1" xfId="0" applyNumberFormat="1" applyFont="1" applyBorder="1"/>
    <xf numFmtId="173" fontId="32" fillId="0" borderId="55" xfId="0" applyNumberFormat="1" applyFont="1" applyBorder="1"/>
    <xf numFmtId="173" fontId="32" fillId="0" borderId="56" xfId="0" applyNumberFormat="1" applyFont="1" applyBorder="1"/>
    <xf numFmtId="174" fontId="39" fillId="2" borderId="61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78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4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8" xfId="80" applyFont="1" applyFill="1" applyBorder="1" applyAlignment="1">
      <alignment horizontal="center"/>
    </xf>
    <xf numFmtId="0" fontId="31" fillId="2" borderId="76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0" xfId="0" applyNumberFormat="1" applyFont="1" applyFill="1" applyBorder="1" applyAlignment="1">
      <alignment horizontal="right" vertical="top"/>
    </xf>
    <xf numFmtId="3" fontId="33" fillId="9" borderId="81" xfId="0" applyNumberFormat="1" applyFont="1" applyFill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3" fillId="0" borderId="80" xfId="0" applyNumberFormat="1" applyFont="1" applyBorder="1" applyAlignment="1">
      <alignment horizontal="right" vertical="top"/>
    </xf>
    <xf numFmtId="176" fontId="33" fillId="9" borderId="83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3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3" fontId="35" fillId="0" borderId="85" xfId="0" applyNumberFormat="1" applyFont="1" applyBorder="1" applyAlignment="1">
      <alignment horizontal="right" vertical="top"/>
    </xf>
    <xf numFmtId="176" fontId="35" fillId="9" borderId="88" xfId="0" applyNumberFormat="1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0" fontId="33" fillId="9" borderId="83" xfId="0" applyFont="1" applyFill="1" applyBorder="1" applyAlignment="1">
      <alignment horizontal="right" vertical="top"/>
    </xf>
    <xf numFmtId="0" fontId="35" fillId="9" borderId="88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7" fillId="10" borderId="79" xfId="0" applyFont="1" applyFill="1" applyBorder="1" applyAlignment="1">
      <alignment vertical="top"/>
    </xf>
    <xf numFmtId="0" fontId="37" fillId="10" borderId="79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4"/>
    </xf>
    <xf numFmtId="0" fontId="38" fillId="10" borderId="84" xfId="0" applyFont="1" applyFill="1" applyBorder="1" applyAlignment="1">
      <alignment vertical="top" indent="6"/>
    </xf>
    <xf numFmtId="0" fontId="37" fillId="10" borderId="79" xfId="0" applyFont="1" applyFill="1" applyBorder="1" applyAlignment="1">
      <alignment vertical="top" indent="8"/>
    </xf>
    <xf numFmtId="0" fontId="38" fillId="10" borderId="84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6"/>
    </xf>
    <xf numFmtId="0" fontId="38" fillId="10" borderId="84" xfId="0" applyFont="1" applyFill="1" applyBorder="1" applyAlignment="1">
      <alignment vertical="top" indent="4"/>
    </xf>
    <xf numFmtId="0" fontId="32" fillId="10" borderId="79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3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17" xfId="0" applyFont="1" applyFill="1" applyBorder="1"/>
    <xf numFmtId="0" fontId="32" fillId="0" borderId="25" xfId="0" applyFont="1" applyFill="1" applyBorder="1"/>
    <xf numFmtId="164" fontId="32" fillId="0" borderId="25" xfId="0" applyNumberFormat="1" applyFont="1" applyFill="1" applyBorder="1"/>
    <xf numFmtId="164" fontId="32" fillId="0" borderId="25" xfId="0" applyNumberFormat="1" applyFont="1" applyFill="1" applyBorder="1" applyAlignment="1">
      <alignment horizontal="right"/>
    </xf>
    <xf numFmtId="3" fontId="32" fillId="0" borderId="25" xfId="0" applyNumberFormat="1" applyFont="1" applyFill="1" applyBorder="1"/>
    <xf numFmtId="3" fontId="32" fillId="0" borderId="18" xfId="0" applyNumberFormat="1" applyFont="1" applyFill="1" applyBorder="1"/>
    <xf numFmtId="0" fontId="0" fillId="0" borderId="95" xfId="0" applyBorder="1" applyAlignment="1">
      <alignment horizontal="center"/>
    </xf>
    <xf numFmtId="173" fontId="39" fillId="4" borderId="96" xfId="0" applyNumberFormat="1" applyFont="1" applyFill="1" applyBorder="1" applyAlignment="1">
      <alignment horizontal="center"/>
    </xf>
    <xf numFmtId="0" fontId="0" fillId="0" borderId="97" xfId="0" applyBorder="1"/>
    <xf numFmtId="0" fontId="0" fillId="0" borderId="98" xfId="0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0" fontId="0" fillId="0" borderId="98" xfId="0" applyBorder="1" applyAlignment="1">
      <alignment horizontal="right" wrapText="1"/>
    </xf>
    <xf numFmtId="175" fontId="32" fillId="0" borderId="99" xfId="0" applyNumberFormat="1" applyFont="1" applyBorder="1" applyAlignment="1">
      <alignment horizontal="right"/>
    </xf>
    <xf numFmtId="0" fontId="0" fillId="0" borderId="100" xfId="0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0" fillId="0" borderId="103" xfId="0" applyBorder="1"/>
    <xf numFmtId="0" fontId="0" fillId="0" borderId="102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3" fontId="32" fillId="0" borderId="62" xfId="0" applyNumberFormat="1" applyFont="1" applyBorder="1" applyAlignment="1">
      <alignment horizontal="right" wrapText="1"/>
    </xf>
    <xf numFmtId="175" fontId="32" fillId="0" borderId="62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3" t="s">
        <v>63</v>
      </c>
      <c r="B1" s="243"/>
    </row>
    <row r="2" spans="1:3" ht="14.4" customHeight="1" thickBot="1" x14ac:dyDescent="0.35">
      <c r="A2" s="173" t="s">
        <v>161</v>
      </c>
      <c r="B2" s="41"/>
    </row>
    <row r="3" spans="1:3" ht="14.4" customHeight="1" thickBot="1" x14ac:dyDescent="0.35">
      <c r="A3" s="239" t="s">
        <v>79</v>
      </c>
      <c r="B3" s="240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163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1" t="s">
        <v>64</v>
      </c>
      <c r="B9" s="240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277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2" t="s">
        <v>65</v>
      </c>
      <c r="B16" s="240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</cols>
  <sheetData>
    <row r="1" spans="1:46" ht="18.600000000000001" thickBot="1" x14ac:dyDescent="0.4">
      <c r="A1" s="282" t="s">
        <v>61</v>
      </c>
      <c r="B1" s="274"/>
      <c r="C1" s="274"/>
      <c r="D1" s="274"/>
      <c r="E1" s="274"/>
    </row>
    <row r="2" spans="1:46" ht="15" thickBot="1" x14ac:dyDescent="0.35">
      <c r="A2" s="173" t="s">
        <v>161</v>
      </c>
      <c r="B2" s="174"/>
      <c r="C2" s="174"/>
      <c r="D2" s="174"/>
    </row>
    <row r="3" spans="1:46" x14ac:dyDescent="0.3">
      <c r="A3" s="190" t="s">
        <v>124</v>
      </c>
      <c r="B3" s="280" t="s">
        <v>108</v>
      </c>
      <c r="C3" s="193">
        <v>302</v>
      </c>
      <c r="D3" s="193">
        <v>410</v>
      </c>
      <c r="E3" s="175">
        <v>930</v>
      </c>
      <c r="AT3" s="349"/>
    </row>
    <row r="4" spans="1:46" ht="36.6" outlineLevel="1" thickBot="1" x14ac:dyDescent="0.35">
      <c r="A4" s="191">
        <v>2016</v>
      </c>
      <c r="B4" s="281"/>
      <c r="C4" s="194" t="s">
        <v>136</v>
      </c>
      <c r="D4" s="194" t="s">
        <v>132</v>
      </c>
      <c r="E4" s="176" t="s">
        <v>126</v>
      </c>
      <c r="AT4" s="349"/>
    </row>
    <row r="5" spans="1:46" x14ac:dyDescent="0.3">
      <c r="A5" s="177" t="s">
        <v>109</v>
      </c>
      <c r="B5" s="213"/>
      <c r="C5" s="214"/>
      <c r="D5" s="214"/>
      <c r="E5" s="215"/>
      <c r="AT5" s="349"/>
    </row>
    <row r="6" spans="1:46" ht="15" collapsed="1" thickBot="1" x14ac:dyDescent="0.35">
      <c r="A6" s="178" t="s">
        <v>55</v>
      </c>
      <c r="B6" s="216">
        <f xml:space="preserve">
TRUNC(IF($A$4&lt;=12,SUMIFS('ON Data'!F:F,'ON Data'!$D:$D,$A$4,'ON Data'!$E:$E,1),SUMIFS('ON Data'!F:F,'ON Data'!$E:$E,1)/'ON Data'!$D$3),1)</f>
        <v>7</v>
      </c>
      <c r="C6" s="217">
        <f xml:space="preserve">
TRUNC(IF($A$4&lt;=12,SUMIFS('ON Data'!O:O,'ON Data'!$D:$D,$A$4,'ON Data'!$E:$E,1),SUMIFS('ON Data'!O:O,'ON Data'!$E:$E,1)/'ON Data'!$D$3),1)</f>
        <v>0</v>
      </c>
      <c r="D6" s="217">
        <f xml:space="preserve">
TRUNC(IF($A$4&lt;=12,SUMIFS('ON Data'!W:W,'ON Data'!$D:$D,$A$4,'ON Data'!$E:$E,1),SUMIFS('ON Data'!W:W,'ON Data'!$E:$E,1)/'ON Data'!$D$3),1)</f>
        <v>7</v>
      </c>
      <c r="E6" s="218">
        <f xml:space="preserve">
TRUNC(IF($A$4&lt;=12,SUMIFS('ON Data'!AW:AW,'ON Data'!$D:$D,$A$4,'ON Data'!$E:$E,1),SUMIFS('ON Data'!AW:AW,'ON Data'!$E:$E,1)/'ON Data'!$D$3),1)</f>
        <v>0</v>
      </c>
      <c r="AT6" s="349"/>
    </row>
    <row r="7" spans="1:46" ht="15" hidden="1" outlineLevel="1" thickBot="1" x14ac:dyDescent="0.35">
      <c r="A7" s="178" t="s">
        <v>62</v>
      </c>
      <c r="B7" s="216"/>
      <c r="C7" s="217"/>
      <c r="D7" s="217"/>
      <c r="E7" s="218"/>
      <c r="AT7" s="349"/>
    </row>
    <row r="8" spans="1:46" ht="15" hidden="1" outlineLevel="1" thickBot="1" x14ac:dyDescent="0.35">
      <c r="A8" s="178" t="s">
        <v>57</v>
      </c>
      <c r="B8" s="216"/>
      <c r="C8" s="217"/>
      <c r="D8" s="217"/>
      <c r="E8" s="218"/>
      <c r="AT8" s="349"/>
    </row>
    <row r="9" spans="1:46" ht="15" hidden="1" outlineLevel="1" thickBot="1" x14ac:dyDescent="0.35">
      <c r="A9" s="179" t="s">
        <v>52</v>
      </c>
      <c r="B9" s="219"/>
      <c r="C9" s="220"/>
      <c r="D9" s="220"/>
      <c r="E9" s="221"/>
      <c r="AT9" s="349"/>
    </row>
    <row r="10" spans="1:46" x14ac:dyDescent="0.3">
      <c r="A10" s="180" t="s">
        <v>110</v>
      </c>
      <c r="B10" s="195"/>
      <c r="C10" s="196"/>
      <c r="D10" s="196"/>
      <c r="E10" s="197"/>
      <c r="AT10" s="349"/>
    </row>
    <row r="11" spans="1:46" x14ac:dyDescent="0.3">
      <c r="A11" s="181" t="s">
        <v>111</v>
      </c>
      <c r="B11" s="198">
        <f xml:space="preserve">
IF($A$4&lt;=12,SUMIFS('ON Data'!F:F,'ON Data'!$D:$D,$A$4,'ON Data'!$E:$E,2),SUMIFS('ON Data'!F:F,'ON Data'!$E:$E,2))</f>
        <v>12780</v>
      </c>
      <c r="C11" s="199">
        <f xml:space="preserve">
IF($A$4&lt;=12,SUMIFS('ON Data'!O:O,'ON Data'!$D:$D,$A$4,'ON Data'!$E:$E,2),SUMIFS('ON Data'!O:O,'ON Data'!$E:$E,2))</f>
        <v>0</v>
      </c>
      <c r="D11" s="199">
        <f xml:space="preserve">
IF($A$4&lt;=12,SUMIFS('ON Data'!W:W,'ON Data'!$D:$D,$A$4,'ON Data'!$E:$E,2),SUMIFS('ON Data'!W:W,'ON Data'!$E:$E,2))</f>
        <v>12780</v>
      </c>
      <c r="E11" s="200">
        <f xml:space="preserve">
IF($A$4&lt;=12,SUMIFS('ON Data'!AW:AW,'ON Data'!$D:$D,$A$4,'ON Data'!$E:$E,2),SUMIFS('ON Data'!AW:AW,'ON Data'!$E:$E,2))</f>
        <v>0</v>
      </c>
      <c r="AT11" s="349"/>
    </row>
    <row r="12" spans="1:46" x14ac:dyDescent="0.3">
      <c r="A12" s="181" t="s">
        <v>112</v>
      </c>
      <c r="B12" s="198">
        <f xml:space="preserve">
IF($A$4&lt;=12,SUMIFS('ON Data'!F:F,'ON Data'!$D:$D,$A$4,'ON Data'!$E:$E,3),SUMIFS('ON Data'!F:F,'ON Data'!$E:$E,3))</f>
        <v>0</v>
      </c>
      <c r="C12" s="199">
        <f xml:space="preserve">
IF($A$4&lt;=12,SUMIFS('ON Data'!O:O,'ON Data'!$D:$D,$A$4,'ON Data'!$E:$E,3),SUMIFS('ON Data'!O:O,'ON Data'!$E:$E,3))</f>
        <v>0</v>
      </c>
      <c r="D12" s="199">
        <f xml:space="preserve">
IF($A$4&lt;=12,SUMIFS('ON Data'!W:W,'ON Data'!$D:$D,$A$4,'ON Data'!$E:$E,3),SUMIFS('ON Data'!W:W,'ON Data'!$E:$E,3))</f>
        <v>0</v>
      </c>
      <c r="E12" s="200">
        <f xml:space="preserve">
IF($A$4&lt;=12,SUMIFS('ON Data'!AW:AW,'ON Data'!$D:$D,$A$4,'ON Data'!$E:$E,3),SUMIFS('ON Data'!AW:AW,'ON Data'!$E:$E,3))</f>
        <v>0</v>
      </c>
      <c r="AT12" s="349"/>
    </row>
    <row r="13" spans="1:46" x14ac:dyDescent="0.3">
      <c r="A13" s="181" t="s">
        <v>119</v>
      </c>
      <c r="B13" s="198">
        <f xml:space="preserve">
IF($A$4&lt;=12,SUMIFS('ON Data'!F:F,'ON Data'!$D:$D,$A$4,'ON Data'!$E:$E,4),SUMIFS('ON Data'!F:F,'ON Data'!$E:$E,4))</f>
        <v>4</v>
      </c>
      <c r="C13" s="199">
        <f xml:space="preserve">
IF($A$4&lt;=12,SUMIFS('ON Data'!O:O,'ON Data'!$D:$D,$A$4,'ON Data'!$E:$E,4),SUMIFS('ON Data'!O:O,'ON Data'!$E:$E,4))</f>
        <v>0</v>
      </c>
      <c r="D13" s="199">
        <f xml:space="preserve">
IF($A$4&lt;=12,SUMIFS('ON Data'!W:W,'ON Data'!$D:$D,$A$4,'ON Data'!$E:$E,4),SUMIFS('ON Data'!W:W,'ON Data'!$E:$E,4))</f>
        <v>4</v>
      </c>
      <c r="E13" s="200">
        <f xml:space="preserve">
IF($A$4&lt;=12,SUMIFS('ON Data'!AW:AW,'ON Data'!$D:$D,$A$4,'ON Data'!$E:$E,4),SUMIFS('ON Data'!AW:AW,'ON Data'!$E:$E,4))</f>
        <v>0</v>
      </c>
      <c r="AT13" s="349"/>
    </row>
    <row r="14" spans="1:46" ht="15" thickBot="1" x14ac:dyDescent="0.35">
      <c r="A14" s="182" t="s">
        <v>113</v>
      </c>
      <c r="B14" s="201">
        <f xml:space="preserve">
IF($A$4&lt;=12,SUMIFS('ON Data'!F:F,'ON Data'!$D:$D,$A$4,'ON Data'!$E:$E,5),SUMIFS('ON Data'!F:F,'ON Data'!$E:$E,5))</f>
        <v>0</v>
      </c>
      <c r="C14" s="202">
        <f xml:space="preserve">
IF($A$4&lt;=12,SUMIFS('ON Data'!O:O,'ON Data'!$D:$D,$A$4,'ON Data'!$E:$E,5),SUMIFS('ON Data'!O:O,'ON Data'!$E:$E,5))</f>
        <v>0</v>
      </c>
      <c r="D14" s="202">
        <f xml:space="preserve">
IF($A$4&lt;=12,SUMIFS('ON Data'!W:W,'ON Data'!$D:$D,$A$4,'ON Data'!$E:$E,5),SUMIFS('ON Data'!W:W,'ON Data'!$E:$E,5))</f>
        <v>0</v>
      </c>
      <c r="E14" s="203">
        <f xml:space="preserve">
IF($A$4&lt;=12,SUMIFS('ON Data'!AW:AW,'ON Data'!$D:$D,$A$4,'ON Data'!$E:$E,5),SUMIFS('ON Data'!AW:AW,'ON Data'!$E:$E,5))</f>
        <v>0</v>
      </c>
      <c r="AT14" s="349"/>
    </row>
    <row r="15" spans="1:46" x14ac:dyDescent="0.3">
      <c r="A15" s="126" t="s">
        <v>123</v>
      </c>
      <c r="B15" s="204"/>
      <c r="C15" s="205"/>
      <c r="D15" s="205"/>
      <c r="E15" s="206"/>
      <c r="AT15" s="349"/>
    </row>
    <row r="16" spans="1:46" x14ac:dyDescent="0.3">
      <c r="A16" s="183" t="s">
        <v>114</v>
      </c>
      <c r="B16" s="198">
        <f xml:space="preserve">
IF($A$4&lt;=12,SUMIFS('ON Data'!F:F,'ON Data'!$D:$D,$A$4,'ON Data'!$E:$E,7),SUMIFS('ON Data'!F:F,'ON Data'!$E:$E,7))</f>
        <v>0</v>
      </c>
      <c r="C16" s="199">
        <f xml:space="preserve">
IF($A$4&lt;=12,SUMIFS('ON Data'!O:O,'ON Data'!$D:$D,$A$4,'ON Data'!$E:$E,7),SUMIFS('ON Data'!O:O,'ON Data'!$E:$E,7))</f>
        <v>0</v>
      </c>
      <c r="D16" s="199">
        <f xml:space="preserve">
IF($A$4&lt;=12,SUMIFS('ON Data'!W:W,'ON Data'!$D:$D,$A$4,'ON Data'!$E:$E,7),SUMIFS('ON Data'!W:W,'ON Data'!$E:$E,7))</f>
        <v>0</v>
      </c>
      <c r="E16" s="200">
        <f xml:space="preserve">
IF($A$4&lt;=12,SUMIFS('ON Data'!AW:AW,'ON Data'!$D:$D,$A$4,'ON Data'!$E:$E,7),SUMIFS('ON Data'!AW:AW,'ON Data'!$E:$E,7))</f>
        <v>0</v>
      </c>
      <c r="AT16" s="349"/>
    </row>
    <row r="17" spans="1:46" x14ac:dyDescent="0.3">
      <c r="A17" s="183" t="s">
        <v>115</v>
      </c>
      <c r="B17" s="198">
        <f xml:space="preserve">
IF($A$4&lt;=12,SUMIFS('ON Data'!F:F,'ON Data'!$D:$D,$A$4,'ON Data'!$E:$E,8),SUMIFS('ON Data'!F:F,'ON Data'!$E:$E,8))</f>
        <v>0</v>
      </c>
      <c r="C17" s="199">
        <f xml:space="preserve">
IF($A$4&lt;=12,SUMIFS('ON Data'!O:O,'ON Data'!$D:$D,$A$4,'ON Data'!$E:$E,8),SUMIFS('ON Data'!O:O,'ON Data'!$E:$E,8))</f>
        <v>0</v>
      </c>
      <c r="D17" s="199">
        <f xml:space="preserve">
IF($A$4&lt;=12,SUMIFS('ON Data'!W:W,'ON Data'!$D:$D,$A$4,'ON Data'!$E:$E,8),SUMIFS('ON Data'!W:W,'ON Data'!$E:$E,8))</f>
        <v>0</v>
      </c>
      <c r="E17" s="200">
        <f xml:space="preserve">
IF($A$4&lt;=12,SUMIFS('ON Data'!AW:AW,'ON Data'!$D:$D,$A$4,'ON Data'!$E:$E,8),SUMIFS('ON Data'!AW:AW,'ON Data'!$E:$E,8))</f>
        <v>0</v>
      </c>
      <c r="AT17" s="349"/>
    </row>
    <row r="18" spans="1:46" x14ac:dyDescent="0.3">
      <c r="A18" s="183" t="s">
        <v>116</v>
      </c>
      <c r="B18" s="198">
        <f xml:space="preserve">
B19-B16-B17</f>
        <v>228243</v>
      </c>
      <c r="C18" s="199">
        <f t="shared" ref="C18:D18" si="0" xml:space="preserve">
C19-C16-C17</f>
        <v>0</v>
      </c>
      <c r="D18" s="199">
        <f t="shared" si="0"/>
        <v>228243</v>
      </c>
      <c r="E18" s="200">
        <f t="shared" ref="E18" si="1" xml:space="preserve">
E19-E16-E17</f>
        <v>0</v>
      </c>
      <c r="AT18" s="349"/>
    </row>
    <row r="19" spans="1:46" ht="15" thickBot="1" x14ac:dyDescent="0.35">
      <c r="A19" s="184" t="s">
        <v>117</v>
      </c>
      <c r="B19" s="207">
        <f xml:space="preserve">
IF($A$4&lt;=12,SUMIFS('ON Data'!F:F,'ON Data'!$D:$D,$A$4,'ON Data'!$E:$E,9),SUMIFS('ON Data'!F:F,'ON Data'!$E:$E,9))</f>
        <v>228243</v>
      </c>
      <c r="C19" s="208">
        <f xml:space="preserve">
IF($A$4&lt;=12,SUMIFS('ON Data'!O:O,'ON Data'!$D:$D,$A$4,'ON Data'!$E:$E,9),SUMIFS('ON Data'!O:O,'ON Data'!$E:$E,9))</f>
        <v>0</v>
      </c>
      <c r="D19" s="208">
        <f xml:space="preserve">
IF($A$4&lt;=12,SUMIFS('ON Data'!W:W,'ON Data'!$D:$D,$A$4,'ON Data'!$E:$E,9),SUMIFS('ON Data'!W:W,'ON Data'!$E:$E,9))</f>
        <v>228243</v>
      </c>
      <c r="E19" s="209">
        <f xml:space="preserve">
IF($A$4&lt;=12,SUMIFS('ON Data'!AW:AW,'ON Data'!$D:$D,$A$4,'ON Data'!$E:$E,9),SUMIFS('ON Data'!AW:AW,'ON Data'!$E:$E,9))</f>
        <v>0</v>
      </c>
      <c r="AT19" s="349"/>
    </row>
    <row r="20" spans="1:46" ht="15" collapsed="1" thickBot="1" x14ac:dyDescent="0.35">
      <c r="A20" s="185" t="s">
        <v>55</v>
      </c>
      <c r="B20" s="210">
        <f xml:space="preserve">
IF($A$4&lt;=12,SUMIFS('ON Data'!F:F,'ON Data'!$D:$D,$A$4,'ON Data'!$E:$E,6),SUMIFS('ON Data'!F:F,'ON Data'!$E:$E,6))</f>
        <v>3013172</v>
      </c>
      <c r="C20" s="211">
        <f xml:space="preserve">
IF($A$4&lt;=12,SUMIFS('ON Data'!O:O,'ON Data'!$D:$D,$A$4,'ON Data'!$E:$E,6),SUMIFS('ON Data'!O:O,'ON Data'!$E:$E,6))</f>
        <v>0</v>
      </c>
      <c r="D20" s="211">
        <f xml:space="preserve">
IF($A$4&lt;=12,SUMIFS('ON Data'!W:W,'ON Data'!$D:$D,$A$4,'ON Data'!$E:$E,6),SUMIFS('ON Data'!W:W,'ON Data'!$E:$E,6))</f>
        <v>3013172</v>
      </c>
      <c r="E20" s="212">
        <f xml:space="preserve">
IF($A$4&lt;=12,SUMIFS('ON Data'!AW:AW,'ON Data'!$D:$D,$A$4,'ON Data'!$E:$E,6),SUMIFS('ON Data'!AW:AW,'ON Data'!$E:$E,6))</f>
        <v>0</v>
      </c>
      <c r="AT20" s="349"/>
    </row>
    <row r="21" spans="1:46" ht="15" hidden="1" outlineLevel="1" thickBot="1" x14ac:dyDescent="0.35">
      <c r="A21" s="178" t="s">
        <v>62</v>
      </c>
      <c r="B21" s="198">
        <f xml:space="preserve">
IF($A$4&lt;=12,SUMIFS('ON Data'!F:F,'ON Data'!$D:$D,$A$4,'ON Data'!$E:$E,12),SUMIFS('ON Data'!F:F,'ON Data'!$E:$E,12))</f>
        <v>0</v>
      </c>
      <c r="C21" s="199">
        <f xml:space="preserve">
IF($A$4&lt;=12,SUMIFS('ON Data'!O:O,'ON Data'!$D:$D,$A$4,'ON Data'!$E:$E,12),SUMIFS('ON Data'!O:O,'ON Data'!$E:$E,12))</f>
        <v>0</v>
      </c>
      <c r="D21" s="199">
        <f xml:space="preserve">
IF($A$4&lt;=12,SUMIFS('ON Data'!W:W,'ON Data'!$D:$D,$A$4,'ON Data'!$E:$E,12),SUMIFS('ON Data'!W:W,'ON Data'!$E:$E,12))</f>
        <v>0</v>
      </c>
      <c r="AT21" s="349"/>
    </row>
    <row r="22" spans="1:46" ht="15" hidden="1" outlineLevel="1" thickBot="1" x14ac:dyDescent="0.35">
      <c r="A22" s="178" t="s">
        <v>57</v>
      </c>
      <c r="B22" s="237" t="str">
        <f xml:space="preserve">
IF(OR(B21="",B21=0),"",B20/B21)</f>
        <v/>
      </c>
      <c r="C22" s="238" t="str">
        <f t="shared" ref="C22:D22" si="2" xml:space="preserve">
IF(OR(C21="",C21=0),"",C20/C21)</f>
        <v/>
      </c>
      <c r="D22" s="238" t="str">
        <f t="shared" si="2"/>
        <v/>
      </c>
      <c r="AT22" s="349"/>
    </row>
    <row r="23" spans="1:46" ht="15" hidden="1" outlineLevel="1" thickBot="1" x14ac:dyDescent="0.35">
      <c r="A23" s="186" t="s">
        <v>52</v>
      </c>
      <c r="B23" s="201">
        <f xml:space="preserve">
IF(B21="","",B20-B21)</f>
        <v>3013172</v>
      </c>
      <c r="C23" s="202">
        <f t="shared" ref="C23:D23" si="3" xml:space="preserve">
IF(C21="","",C20-C21)</f>
        <v>0</v>
      </c>
      <c r="D23" s="202">
        <f t="shared" si="3"/>
        <v>3013172</v>
      </c>
      <c r="AT23" s="349"/>
    </row>
    <row r="24" spans="1:46" x14ac:dyDescent="0.3">
      <c r="A24" s="180" t="s">
        <v>118</v>
      </c>
      <c r="B24" s="226" t="s">
        <v>2</v>
      </c>
      <c r="C24" s="350" t="s">
        <v>129</v>
      </c>
      <c r="D24" s="339"/>
      <c r="E24" s="340" t="s">
        <v>130</v>
      </c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8"/>
      <c r="AT24" s="349"/>
    </row>
    <row r="25" spans="1:46" x14ac:dyDescent="0.3">
      <c r="A25" s="181" t="s">
        <v>55</v>
      </c>
      <c r="B25" s="198">
        <f xml:space="preserve">
SUM(C25:E25)</f>
        <v>600</v>
      </c>
      <c r="C25" s="351">
        <f xml:space="preserve">
IF($A$4&lt;=12,SUMIFS('ON Data'!O:O,'ON Data'!$D:$D,$A$4,'ON Data'!$E:$E,10),SUMIFS('ON Data'!O:O,'ON Data'!$E:$E,10))</f>
        <v>600</v>
      </c>
      <c r="D25" s="342"/>
      <c r="E25" s="343">
        <f xml:space="preserve">
IF($A$4&lt;=12,SUMIFS('ON Data'!AW:AW,'ON Data'!$D:$D,$A$4,'ON Data'!$E:$E,10),SUMIFS('ON Data'!AW:AW,'ON Data'!$E:$E,10))</f>
        <v>0</v>
      </c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8"/>
      <c r="AT25" s="349"/>
    </row>
    <row r="26" spans="1:46" x14ac:dyDescent="0.3">
      <c r="A26" s="187" t="s">
        <v>128</v>
      </c>
      <c r="B26" s="207">
        <f xml:space="preserve">
SUM(C26:E26)</f>
        <v>0</v>
      </c>
      <c r="C26" s="352">
        <f xml:space="preserve">
IF($A$4&lt;=12,SUMIFS('ON Data'!O:O,'ON Data'!$D:$D,$A$4,'ON Data'!$E:$E,11),SUMIFS('ON Data'!O:O,'ON Data'!$E:$E,11))</f>
        <v>0</v>
      </c>
      <c r="D26" s="344"/>
      <c r="E26" s="343">
        <f xml:space="preserve">
IF($A$4&lt;=12,SUMIFS('ON Data'!AW:AW,'ON Data'!$D:$D,$A$4,'ON Data'!$E:$E,11),SUMIFS('ON Data'!AW:AW,'ON Data'!$E:$E,11))</f>
        <v>0</v>
      </c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8"/>
      <c r="AT26" s="349"/>
    </row>
    <row r="27" spans="1:46" x14ac:dyDescent="0.3">
      <c r="A27" s="187" t="s">
        <v>57</v>
      </c>
      <c r="B27" s="227">
        <f xml:space="preserve">
IF(B26=0,0,B25/B26)</f>
        <v>0</v>
      </c>
      <c r="C27" s="353">
        <f xml:space="preserve">
IF(C26=0,0,C25/C26)</f>
        <v>0</v>
      </c>
      <c r="D27" s="342"/>
      <c r="E27" s="345">
        <f xml:space="preserve">
IF(E26=0,0,E25/E26)</f>
        <v>0</v>
      </c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8"/>
      <c r="AT27" s="349"/>
    </row>
    <row r="28" spans="1:46" ht="15" thickBot="1" x14ac:dyDescent="0.35">
      <c r="A28" s="187" t="s">
        <v>127</v>
      </c>
      <c r="B28" s="207">
        <f xml:space="preserve">
SUM(C28:E28)</f>
        <v>-600</v>
      </c>
      <c r="C28" s="354">
        <f xml:space="preserve">
C26-C25</f>
        <v>-600</v>
      </c>
      <c r="D28" s="346"/>
      <c r="E28" s="347">
        <f xml:space="preserve">
E26-E25</f>
        <v>0</v>
      </c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8"/>
      <c r="AT28" s="349"/>
    </row>
    <row r="29" spans="1:46" x14ac:dyDescent="0.3">
      <c r="A29" s="188"/>
      <c r="B29" s="188"/>
      <c r="C29" s="189"/>
      <c r="D29" s="189"/>
    </row>
    <row r="30" spans="1:46" x14ac:dyDescent="0.3">
      <c r="A30" s="79" t="s">
        <v>90</v>
      </c>
      <c r="B30" s="96"/>
      <c r="C30" s="96"/>
      <c r="D30" s="96"/>
    </row>
    <row r="31" spans="1:46" x14ac:dyDescent="0.3">
      <c r="A31" s="80" t="s">
        <v>125</v>
      </c>
      <c r="B31" s="96"/>
      <c r="C31" s="96"/>
      <c r="D31" s="96"/>
    </row>
    <row r="32" spans="1:46" ht="14.4" customHeight="1" x14ac:dyDescent="0.3">
      <c r="A32" s="223" t="s">
        <v>122</v>
      </c>
      <c r="B32" s="224"/>
      <c r="C32" s="224"/>
      <c r="D32" s="224"/>
    </row>
    <row r="33" spans="1:1" x14ac:dyDescent="0.3">
      <c r="A33" s="225" t="s">
        <v>137</v>
      </c>
    </row>
    <row r="34" spans="1:1" x14ac:dyDescent="0.3">
      <c r="A34" s="225" t="s">
        <v>138</v>
      </c>
    </row>
    <row r="35" spans="1:1" x14ac:dyDescent="0.3">
      <c r="A35" s="225" t="s">
        <v>139</v>
      </c>
    </row>
    <row r="36" spans="1:1" x14ac:dyDescent="0.3">
      <c r="A36" s="225" t="s">
        <v>131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5" priority="6" operator="greaterThan">
      <formula>1</formula>
    </cfRule>
  </conditionalFormatting>
  <conditionalFormatting sqref="B23:D23">
    <cfRule type="cellIs" dxfId="4" priority="5" operator="greaterThan">
      <formula>0</formula>
    </cfRule>
  </conditionalFormatting>
  <conditionalFormatting sqref="E27">
    <cfRule type="cellIs" dxfId="3" priority="4" operator="greaterThan">
      <formula>1</formula>
    </cfRule>
  </conditionalFormatting>
  <conditionalFormatting sqref="E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9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278</v>
      </c>
    </row>
    <row r="2" spans="1:49" x14ac:dyDescent="0.3">
      <c r="A2" s="173" t="s">
        <v>161</v>
      </c>
    </row>
    <row r="3" spans="1:49" x14ac:dyDescent="0.3">
      <c r="A3" s="169" t="s">
        <v>95</v>
      </c>
      <c r="B3" s="192">
        <v>2016</v>
      </c>
      <c r="D3" s="170">
        <f>MAX(D5:D1048576)</f>
        <v>12</v>
      </c>
      <c r="F3" s="170">
        <f>SUMIF($E5:$E1048576,"&lt;10",F5:F1048576)</f>
        <v>3254283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3254283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2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2">
        <v>2</v>
      </c>
      <c r="C5" s="169">
        <v>45</v>
      </c>
      <c r="D5" s="169">
        <v>1</v>
      </c>
      <c r="E5" s="169">
        <v>1</v>
      </c>
      <c r="F5" s="169">
        <v>7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7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2">
        <v>3</v>
      </c>
      <c r="C6" s="169">
        <v>45</v>
      </c>
      <c r="D6" s="169">
        <v>1</v>
      </c>
      <c r="E6" s="169">
        <v>2</v>
      </c>
      <c r="F6" s="169">
        <v>1112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1112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2">
        <v>4</v>
      </c>
      <c r="C7" s="169">
        <v>45</v>
      </c>
      <c r="D7" s="169">
        <v>1</v>
      </c>
      <c r="E7" s="169">
        <v>6</v>
      </c>
      <c r="F7" s="169">
        <v>226973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226973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2">
        <v>5</v>
      </c>
      <c r="C8" s="169">
        <v>45</v>
      </c>
      <c r="D8" s="169">
        <v>2</v>
      </c>
      <c r="E8" s="169">
        <v>1</v>
      </c>
      <c r="F8" s="169">
        <v>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7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2">
        <v>6</v>
      </c>
      <c r="C9" s="169">
        <v>45</v>
      </c>
      <c r="D9" s="169">
        <v>2</v>
      </c>
      <c r="E9" s="169">
        <v>2</v>
      </c>
      <c r="F9" s="169">
        <v>1084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1084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2">
        <v>7</v>
      </c>
      <c r="C10" s="169">
        <v>45</v>
      </c>
      <c r="D10" s="169">
        <v>2</v>
      </c>
      <c r="E10" s="169">
        <v>6</v>
      </c>
      <c r="F10" s="169">
        <v>223261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223261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2">
        <v>8</v>
      </c>
      <c r="C11" s="169">
        <v>45</v>
      </c>
      <c r="D11" s="169">
        <v>3</v>
      </c>
      <c r="E11" s="169">
        <v>1</v>
      </c>
      <c r="F11" s="169">
        <v>7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7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2">
        <v>9</v>
      </c>
      <c r="C12" s="169">
        <v>45</v>
      </c>
      <c r="D12" s="169">
        <v>3</v>
      </c>
      <c r="E12" s="169">
        <v>2</v>
      </c>
      <c r="F12" s="169">
        <v>1248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1248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2">
        <v>10</v>
      </c>
      <c r="C13" s="169">
        <v>45</v>
      </c>
      <c r="D13" s="169">
        <v>3</v>
      </c>
      <c r="E13" s="169">
        <v>6</v>
      </c>
      <c r="F13" s="169">
        <v>226028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226028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2">
        <v>11</v>
      </c>
      <c r="C14" s="169">
        <v>45</v>
      </c>
      <c r="D14" s="169">
        <v>3</v>
      </c>
      <c r="E14" s="169">
        <v>10</v>
      </c>
      <c r="F14" s="169">
        <v>110</v>
      </c>
      <c r="G14" s="169">
        <v>0</v>
      </c>
      <c r="H14" s="169">
        <v>0</v>
      </c>
      <c r="I14" s="169">
        <v>0</v>
      </c>
      <c r="J14" s="169">
        <v>110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2">
        <v>12</v>
      </c>
      <c r="C15" s="169">
        <v>45</v>
      </c>
      <c r="D15" s="169">
        <v>4</v>
      </c>
      <c r="E15" s="169">
        <v>1</v>
      </c>
      <c r="F15" s="169">
        <v>7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7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2">
        <v>2016</v>
      </c>
      <c r="C16" s="169">
        <v>45</v>
      </c>
      <c r="D16" s="169">
        <v>4</v>
      </c>
      <c r="E16" s="169">
        <v>2</v>
      </c>
      <c r="F16" s="169">
        <v>1152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1152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45</v>
      </c>
      <c r="D17" s="169">
        <v>4</v>
      </c>
      <c r="E17" s="169">
        <v>6</v>
      </c>
      <c r="F17" s="169">
        <v>224907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224907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45</v>
      </c>
      <c r="D18" s="169">
        <v>5</v>
      </c>
      <c r="E18" s="169">
        <v>1</v>
      </c>
      <c r="F18" s="169">
        <v>6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6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45</v>
      </c>
      <c r="D19" s="169">
        <v>5</v>
      </c>
      <c r="E19" s="169">
        <v>2</v>
      </c>
      <c r="F19" s="169">
        <v>1064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1064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45</v>
      </c>
      <c r="D20" s="169">
        <v>5</v>
      </c>
      <c r="E20" s="169">
        <v>6</v>
      </c>
      <c r="F20" s="169">
        <v>228481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228481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45</v>
      </c>
      <c r="D21" s="169">
        <v>6</v>
      </c>
      <c r="E21" s="169">
        <v>1</v>
      </c>
      <c r="F21" s="169">
        <v>7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7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45</v>
      </c>
      <c r="D22" s="169">
        <v>6</v>
      </c>
      <c r="E22" s="169">
        <v>2</v>
      </c>
      <c r="F22" s="169">
        <v>996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996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45</v>
      </c>
      <c r="D23" s="169">
        <v>6</v>
      </c>
      <c r="E23" s="169">
        <v>4</v>
      </c>
      <c r="F23" s="169">
        <v>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2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45</v>
      </c>
      <c r="D24" s="169">
        <v>6</v>
      </c>
      <c r="E24" s="169">
        <v>6</v>
      </c>
      <c r="F24" s="169">
        <v>219925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219925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0</v>
      </c>
    </row>
    <row r="25" spans="3:49" x14ac:dyDescent="0.3">
      <c r="C25" s="169">
        <v>45</v>
      </c>
      <c r="D25" s="169">
        <v>6</v>
      </c>
      <c r="E25" s="169">
        <v>9</v>
      </c>
      <c r="F25" s="169">
        <v>3000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3000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45</v>
      </c>
      <c r="D26" s="169">
        <v>6</v>
      </c>
      <c r="E26" s="169">
        <v>10</v>
      </c>
      <c r="F26" s="169">
        <v>600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600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45</v>
      </c>
      <c r="D27" s="169">
        <v>7</v>
      </c>
      <c r="E27" s="169">
        <v>1</v>
      </c>
      <c r="F27" s="169">
        <v>7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7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0</v>
      </c>
      <c r="AS27" s="169">
        <v>0</v>
      </c>
      <c r="AT27" s="169">
        <v>0</v>
      </c>
      <c r="AU27" s="169">
        <v>0</v>
      </c>
      <c r="AV27" s="169">
        <v>0</v>
      </c>
      <c r="AW27" s="169">
        <v>0</v>
      </c>
    </row>
    <row r="28" spans="3:49" x14ac:dyDescent="0.3">
      <c r="C28" s="169">
        <v>45</v>
      </c>
      <c r="D28" s="169">
        <v>7</v>
      </c>
      <c r="E28" s="169">
        <v>2</v>
      </c>
      <c r="F28" s="169">
        <v>968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968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45</v>
      </c>
      <c r="D29" s="169">
        <v>7</v>
      </c>
      <c r="E29" s="169">
        <v>6</v>
      </c>
      <c r="F29" s="169">
        <v>312901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312901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0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45</v>
      </c>
      <c r="D30" s="169">
        <v>7</v>
      </c>
      <c r="E30" s="169">
        <v>9</v>
      </c>
      <c r="F30" s="169">
        <v>82987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82987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45</v>
      </c>
      <c r="D31" s="169">
        <v>8</v>
      </c>
      <c r="E31" s="169">
        <v>1</v>
      </c>
      <c r="F31" s="169">
        <v>7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7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45</v>
      </c>
      <c r="D32" s="169">
        <v>8</v>
      </c>
      <c r="E32" s="169">
        <v>2</v>
      </c>
      <c r="F32" s="169">
        <v>964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964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0</v>
      </c>
      <c r="AS32" s="169">
        <v>0</v>
      </c>
      <c r="AT32" s="169">
        <v>0</v>
      </c>
      <c r="AU32" s="169">
        <v>0</v>
      </c>
      <c r="AV32" s="169">
        <v>0</v>
      </c>
      <c r="AW32" s="169">
        <v>0</v>
      </c>
    </row>
    <row r="33" spans="3:49" x14ac:dyDescent="0.3">
      <c r="C33" s="169">
        <v>45</v>
      </c>
      <c r="D33" s="169">
        <v>8</v>
      </c>
      <c r="E33" s="169">
        <v>4</v>
      </c>
      <c r="F33" s="169">
        <v>2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2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0</v>
      </c>
      <c r="AS33" s="169">
        <v>0</v>
      </c>
      <c r="AT33" s="169">
        <v>0</v>
      </c>
      <c r="AU33" s="169">
        <v>0</v>
      </c>
      <c r="AV33" s="169">
        <v>0</v>
      </c>
      <c r="AW33" s="169">
        <v>0</v>
      </c>
    </row>
    <row r="34" spans="3:49" x14ac:dyDescent="0.3">
      <c r="C34" s="169">
        <v>45</v>
      </c>
      <c r="D34" s="169">
        <v>8</v>
      </c>
      <c r="E34" s="169">
        <v>6</v>
      </c>
      <c r="F34" s="169">
        <v>240801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240801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45</v>
      </c>
      <c r="D35" s="169">
        <v>8</v>
      </c>
      <c r="E35" s="169">
        <v>9</v>
      </c>
      <c r="F35" s="169">
        <v>6000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6000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45</v>
      </c>
      <c r="D36" s="169">
        <v>9</v>
      </c>
      <c r="E36" s="169">
        <v>1</v>
      </c>
      <c r="F36" s="169">
        <v>7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7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45</v>
      </c>
      <c r="D37" s="169">
        <v>9</v>
      </c>
      <c r="E37" s="169">
        <v>2</v>
      </c>
      <c r="F37" s="169">
        <v>1128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1128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0</v>
      </c>
      <c r="AS37" s="169">
        <v>0</v>
      </c>
      <c r="AT37" s="169">
        <v>0</v>
      </c>
      <c r="AU37" s="169">
        <v>0</v>
      </c>
      <c r="AV37" s="169">
        <v>0</v>
      </c>
      <c r="AW37" s="169">
        <v>0</v>
      </c>
    </row>
    <row r="38" spans="3:49" x14ac:dyDescent="0.3">
      <c r="C38" s="169">
        <v>45</v>
      </c>
      <c r="D38" s="169">
        <v>9</v>
      </c>
      <c r="E38" s="169">
        <v>6</v>
      </c>
      <c r="F38" s="169">
        <v>240556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240556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  <row r="39" spans="3:49" x14ac:dyDescent="0.3">
      <c r="C39" s="169">
        <v>45</v>
      </c>
      <c r="D39" s="169">
        <v>10</v>
      </c>
      <c r="E39" s="169">
        <v>1</v>
      </c>
      <c r="F39" s="169">
        <v>7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7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45</v>
      </c>
      <c r="D40" s="169">
        <v>10</v>
      </c>
      <c r="E40" s="169">
        <v>2</v>
      </c>
      <c r="F40" s="169">
        <v>912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912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45</v>
      </c>
      <c r="D41" s="169">
        <v>10</v>
      </c>
      <c r="E41" s="169">
        <v>6</v>
      </c>
      <c r="F41" s="169">
        <v>230023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0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230023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0</v>
      </c>
    </row>
    <row r="42" spans="3:49" x14ac:dyDescent="0.3">
      <c r="C42" s="169">
        <v>45</v>
      </c>
      <c r="D42" s="169">
        <v>11</v>
      </c>
      <c r="E42" s="169">
        <v>1</v>
      </c>
      <c r="F42" s="169">
        <v>7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7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0</v>
      </c>
      <c r="AS42" s="169">
        <v>0</v>
      </c>
      <c r="AT42" s="169">
        <v>0</v>
      </c>
      <c r="AU42" s="169">
        <v>0</v>
      </c>
      <c r="AV42" s="169">
        <v>0</v>
      </c>
      <c r="AW42" s="169">
        <v>0</v>
      </c>
    </row>
    <row r="43" spans="3:49" x14ac:dyDescent="0.3">
      <c r="C43" s="169">
        <v>45</v>
      </c>
      <c r="D43" s="169">
        <v>11</v>
      </c>
      <c r="E43" s="169">
        <v>2</v>
      </c>
      <c r="F43" s="169">
        <v>1116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1116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  <c r="AP43" s="169">
        <v>0</v>
      </c>
      <c r="AQ43" s="169">
        <v>0</v>
      </c>
      <c r="AR43" s="169">
        <v>0</v>
      </c>
      <c r="AS43" s="169">
        <v>0</v>
      </c>
      <c r="AT43" s="169">
        <v>0</v>
      </c>
      <c r="AU43" s="169">
        <v>0</v>
      </c>
      <c r="AV43" s="169">
        <v>0</v>
      </c>
      <c r="AW43" s="169">
        <v>0</v>
      </c>
    </row>
    <row r="44" spans="3:49" x14ac:dyDescent="0.3">
      <c r="C44" s="169">
        <v>45</v>
      </c>
      <c r="D44" s="169">
        <v>11</v>
      </c>
      <c r="E44" s="169">
        <v>6</v>
      </c>
      <c r="F44" s="169">
        <v>335388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335388</v>
      </c>
      <c r="X44" s="169">
        <v>0</v>
      </c>
      <c r="Y44" s="169">
        <v>0</v>
      </c>
      <c r="Z44" s="169">
        <v>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0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0</v>
      </c>
    </row>
    <row r="45" spans="3:49" x14ac:dyDescent="0.3">
      <c r="C45" s="169">
        <v>45</v>
      </c>
      <c r="D45" s="169">
        <v>11</v>
      </c>
      <c r="E45" s="169">
        <v>9</v>
      </c>
      <c r="F45" s="169">
        <v>94256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94256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45</v>
      </c>
      <c r="D46" s="169">
        <v>12</v>
      </c>
      <c r="E46" s="169">
        <v>1</v>
      </c>
      <c r="F46" s="169">
        <v>8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8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0</v>
      </c>
      <c r="AS46" s="169">
        <v>0</v>
      </c>
      <c r="AT46" s="169">
        <v>0</v>
      </c>
      <c r="AU46" s="169">
        <v>0</v>
      </c>
      <c r="AV46" s="169">
        <v>0</v>
      </c>
      <c r="AW46" s="169">
        <v>0</v>
      </c>
    </row>
    <row r="47" spans="3:49" x14ac:dyDescent="0.3">
      <c r="C47" s="169">
        <v>45</v>
      </c>
      <c r="D47" s="169">
        <v>12</v>
      </c>
      <c r="E47" s="169">
        <v>2</v>
      </c>
      <c r="F47" s="169">
        <v>1036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1036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0</v>
      </c>
    </row>
    <row r="48" spans="3:49" x14ac:dyDescent="0.3">
      <c r="C48" s="169">
        <v>45</v>
      </c>
      <c r="D48" s="169">
        <v>12</v>
      </c>
      <c r="E48" s="169">
        <v>6</v>
      </c>
      <c r="F48" s="169">
        <v>303928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303928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0</v>
      </c>
    </row>
    <row r="49" spans="3:49" x14ac:dyDescent="0.3">
      <c r="C49" s="169">
        <v>45</v>
      </c>
      <c r="D49" s="169">
        <v>12</v>
      </c>
      <c r="E49" s="169">
        <v>9</v>
      </c>
      <c r="F49" s="169">
        <v>42000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42000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  <c r="AP49" s="169">
        <v>0</v>
      </c>
      <c r="AQ49" s="169">
        <v>0</v>
      </c>
      <c r="AR49" s="169">
        <v>0</v>
      </c>
      <c r="AS49" s="169">
        <v>0</v>
      </c>
      <c r="AT49" s="169">
        <v>0</v>
      </c>
      <c r="AU49" s="169">
        <v>0</v>
      </c>
      <c r="AV49" s="169">
        <v>0</v>
      </c>
      <c r="AW49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3" t="s">
        <v>73</v>
      </c>
      <c r="B1" s="243"/>
      <c r="C1" s="244"/>
      <c r="D1" s="244"/>
      <c r="E1" s="244"/>
    </row>
    <row r="2" spans="1:5" ht="14.4" customHeight="1" thickBot="1" x14ac:dyDescent="0.35">
      <c r="A2" s="173" t="s">
        <v>161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3967.8365013872499</v>
      </c>
      <c r="D4" s="124">
        <f ca="1">IF(ISERROR(VLOOKUP("Náklady celkem",INDIRECT("HI!$A:$G"),5,0)),0,VLOOKUP("Náklady celkem",INDIRECT("HI!$A:$G"),5,0))</f>
        <v>4256.888780000002</v>
      </c>
      <c r="E4" s="125">
        <f ca="1">IF(C4=0,0,D4/C4)</f>
        <v>1.0728488380284047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0.24328002196300003</v>
      </c>
      <c r="D7" s="132">
        <f>IF(ISERROR(HI!E5),"",HI!E5)</f>
        <v>0.16406000000000001</v>
      </c>
      <c r="E7" s="129">
        <f t="shared" ref="E7:E11" si="0">IF(C7=0,0,D7/C7)</f>
        <v>0.67436692366359441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0.26298002374099999</v>
      </c>
      <c r="D11" s="132">
        <f>IF(ISERROR(HI!E6),"",HI!E6)</f>
        <v>1.0120000000000001E-2</v>
      </c>
      <c r="E11" s="129">
        <f t="shared" si="0"/>
        <v>3.8482010367322961E-2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3802.0003432426302</v>
      </c>
      <c r="D12" s="128">
        <f ca="1">IF(ISERROR(VLOOKUP("Osobní náklady (Kč) *",INDIRECT("HI!$A:$G"),5,0)),0,VLOOKUP("Osobní náklady (Kč) *",INDIRECT("HI!$A:$G"),5,0))</f>
        <v>4080.7049700000025</v>
      </c>
      <c r="E12" s="129">
        <f ca="1">IF(C12=0,0,D12/C12)</f>
        <v>1.0733047347701374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3" t="s">
        <v>76</v>
      </c>
      <c r="B1" s="243"/>
      <c r="C1" s="243"/>
      <c r="D1" s="243"/>
      <c r="E1" s="243"/>
      <c r="F1" s="243"/>
      <c r="G1" s="244"/>
      <c r="H1" s="244"/>
    </row>
    <row r="2" spans="1:8" ht="14.4" customHeight="1" thickBot="1" x14ac:dyDescent="0.35">
      <c r="A2" s="173" t="s">
        <v>161</v>
      </c>
      <c r="B2" s="77"/>
      <c r="C2" s="77"/>
      <c r="D2" s="77"/>
      <c r="E2" s="77"/>
      <c r="F2" s="77"/>
    </row>
    <row r="3" spans="1:8" ht="14.4" customHeight="1" x14ac:dyDescent="0.3">
      <c r="A3" s="245"/>
      <c r="B3" s="73">
        <v>2014</v>
      </c>
      <c r="C3" s="40">
        <v>2015</v>
      </c>
      <c r="D3" s="7"/>
      <c r="E3" s="249">
        <v>2016</v>
      </c>
      <c r="F3" s="250"/>
      <c r="G3" s="250"/>
      <c r="H3" s="251"/>
    </row>
    <row r="4" spans="1:8" ht="14.4" customHeight="1" thickBot="1" x14ac:dyDescent="0.35">
      <c r="A4" s="246"/>
      <c r="B4" s="247" t="s">
        <v>55</v>
      </c>
      <c r="C4" s="248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0.16269</v>
      </c>
      <c r="D5" s="8"/>
      <c r="E5" s="83">
        <v>0.16406000000000001</v>
      </c>
      <c r="F5" s="28">
        <v>0.24328002196300003</v>
      </c>
      <c r="G5" s="82">
        <f>E5-F5</f>
        <v>-7.9220021963000015E-2</v>
      </c>
      <c r="H5" s="88">
        <f>IF(F5&lt;0.00000001,"",E5/F5)</f>
        <v>0.67436692366359441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0.22214</v>
      </c>
      <c r="D6" s="8"/>
      <c r="E6" s="84">
        <v>1.0120000000000001E-2</v>
      </c>
      <c r="F6" s="30">
        <v>0.26298002374099999</v>
      </c>
      <c r="G6" s="85">
        <f>E6-F6</f>
        <v>-0.25286002374099997</v>
      </c>
      <c r="H6" s="89">
        <f>IF(F6&lt;0.00000001,"",E6/F6)</f>
        <v>3.8482010367322961E-2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3620.5961000000011</v>
      </c>
      <c r="C7" s="31">
        <v>3772.6526400000016</v>
      </c>
      <c r="D7" s="8"/>
      <c r="E7" s="84">
        <v>4080.7049700000025</v>
      </c>
      <c r="F7" s="30">
        <v>3802.0003432426302</v>
      </c>
      <c r="G7" s="85">
        <f>E7-F7</f>
        <v>278.70462675737235</v>
      </c>
      <c r="H7" s="89">
        <f>IF(F7&lt;0.00000001,"",E7/F7)</f>
        <v>1.0733047347701374</v>
      </c>
    </row>
    <row r="8" spans="1:8" ht="14.4" customHeight="1" thickBot="1" x14ac:dyDescent="0.35">
      <c r="A8" s="1" t="s">
        <v>58</v>
      </c>
      <c r="B8" s="11">
        <v>177.97607000000016</v>
      </c>
      <c r="C8" s="33">
        <v>180.86968999999905</v>
      </c>
      <c r="D8" s="8"/>
      <c r="E8" s="86">
        <v>176.00962999999953</v>
      </c>
      <c r="F8" s="32">
        <v>165.32989809891575</v>
      </c>
      <c r="G8" s="87">
        <f>E8-F8</f>
        <v>10.679731901083784</v>
      </c>
      <c r="H8" s="90">
        <f>IF(F8&lt;0.00000001,"",E8/F8)</f>
        <v>1.0645964947894311</v>
      </c>
    </row>
    <row r="9" spans="1:8" ht="14.4" customHeight="1" thickBot="1" x14ac:dyDescent="0.35">
      <c r="A9" s="2" t="s">
        <v>59</v>
      </c>
      <c r="B9" s="3">
        <v>3798.5721700000013</v>
      </c>
      <c r="C9" s="35">
        <v>3953.9071600000007</v>
      </c>
      <c r="D9" s="8"/>
      <c r="E9" s="3">
        <v>4256.888780000002</v>
      </c>
      <c r="F9" s="34">
        <v>3967.8365013872499</v>
      </c>
      <c r="G9" s="34">
        <f>E9-F9</f>
        <v>289.05227861275216</v>
      </c>
      <c r="H9" s="91">
        <f>IF(F9&lt;0.00000001,"",E9/F9)</f>
        <v>1.0728488380284047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3" t="s">
        <v>121</v>
      </c>
      <c r="B18" s="224"/>
      <c r="C18" s="224"/>
      <c r="D18" s="224"/>
      <c r="E18" s="224"/>
      <c r="F18" s="224"/>
      <c r="G18" s="224"/>
      <c r="H18" s="224"/>
    </row>
    <row r="19" spans="1:8" x14ac:dyDescent="0.3">
      <c r="A19" s="222" t="s">
        <v>120</v>
      </c>
      <c r="B19" s="224"/>
      <c r="C19" s="224"/>
      <c r="D19" s="224"/>
      <c r="E19" s="224"/>
      <c r="F19" s="224"/>
      <c r="G19" s="224"/>
      <c r="H19" s="22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160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2" t="s">
        <v>163</v>
      </c>
      <c r="B1" s="252"/>
      <c r="C1" s="252"/>
      <c r="D1" s="252"/>
      <c r="E1" s="252"/>
      <c r="F1" s="252"/>
      <c r="G1" s="252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159" customFormat="1" ht="14.4" customHeight="1" thickBot="1" x14ac:dyDescent="0.3">
      <c r="A2" s="173" t="s">
        <v>161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3" t="s">
        <v>13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5" t="s">
        <v>151</v>
      </c>
      <c r="P4" s="255" t="s">
        <v>2</v>
      </c>
      <c r="Q4" s="256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162</v>
      </c>
    </row>
    <row r="7" spans="1:17" ht="14.4" customHeight="1" x14ac:dyDescent="0.3">
      <c r="A7" s="15" t="s">
        <v>19</v>
      </c>
      <c r="B7" s="46">
        <v>0.243280021963</v>
      </c>
      <c r="C7" s="47">
        <v>2.0273335162999999E-2</v>
      </c>
      <c r="D7" s="47">
        <v>0</v>
      </c>
      <c r="E7" s="47">
        <v>0</v>
      </c>
      <c r="F7" s="47">
        <v>0</v>
      </c>
      <c r="G7" s="47">
        <v>4.863E-2</v>
      </c>
      <c r="H7" s="47">
        <v>0</v>
      </c>
      <c r="I7" s="47">
        <v>0</v>
      </c>
      <c r="J7" s="47">
        <v>0</v>
      </c>
      <c r="K7" s="47">
        <v>0</v>
      </c>
      <c r="L7" s="47">
        <v>0.11543</v>
      </c>
      <c r="M7" s="47">
        <v>0</v>
      </c>
      <c r="N7" s="47">
        <v>0</v>
      </c>
      <c r="O7" s="47">
        <v>0</v>
      </c>
      <c r="P7" s="48">
        <v>0.16406000000000001</v>
      </c>
      <c r="Q7" s="68">
        <v>0.674366923663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162</v>
      </c>
    </row>
    <row r="9" spans="1:17" ht="14.4" customHeight="1" x14ac:dyDescent="0.3">
      <c r="A9" s="15" t="s">
        <v>21</v>
      </c>
      <c r="B9" s="46">
        <v>0.26298002374099999</v>
      </c>
      <c r="C9" s="47">
        <v>2.1915001978E-2</v>
      </c>
      <c r="D9" s="47">
        <v>0</v>
      </c>
      <c r="E9" s="47">
        <v>0</v>
      </c>
      <c r="F9" s="47">
        <v>0</v>
      </c>
      <c r="G9" s="47">
        <v>1.0120000000000001E-2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1.0120000000000001E-2</v>
      </c>
      <c r="Q9" s="68">
        <v>3.8482010366999997E-2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162</v>
      </c>
    </row>
    <row r="11" spans="1:17" ht="14.4" customHeight="1" x14ac:dyDescent="0.3">
      <c r="A11" s="15" t="s">
        <v>23</v>
      </c>
      <c r="B11" s="46">
        <v>9.3761637768869992</v>
      </c>
      <c r="C11" s="47">
        <v>0.78134698140699999</v>
      </c>
      <c r="D11" s="47">
        <v>0.52488000000000001</v>
      </c>
      <c r="E11" s="47">
        <v>0.20141999999999999</v>
      </c>
      <c r="F11" s="47">
        <v>0.33160000000000001</v>
      </c>
      <c r="G11" s="47">
        <v>2.9081800000000002</v>
      </c>
      <c r="H11" s="47">
        <v>1.2628299999999999</v>
      </c>
      <c r="I11" s="47">
        <v>1.1668000000000001</v>
      </c>
      <c r="J11" s="47">
        <v>8.66751</v>
      </c>
      <c r="K11" s="47">
        <v>0.46551999999999999</v>
      </c>
      <c r="L11" s="47">
        <v>1.2089399999999999</v>
      </c>
      <c r="M11" s="47">
        <v>0.19117999999999999</v>
      </c>
      <c r="N11" s="47">
        <v>0.79101999999899997</v>
      </c>
      <c r="O11" s="47">
        <v>0.81827000000000005</v>
      </c>
      <c r="P11" s="48">
        <v>18.538150000000002</v>
      </c>
      <c r="Q11" s="68">
        <v>1.977157229878</v>
      </c>
    </row>
    <row r="12" spans="1:17" ht="14.4" customHeight="1" x14ac:dyDescent="0.3">
      <c r="A12" s="15" t="s">
        <v>24</v>
      </c>
      <c r="B12" s="46">
        <v>0.46582627764000001</v>
      </c>
      <c r="C12" s="47">
        <v>3.8818856470000003E-2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0.13009999999999999</v>
      </c>
      <c r="L12" s="47">
        <v>0</v>
      </c>
      <c r="M12" s="47">
        <v>0</v>
      </c>
      <c r="N12" s="47">
        <v>0</v>
      </c>
      <c r="O12" s="47">
        <v>0</v>
      </c>
      <c r="P12" s="48">
        <v>0.13009999999999999</v>
      </c>
      <c r="Q12" s="68">
        <v>0.27928866670800001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0.26378000000000001</v>
      </c>
      <c r="E13" s="47">
        <v>0.85909999999999997</v>
      </c>
      <c r="F13" s="47">
        <v>0</v>
      </c>
      <c r="G13" s="47">
        <v>0.22991</v>
      </c>
      <c r="H13" s="47">
        <v>0.29765999999999998</v>
      </c>
      <c r="I13" s="47">
        <v>3.5123600000000001</v>
      </c>
      <c r="J13" s="47">
        <v>0.62072000000000005</v>
      </c>
      <c r="K13" s="47">
        <v>0.11495</v>
      </c>
      <c r="L13" s="47">
        <v>0</v>
      </c>
      <c r="M13" s="47">
        <v>0.80910000000000004</v>
      </c>
      <c r="N13" s="47">
        <v>0</v>
      </c>
      <c r="O13" s="47">
        <v>0.26378000000000001</v>
      </c>
      <c r="P13" s="48">
        <v>6.9713599999999998</v>
      </c>
      <c r="Q13" s="68" t="s">
        <v>162</v>
      </c>
    </row>
    <row r="14" spans="1:17" ht="14.4" customHeight="1" x14ac:dyDescent="0.3">
      <c r="A14" s="15" t="s">
        <v>26</v>
      </c>
      <c r="B14" s="46">
        <v>88.523677064821001</v>
      </c>
      <c r="C14" s="47">
        <v>7.3769730887350002</v>
      </c>
      <c r="D14" s="47">
        <v>10.343999999999999</v>
      </c>
      <c r="E14" s="47">
        <v>7.8949999999999996</v>
      </c>
      <c r="F14" s="47">
        <v>8.7639999999999993</v>
      </c>
      <c r="G14" s="47">
        <v>7.1379999999999999</v>
      </c>
      <c r="H14" s="47">
        <v>6.4829999999999997</v>
      </c>
      <c r="I14" s="47">
        <v>6.2489999999999997</v>
      </c>
      <c r="J14" s="47">
        <v>5.61</v>
      </c>
      <c r="K14" s="47">
        <v>5.8559999999999999</v>
      </c>
      <c r="L14" s="47">
        <v>6.1760000000000002</v>
      </c>
      <c r="M14" s="47">
        <v>7.5090000000000003</v>
      </c>
      <c r="N14" s="47">
        <v>8.1679999999989992</v>
      </c>
      <c r="O14" s="47">
        <v>7.8460000000000001</v>
      </c>
      <c r="P14" s="48">
        <v>88.037999999999997</v>
      </c>
      <c r="Q14" s="68">
        <v>0.99451359138100004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162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162</v>
      </c>
    </row>
    <row r="17" spans="1:17" ht="14.4" customHeight="1" x14ac:dyDescent="0.3">
      <c r="A17" s="15" t="s">
        <v>29</v>
      </c>
      <c r="B17" s="46">
        <v>4.8811767794170002</v>
      </c>
      <c r="C17" s="47">
        <v>0.40676473161799998</v>
      </c>
      <c r="D17" s="47">
        <v>0</v>
      </c>
      <c r="E17" s="47">
        <v>0.73531000000000002</v>
      </c>
      <c r="F17" s="47">
        <v>0</v>
      </c>
      <c r="G17" s="47">
        <v>0</v>
      </c>
      <c r="H17" s="47">
        <v>0</v>
      </c>
      <c r="I17" s="47">
        <v>0.27633999999999997</v>
      </c>
      <c r="J17" s="47">
        <v>0</v>
      </c>
      <c r="K17" s="47">
        <v>0</v>
      </c>
      <c r="L17" s="47">
        <v>0</v>
      </c>
      <c r="M17" s="47">
        <v>0</v>
      </c>
      <c r="N17" s="47">
        <v>0.687259999999</v>
      </c>
      <c r="O17" s="47">
        <v>0</v>
      </c>
      <c r="P17" s="48">
        <v>1.6989099999999999</v>
      </c>
      <c r="Q17" s="68">
        <v>0.34805336433700002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1.0820000000000001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1.0820000000000001</v>
      </c>
      <c r="Q18" s="68" t="s">
        <v>162</v>
      </c>
    </row>
    <row r="19" spans="1:17" ht="14.4" customHeight="1" x14ac:dyDescent="0.3">
      <c r="A19" s="15" t="s">
        <v>31</v>
      </c>
      <c r="B19" s="46">
        <v>45.083014942726003</v>
      </c>
      <c r="C19" s="47">
        <v>3.7569179118929998</v>
      </c>
      <c r="D19" s="47">
        <v>3.1644000000000001</v>
      </c>
      <c r="E19" s="47">
        <v>3.1694300000000002</v>
      </c>
      <c r="F19" s="47">
        <v>3.5840399999999999</v>
      </c>
      <c r="G19" s="47">
        <v>3.4915600000000002</v>
      </c>
      <c r="H19" s="47">
        <v>3.9431699999999998</v>
      </c>
      <c r="I19" s="47">
        <v>3.5892499999999998</v>
      </c>
      <c r="J19" s="47">
        <v>3.84613</v>
      </c>
      <c r="K19" s="47">
        <v>3.6656200000000001</v>
      </c>
      <c r="L19" s="47">
        <v>3.60568</v>
      </c>
      <c r="M19" s="47">
        <v>2.82742</v>
      </c>
      <c r="N19" s="47">
        <v>3.5557500000000002</v>
      </c>
      <c r="O19" s="47">
        <v>3.4084099999999999</v>
      </c>
      <c r="P19" s="48">
        <v>41.850859999999997</v>
      </c>
      <c r="Q19" s="68">
        <v>0.92830659291899997</v>
      </c>
    </row>
    <row r="20" spans="1:17" ht="14.4" customHeight="1" x14ac:dyDescent="0.3">
      <c r="A20" s="15" t="s">
        <v>32</v>
      </c>
      <c r="B20" s="46">
        <v>3802.0003432426302</v>
      </c>
      <c r="C20" s="47">
        <v>316.83336193688598</v>
      </c>
      <c r="D20" s="47">
        <v>307.54869000000002</v>
      </c>
      <c r="E20" s="47">
        <v>302.51821000000001</v>
      </c>
      <c r="F20" s="47">
        <v>306.26925</v>
      </c>
      <c r="G20" s="47">
        <v>304.74907000000002</v>
      </c>
      <c r="H20" s="47">
        <v>309.58893</v>
      </c>
      <c r="I20" s="47">
        <v>297.38517000000098</v>
      </c>
      <c r="J20" s="47">
        <v>423.98101000000003</v>
      </c>
      <c r="K20" s="47">
        <v>326.28411</v>
      </c>
      <c r="L20" s="47">
        <v>325.95335999999998</v>
      </c>
      <c r="M20" s="47">
        <v>310.15512999999999</v>
      </c>
      <c r="N20" s="47">
        <v>454.449379999999</v>
      </c>
      <c r="O20" s="47">
        <v>411.82266000000197</v>
      </c>
      <c r="P20" s="48">
        <v>4080.7049699999998</v>
      </c>
      <c r="Q20" s="68">
        <v>1.07330473477</v>
      </c>
    </row>
    <row r="21" spans="1:17" ht="14.4" customHeight="1" x14ac:dyDescent="0.3">
      <c r="A21" s="16" t="s">
        <v>33</v>
      </c>
      <c r="B21" s="46">
        <v>17.000039257413999</v>
      </c>
      <c r="C21" s="47">
        <v>1.416669938117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1.405</v>
      </c>
      <c r="K21" s="47">
        <v>1.405</v>
      </c>
      <c r="L21" s="47">
        <v>1.405</v>
      </c>
      <c r="M21" s="47">
        <v>1.405</v>
      </c>
      <c r="N21" s="47">
        <v>1.405</v>
      </c>
      <c r="O21" s="47">
        <v>1.405</v>
      </c>
      <c r="P21" s="48">
        <v>16.86</v>
      </c>
      <c r="Q21" s="68">
        <v>0.99176241564500001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162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162</v>
      </c>
    </row>
    <row r="24" spans="1:17" ht="14.4" customHeight="1" x14ac:dyDescent="0.3">
      <c r="A24" s="16" t="s">
        <v>36</v>
      </c>
      <c r="B24" s="46">
        <v>0</v>
      </c>
      <c r="C24" s="47">
        <v>5.6843418860808002E-14</v>
      </c>
      <c r="D24" s="47">
        <v>5.6843418860808002E-14</v>
      </c>
      <c r="E24" s="47">
        <v>5.6843418860808002E-14</v>
      </c>
      <c r="F24" s="47">
        <v>0.11</v>
      </c>
      <c r="G24" s="47">
        <v>0</v>
      </c>
      <c r="H24" s="47">
        <v>0.6</v>
      </c>
      <c r="I24" s="47">
        <v>-5.6843418860808002E-14</v>
      </c>
      <c r="J24" s="47">
        <v>3.0249999999999999E-2</v>
      </c>
      <c r="K24" s="47">
        <v>0</v>
      </c>
      <c r="L24" s="47">
        <v>0.1</v>
      </c>
      <c r="M24" s="47">
        <v>-5.6843418860808002E-14</v>
      </c>
      <c r="N24" s="47">
        <v>0</v>
      </c>
      <c r="O24" s="47">
        <v>0</v>
      </c>
      <c r="P24" s="48">
        <v>0.84025000000000005</v>
      </c>
      <c r="Q24" s="68"/>
    </row>
    <row r="25" spans="1:17" ht="14.4" customHeight="1" x14ac:dyDescent="0.3">
      <c r="A25" s="17" t="s">
        <v>37</v>
      </c>
      <c r="B25" s="49">
        <v>3967.8365013872499</v>
      </c>
      <c r="C25" s="50">
        <v>330.65304178227098</v>
      </c>
      <c r="D25" s="50">
        <v>324.33274999999998</v>
      </c>
      <c r="E25" s="50">
        <v>316.78347000000002</v>
      </c>
      <c r="F25" s="50">
        <v>320.46388999999999</v>
      </c>
      <c r="G25" s="50">
        <v>319.98047000000003</v>
      </c>
      <c r="H25" s="50">
        <v>323.58058999999997</v>
      </c>
      <c r="I25" s="50">
        <v>313.583920000001</v>
      </c>
      <c r="J25" s="50">
        <v>444.16061999999999</v>
      </c>
      <c r="K25" s="50">
        <v>337.92129999999997</v>
      </c>
      <c r="L25" s="50">
        <v>338.56441000000001</v>
      </c>
      <c r="M25" s="50">
        <v>322.89683000000002</v>
      </c>
      <c r="N25" s="50">
        <v>469.056409999999</v>
      </c>
      <c r="O25" s="50">
        <v>425.56412000000199</v>
      </c>
      <c r="P25" s="51">
        <v>4256.8887800000002</v>
      </c>
      <c r="Q25" s="69">
        <v>1.0728488380279999</v>
      </c>
    </row>
    <row r="26" spans="1:17" ht="14.4" customHeight="1" x14ac:dyDescent="0.3">
      <c r="A26" s="15" t="s">
        <v>38</v>
      </c>
      <c r="B26" s="46">
        <v>597.34497510827703</v>
      </c>
      <c r="C26" s="47">
        <v>49.778747925688997</v>
      </c>
      <c r="D26" s="47">
        <v>45.744750000000003</v>
      </c>
      <c r="E26" s="47">
        <v>40.985489999999999</v>
      </c>
      <c r="F26" s="47">
        <v>44.363509999999998</v>
      </c>
      <c r="G26" s="47">
        <v>44.625790000000002</v>
      </c>
      <c r="H26" s="47">
        <v>40.801729999999999</v>
      </c>
      <c r="I26" s="47">
        <v>64.662009999999995</v>
      </c>
      <c r="J26" s="47">
        <v>49.323599999999999</v>
      </c>
      <c r="K26" s="47">
        <v>50.306570000000001</v>
      </c>
      <c r="L26" s="47">
        <v>50.286430000000003</v>
      </c>
      <c r="M26" s="47">
        <v>42.623869999999997</v>
      </c>
      <c r="N26" s="47">
        <v>67.410349999999994</v>
      </c>
      <c r="O26" s="47">
        <v>62.894730000000003</v>
      </c>
      <c r="P26" s="48">
        <v>604.02882999999997</v>
      </c>
      <c r="Q26" s="68">
        <v>1.011189271141</v>
      </c>
    </row>
    <row r="27" spans="1:17" ht="14.4" customHeight="1" x14ac:dyDescent="0.3">
      <c r="A27" s="18" t="s">
        <v>39</v>
      </c>
      <c r="B27" s="49">
        <v>4565.1814764955197</v>
      </c>
      <c r="C27" s="50">
        <v>380.43178970795998</v>
      </c>
      <c r="D27" s="50">
        <v>370.07749999999999</v>
      </c>
      <c r="E27" s="50">
        <v>357.76895999999999</v>
      </c>
      <c r="F27" s="50">
        <v>364.82740000000001</v>
      </c>
      <c r="G27" s="50">
        <v>364.60626000000002</v>
      </c>
      <c r="H27" s="50">
        <v>364.38231999999999</v>
      </c>
      <c r="I27" s="50">
        <v>378.24593000000101</v>
      </c>
      <c r="J27" s="50">
        <v>493.48421999999999</v>
      </c>
      <c r="K27" s="50">
        <v>388.22787</v>
      </c>
      <c r="L27" s="50">
        <v>388.85084000000001</v>
      </c>
      <c r="M27" s="50">
        <v>365.52069999999998</v>
      </c>
      <c r="N27" s="50">
        <v>536.466759999999</v>
      </c>
      <c r="O27" s="50">
        <v>488.45885000000197</v>
      </c>
      <c r="P27" s="51">
        <v>4860.9176100000004</v>
      </c>
      <c r="Q27" s="69">
        <v>1.064780805544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162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162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2" t="s">
        <v>45</v>
      </c>
      <c r="B1" s="252"/>
      <c r="C1" s="252"/>
      <c r="D1" s="252"/>
      <c r="E1" s="252"/>
      <c r="F1" s="252"/>
      <c r="G1" s="252"/>
      <c r="H1" s="257"/>
      <c r="I1" s="257"/>
      <c r="J1" s="257"/>
      <c r="K1" s="257"/>
    </row>
    <row r="2" spans="1:11" s="55" customFormat="1" ht="14.4" customHeight="1" thickBot="1" x14ac:dyDescent="0.35">
      <c r="A2" s="173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3" t="s">
        <v>46</v>
      </c>
      <c r="C3" s="254"/>
      <c r="D3" s="254"/>
      <c r="E3" s="254"/>
      <c r="F3" s="260" t="s">
        <v>47</v>
      </c>
      <c r="G3" s="254"/>
      <c r="H3" s="254"/>
      <c r="I3" s="254"/>
      <c r="J3" s="254"/>
      <c r="K3" s="261"/>
    </row>
    <row r="4" spans="1:11" ht="14.4" customHeight="1" x14ac:dyDescent="0.3">
      <c r="A4" s="59"/>
      <c r="B4" s="258"/>
      <c r="C4" s="259"/>
      <c r="D4" s="259"/>
      <c r="E4" s="259"/>
      <c r="F4" s="262" t="s">
        <v>157</v>
      </c>
      <c r="G4" s="264" t="s">
        <v>48</v>
      </c>
      <c r="H4" s="107" t="s">
        <v>80</v>
      </c>
      <c r="I4" s="262" t="s">
        <v>49</v>
      </c>
      <c r="J4" s="264" t="s">
        <v>135</v>
      </c>
      <c r="K4" s="265" t="s">
        <v>159</v>
      </c>
    </row>
    <row r="5" spans="1:11" ht="42" thickBot="1" x14ac:dyDescent="0.35">
      <c r="A5" s="60"/>
      <c r="B5" s="24" t="s">
        <v>153</v>
      </c>
      <c r="C5" s="25" t="s">
        <v>154</v>
      </c>
      <c r="D5" s="26" t="s">
        <v>155</v>
      </c>
      <c r="E5" s="26" t="s">
        <v>156</v>
      </c>
      <c r="F5" s="263"/>
      <c r="G5" s="263"/>
      <c r="H5" s="25" t="s">
        <v>158</v>
      </c>
      <c r="I5" s="263"/>
      <c r="J5" s="263"/>
      <c r="K5" s="266"/>
    </row>
    <row r="6" spans="1:11" ht="14.4" customHeight="1" thickBot="1" x14ac:dyDescent="0.35">
      <c r="A6" s="301" t="s">
        <v>164</v>
      </c>
      <c r="B6" s="283">
        <v>3845.2730259094101</v>
      </c>
      <c r="C6" s="283">
        <v>3953.9071600000002</v>
      </c>
      <c r="D6" s="284">
        <v>108.634134090586</v>
      </c>
      <c r="E6" s="285">
        <v>1.028251344796</v>
      </c>
      <c r="F6" s="283">
        <v>3967.8365013872499</v>
      </c>
      <c r="G6" s="284">
        <v>3967.8365013872499</v>
      </c>
      <c r="H6" s="286">
        <v>425.56412000000199</v>
      </c>
      <c r="I6" s="283">
        <v>4256.8887800000002</v>
      </c>
      <c r="J6" s="284">
        <v>289.05227861275603</v>
      </c>
      <c r="K6" s="287">
        <v>1.0728488380279999</v>
      </c>
    </row>
    <row r="7" spans="1:11" ht="14.4" customHeight="1" thickBot="1" x14ac:dyDescent="0.35">
      <c r="A7" s="302" t="s">
        <v>165</v>
      </c>
      <c r="B7" s="283">
        <v>108.866453708653</v>
      </c>
      <c r="C7" s="283">
        <v>114.00036</v>
      </c>
      <c r="D7" s="284">
        <v>5.1339062913470004</v>
      </c>
      <c r="E7" s="285">
        <v>1.047157835278</v>
      </c>
      <c r="F7" s="283">
        <v>98.871927165054004</v>
      </c>
      <c r="G7" s="284">
        <v>98.871927165054004</v>
      </c>
      <c r="H7" s="286">
        <v>8.9280500000000007</v>
      </c>
      <c r="I7" s="283">
        <v>113.85178999999999</v>
      </c>
      <c r="J7" s="284">
        <v>14.979862834944999</v>
      </c>
      <c r="K7" s="287">
        <v>1.1515077460750001</v>
      </c>
    </row>
    <row r="8" spans="1:11" ht="14.4" customHeight="1" thickBot="1" x14ac:dyDescent="0.35">
      <c r="A8" s="303" t="s">
        <v>166</v>
      </c>
      <c r="B8" s="283">
        <v>15.306453100452</v>
      </c>
      <c r="C8" s="283">
        <v>23.371359999999999</v>
      </c>
      <c r="D8" s="284">
        <v>8.0649068995469992</v>
      </c>
      <c r="E8" s="285">
        <v>1.5268958684689999</v>
      </c>
      <c r="F8" s="283">
        <v>10.348250100232001</v>
      </c>
      <c r="G8" s="284">
        <v>10.348250100232001</v>
      </c>
      <c r="H8" s="286">
        <v>1.08205</v>
      </c>
      <c r="I8" s="283">
        <v>25.813790000000001</v>
      </c>
      <c r="J8" s="284">
        <v>15.465539899767</v>
      </c>
      <c r="K8" s="287">
        <v>2.4945077428519999</v>
      </c>
    </row>
    <row r="9" spans="1:11" ht="14.4" customHeight="1" thickBot="1" x14ac:dyDescent="0.35">
      <c r="A9" s="304" t="s">
        <v>167</v>
      </c>
      <c r="B9" s="288">
        <v>0</v>
      </c>
      <c r="C9" s="288">
        <v>0.16269</v>
      </c>
      <c r="D9" s="289">
        <v>0.16269</v>
      </c>
      <c r="E9" s="290" t="s">
        <v>168</v>
      </c>
      <c r="F9" s="288">
        <v>0.243280021963</v>
      </c>
      <c r="G9" s="289">
        <v>0.243280021963</v>
      </c>
      <c r="H9" s="291">
        <v>0</v>
      </c>
      <c r="I9" s="288">
        <v>0.16406000000000001</v>
      </c>
      <c r="J9" s="289">
        <v>-7.9220021963000001E-2</v>
      </c>
      <c r="K9" s="292">
        <v>0.674366923663</v>
      </c>
    </row>
    <row r="10" spans="1:11" ht="14.4" customHeight="1" thickBot="1" x14ac:dyDescent="0.35">
      <c r="A10" s="305" t="s">
        <v>169</v>
      </c>
      <c r="B10" s="283">
        <v>0</v>
      </c>
      <c r="C10" s="283">
        <v>0.16269</v>
      </c>
      <c r="D10" s="284">
        <v>0.16269</v>
      </c>
      <c r="E10" s="293" t="s">
        <v>168</v>
      </c>
      <c r="F10" s="283">
        <v>0.243280021963</v>
      </c>
      <c r="G10" s="284">
        <v>0.243280021963</v>
      </c>
      <c r="H10" s="286">
        <v>0</v>
      </c>
      <c r="I10" s="283">
        <v>0.16406000000000001</v>
      </c>
      <c r="J10" s="284">
        <v>-7.9220021963000001E-2</v>
      </c>
      <c r="K10" s="287">
        <v>0.674366923663</v>
      </c>
    </row>
    <row r="11" spans="1:11" ht="14.4" customHeight="1" thickBot="1" x14ac:dyDescent="0.35">
      <c r="A11" s="304" t="s">
        <v>170</v>
      </c>
      <c r="B11" s="288">
        <v>0</v>
      </c>
      <c r="C11" s="288">
        <v>0.22214</v>
      </c>
      <c r="D11" s="289">
        <v>0.22214</v>
      </c>
      <c r="E11" s="290" t="s">
        <v>168</v>
      </c>
      <c r="F11" s="288">
        <v>0.26298002374099999</v>
      </c>
      <c r="G11" s="289">
        <v>0.26298002374099999</v>
      </c>
      <c r="H11" s="291">
        <v>0</v>
      </c>
      <c r="I11" s="288">
        <v>1.0120000000000001E-2</v>
      </c>
      <c r="J11" s="289">
        <v>-0.25286002374099997</v>
      </c>
      <c r="K11" s="292">
        <v>3.8482010366999997E-2</v>
      </c>
    </row>
    <row r="12" spans="1:11" ht="14.4" customHeight="1" thickBot="1" x14ac:dyDescent="0.35">
      <c r="A12" s="305" t="s">
        <v>171</v>
      </c>
      <c r="B12" s="283">
        <v>0</v>
      </c>
      <c r="C12" s="283">
        <v>0.22214</v>
      </c>
      <c r="D12" s="284">
        <v>0.22214</v>
      </c>
      <c r="E12" s="293" t="s">
        <v>168</v>
      </c>
      <c r="F12" s="283">
        <v>0.26298002374099999</v>
      </c>
      <c r="G12" s="284">
        <v>0.26298002374099999</v>
      </c>
      <c r="H12" s="286">
        <v>0</v>
      </c>
      <c r="I12" s="283">
        <v>1.0120000000000001E-2</v>
      </c>
      <c r="J12" s="284">
        <v>-0.25286002374099997</v>
      </c>
      <c r="K12" s="287">
        <v>3.8482010366999997E-2</v>
      </c>
    </row>
    <row r="13" spans="1:11" ht="14.4" customHeight="1" thickBot="1" x14ac:dyDescent="0.35">
      <c r="A13" s="304" t="s">
        <v>172</v>
      </c>
      <c r="B13" s="288">
        <v>15.306453100452</v>
      </c>
      <c r="C13" s="288">
        <v>19.866630000000001</v>
      </c>
      <c r="D13" s="289">
        <v>4.5601768995469998</v>
      </c>
      <c r="E13" s="294">
        <v>1.2979251214900001</v>
      </c>
      <c r="F13" s="288">
        <v>9.3761637768869992</v>
      </c>
      <c r="G13" s="289">
        <v>9.3761637768869992</v>
      </c>
      <c r="H13" s="291">
        <v>0.81827000000000005</v>
      </c>
      <c r="I13" s="288">
        <v>18.538150000000002</v>
      </c>
      <c r="J13" s="289">
        <v>9.1619862231120006</v>
      </c>
      <c r="K13" s="292">
        <v>1.977157229878</v>
      </c>
    </row>
    <row r="14" spans="1:11" ht="14.4" customHeight="1" thickBot="1" x14ac:dyDescent="0.35">
      <c r="A14" s="305" t="s">
        <v>173</v>
      </c>
      <c r="B14" s="283">
        <v>0</v>
      </c>
      <c r="C14" s="283">
        <v>0</v>
      </c>
      <c r="D14" s="284">
        <v>0</v>
      </c>
      <c r="E14" s="285">
        <v>1</v>
      </c>
      <c r="F14" s="283">
        <v>0</v>
      </c>
      <c r="G14" s="284">
        <v>0</v>
      </c>
      <c r="H14" s="286">
        <v>0</v>
      </c>
      <c r="I14" s="283">
        <v>1.5125</v>
      </c>
      <c r="J14" s="284">
        <v>1.5125</v>
      </c>
      <c r="K14" s="295" t="s">
        <v>168</v>
      </c>
    </row>
    <row r="15" spans="1:11" ht="14.4" customHeight="1" thickBot="1" x14ac:dyDescent="0.35">
      <c r="A15" s="305" t="s">
        <v>174</v>
      </c>
      <c r="B15" s="283">
        <v>0</v>
      </c>
      <c r="C15" s="283">
        <v>0.2742</v>
      </c>
      <c r="D15" s="284">
        <v>0.2742</v>
      </c>
      <c r="E15" s="293" t="s">
        <v>162</v>
      </c>
      <c r="F15" s="283">
        <v>0.257089102688</v>
      </c>
      <c r="G15" s="284">
        <v>0.257089102688</v>
      </c>
      <c r="H15" s="286">
        <v>1.38E-2</v>
      </c>
      <c r="I15" s="283">
        <v>0.19824</v>
      </c>
      <c r="J15" s="284">
        <v>-5.8849102687999998E-2</v>
      </c>
      <c r="K15" s="287">
        <v>0.77109452686699997</v>
      </c>
    </row>
    <row r="16" spans="1:11" ht="14.4" customHeight="1" thickBot="1" x14ac:dyDescent="0.35">
      <c r="A16" s="305" t="s">
        <v>175</v>
      </c>
      <c r="B16" s="283">
        <v>2.9999999055069999</v>
      </c>
      <c r="C16" s="283">
        <v>4.1914400000000001</v>
      </c>
      <c r="D16" s="284">
        <v>1.1914400944920001</v>
      </c>
      <c r="E16" s="285">
        <v>1.397146710673</v>
      </c>
      <c r="F16" s="283">
        <v>3.0916176506180002</v>
      </c>
      <c r="G16" s="284">
        <v>3.0916176506180002</v>
      </c>
      <c r="H16" s="286">
        <v>0.45952999999999999</v>
      </c>
      <c r="I16" s="283">
        <v>3.9999799999999999</v>
      </c>
      <c r="J16" s="284">
        <v>0.90836234938100002</v>
      </c>
      <c r="K16" s="287">
        <v>1.293814582537</v>
      </c>
    </row>
    <row r="17" spans="1:11" ht="14.4" customHeight="1" thickBot="1" x14ac:dyDescent="0.35">
      <c r="A17" s="305" t="s">
        <v>176</v>
      </c>
      <c r="B17" s="283">
        <v>0.99999996850200001</v>
      </c>
      <c r="C17" s="283">
        <v>0.3009</v>
      </c>
      <c r="D17" s="284">
        <v>-0.69909996850199996</v>
      </c>
      <c r="E17" s="285">
        <v>0.30090000947700002</v>
      </c>
      <c r="F17" s="283">
        <v>0.33121891208600002</v>
      </c>
      <c r="G17" s="284">
        <v>0.33121891208600002</v>
      </c>
      <c r="H17" s="286">
        <v>0</v>
      </c>
      <c r="I17" s="283">
        <v>6.8422999999999998</v>
      </c>
      <c r="J17" s="284">
        <v>6.5110810879130003</v>
      </c>
      <c r="K17" s="287">
        <v>0</v>
      </c>
    </row>
    <row r="18" spans="1:11" ht="14.4" customHeight="1" thickBot="1" x14ac:dyDescent="0.35">
      <c r="A18" s="305" t="s">
        <v>177</v>
      </c>
      <c r="B18" s="283">
        <v>11.306453226442001</v>
      </c>
      <c r="C18" s="283">
        <v>13.83684</v>
      </c>
      <c r="D18" s="284">
        <v>2.5303867735569998</v>
      </c>
      <c r="E18" s="285">
        <v>1.223800224781</v>
      </c>
      <c r="F18" s="283">
        <v>4.145377261618</v>
      </c>
      <c r="G18" s="284">
        <v>4.145377261618</v>
      </c>
      <c r="H18" s="286">
        <v>0</v>
      </c>
      <c r="I18" s="283">
        <v>3.9778199999999999</v>
      </c>
      <c r="J18" s="284">
        <v>-0.167557261618</v>
      </c>
      <c r="K18" s="287">
        <v>0.95957973157900001</v>
      </c>
    </row>
    <row r="19" spans="1:11" ht="14.4" customHeight="1" thickBot="1" x14ac:dyDescent="0.35">
      <c r="A19" s="305" t="s">
        <v>178</v>
      </c>
      <c r="B19" s="283">
        <v>0</v>
      </c>
      <c r="C19" s="283">
        <v>1.26325</v>
      </c>
      <c r="D19" s="284">
        <v>1.26325</v>
      </c>
      <c r="E19" s="293" t="s">
        <v>162</v>
      </c>
      <c r="F19" s="283">
        <v>1.5508608498750001</v>
      </c>
      <c r="G19" s="284">
        <v>1.5508608498750001</v>
      </c>
      <c r="H19" s="286">
        <v>0.34494000000000002</v>
      </c>
      <c r="I19" s="283">
        <v>2.0073099999999999</v>
      </c>
      <c r="J19" s="284">
        <v>0.456449150124</v>
      </c>
      <c r="K19" s="287">
        <v>1.2943198612310001</v>
      </c>
    </row>
    <row r="20" spans="1:11" ht="14.4" customHeight="1" thickBot="1" x14ac:dyDescent="0.35">
      <c r="A20" s="304" t="s">
        <v>179</v>
      </c>
      <c r="B20" s="288">
        <v>0</v>
      </c>
      <c r="C20" s="288">
        <v>0.40114</v>
      </c>
      <c r="D20" s="289">
        <v>0.40114</v>
      </c>
      <c r="E20" s="290" t="s">
        <v>162</v>
      </c>
      <c r="F20" s="288">
        <v>0.46582627764000001</v>
      </c>
      <c r="G20" s="289">
        <v>0.46582627764000001</v>
      </c>
      <c r="H20" s="291">
        <v>0</v>
      </c>
      <c r="I20" s="288">
        <v>0.13009999999999999</v>
      </c>
      <c r="J20" s="289">
        <v>-0.33572627764000001</v>
      </c>
      <c r="K20" s="292">
        <v>0.27928866670800001</v>
      </c>
    </row>
    <row r="21" spans="1:11" ht="14.4" customHeight="1" thickBot="1" x14ac:dyDescent="0.35">
      <c r="A21" s="305" t="s">
        <v>180</v>
      </c>
      <c r="B21" s="283">
        <v>0</v>
      </c>
      <c r="C21" s="283">
        <v>0.40114</v>
      </c>
      <c r="D21" s="284">
        <v>0.40114</v>
      </c>
      <c r="E21" s="293" t="s">
        <v>162</v>
      </c>
      <c r="F21" s="283">
        <v>0.46582627764000001</v>
      </c>
      <c r="G21" s="284">
        <v>0.46582627764000001</v>
      </c>
      <c r="H21" s="286">
        <v>0</v>
      </c>
      <c r="I21" s="283">
        <v>0.13009999999999999</v>
      </c>
      <c r="J21" s="284">
        <v>-0.33572627764000001</v>
      </c>
      <c r="K21" s="287">
        <v>0.27928866670800001</v>
      </c>
    </row>
    <row r="22" spans="1:11" ht="14.4" customHeight="1" thickBot="1" x14ac:dyDescent="0.35">
      <c r="A22" s="304" t="s">
        <v>181</v>
      </c>
      <c r="B22" s="288">
        <v>0</v>
      </c>
      <c r="C22" s="288">
        <v>2.7187600000000001</v>
      </c>
      <c r="D22" s="289">
        <v>2.7187600000000001</v>
      </c>
      <c r="E22" s="290" t="s">
        <v>162</v>
      </c>
      <c r="F22" s="288">
        <v>0</v>
      </c>
      <c r="G22" s="289">
        <v>0</v>
      </c>
      <c r="H22" s="291">
        <v>0.26378000000000001</v>
      </c>
      <c r="I22" s="288">
        <v>6.9713599999999998</v>
      </c>
      <c r="J22" s="289">
        <v>6.9713599999999998</v>
      </c>
      <c r="K22" s="296" t="s">
        <v>162</v>
      </c>
    </row>
    <row r="23" spans="1:11" ht="14.4" customHeight="1" thickBot="1" x14ac:dyDescent="0.35">
      <c r="A23" s="305" t="s">
        <v>182</v>
      </c>
      <c r="B23" s="283">
        <v>0</v>
      </c>
      <c r="C23" s="283">
        <v>2.7187600000000001</v>
      </c>
      <c r="D23" s="284">
        <v>2.7187600000000001</v>
      </c>
      <c r="E23" s="293" t="s">
        <v>162</v>
      </c>
      <c r="F23" s="283">
        <v>0</v>
      </c>
      <c r="G23" s="284">
        <v>0</v>
      </c>
      <c r="H23" s="286">
        <v>0.26378000000000001</v>
      </c>
      <c r="I23" s="283">
        <v>6.9713599999999998</v>
      </c>
      <c r="J23" s="284">
        <v>6.9713599999999998</v>
      </c>
      <c r="K23" s="295" t="s">
        <v>162</v>
      </c>
    </row>
    <row r="24" spans="1:11" ht="14.4" customHeight="1" thickBot="1" x14ac:dyDescent="0.35">
      <c r="A24" s="303" t="s">
        <v>26</v>
      </c>
      <c r="B24" s="283">
        <v>93.560000608199999</v>
      </c>
      <c r="C24" s="283">
        <v>90.629000000000005</v>
      </c>
      <c r="D24" s="284">
        <v>-2.9310006082000002</v>
      </c>
      <c r="E24" s="285">
        <v>0.96867250332199994</v>
      </c>
      <c r="F24" s="283">
        <v>88.523677064821001</v>
      </c>
      <c r="G24" s="284">
        <v>88.523677064821001</v>
      </c>
      <c r="H24" s="286">
        <v>7.8460000000000001</v>
      </c>
      <c r="I24" s="283">
        <v>88.037999999999997</v>
      </c>
      <c r="J24" s="284">
        <v>-0.48567706482099998</v>
      </c>
      <c r="K24" s="287">
        <v>0.99451359138100004</v>
      </c>
    </row>
    <row r="25" spans="1:11" ht="14.4" customHeight="1" thickBot="1" x14ac:dyDescent="0.35">
      <c r="A25" s="304" t="s">
        <v>183</v>
      </c>
      <c r="B25" s="288">
        <v>93.560000608199999</v>
      </c>
      <c r="C25" s="288">
        <v>90.629000000000005</v>
      </c>
      <c r="D25" s="289">
        <v>-2.9310006082000002</v>
      </c>
      <c r="E25" s="294">
        <v>0.96867250332199994</v>
      </c>
      <c r="F25" s="288">
        <v>88.523677064821001</v>
      </c>
      <c r="G25" s="289">
        <v>88.523677064821001</v>
      </c>
      <c r="H25" s="291">
        <v>7.8460000000000001</v>
      </c>
      <c r="I25" s="288">
        <v>88.037999999999997</v>
      </c>
      <c r="J25" s="289">
        <v>-0.48567706482099998</v>
      </c>
      <c r="K25" s="292">
        <v>0.99451359138100004</v>
      </c>
    </row>
    <row r="26" spans="1:11" ht="14.4" customHeight="1" thickBot="1" x14ac:dyDescent="0.35">
      <c r="A26" s="305" t="s">
        <v>184</v>
      </c>
      <c r="B26" s="283">
        <v>32.311707951845001</v>
      </c>
      <c r="C26" s="283">
        <v>31.922999999999998</v>
      </c>
      <c r="D26" s="284">
        <v>-0.38870795184500001</v>
      </c>
      <c r="E26" s="285">
        <v>0.98797005864099996</v>
      </c>
      <c r="F26" s="283">
        <v>31.495187045921</v>
      </c>
      <c r="G26" s="284">
        <v>31.495187045921</v>
      </c>
      <c r="H26" s="286">
        <v>2.3359999999999999</v>
      </c>
      <c r="I26" s="283">
        <v>28.617999999999999</v>
      </c>
      <c r="J26" s="284">
        <v>-2.8771870459210001</v>
      </c>
      <c r="K26" s="287">
        <v>0.90864677063999999</v>
      </c>
    </row>
    <row r="27" spans="1:11" ht="14.4" customHeight="1" thickBot="1" x14ac:dyDescent="0.35">
      <c r="A27" s="305" t="s">
        <v>185</v>
      </c>
      <c r="B27" s="283">
        <v>34.999998897584</v>
      </c>
      <c r="C27" s="283">
        <v>31.248000000000001</v>
      </c>
      <c r="D27" s="284">
        <v>-3.751998897584</v>
      </c>
      <c r="E27" s="285">
        <v>0.89280002812100001</v>
      </c>
      <c r="F27" s="283">
        <v>29.931490708262999</v>
      </c>
      <c r="G27" s="284">
        <v>29.931490708262999</v>
      </c>
      <c r="H27" s="286">
        <v>1.59</v>
      </c>
      <c r="I27" s="283">
        <v>31.289000000000001</v>
      </c>
      <c r="J27" s="284">
        <v>1.3575092917360001</v>
      </c>
      <c r="K27" s="287">
        <v>1.045353881801</v>
      </c>
    </row>
    <row r="28" spans="1:11" ht="14.4" customHeight="1" thickBot="1" x14ac:dyDescent="0.35">
      <c r="A28" s="305" t="s">
        <v>186</v>
      </c>
      <c r="B28" s="283">
        <v>25.999999181063</v>
      </c>
      <c r="C28" s="283">
        <v>27.457999999999998</v>
      </c>
      <c r="D28" s="284">
        <v>1.4580008189360001</v>
      </c>
      <c r="E28" s="285">
        <v>1.0560769563400001</v>
      </c>
      <c r="F28" s="283">
        <v>27.096999310636001</v>
      </c>
      <c r="G28" s="284">
        <v>27.096999310636001</v>
      </c>
      <c r="H28" s="286">
        <v>3.92</v>
      </c>
      <c r="I28" s="283">
        <v>28.131</v>
      </c>
      <c r="J28" s="284">
        <v>1.034000689363</v>
      </c>
      <c r="K28" s="287">
        <v>1.0381592322269999</v>
      </c>
    </row>
    <row r="29" spans="1:11" ht="14.4" customHeight="1" thickBot="1" x14ac:dyDescent="0.35">
      <c r="A29" s="305" t="s">
        <v>187</v>
      </c>
      <c r="B29" s="283">
        <v>0.248294577706</v>
      </c>
      <c r="C29" s="283">
        <v>0</v>
      </c>
      <c r="D29" s="284">
        <v>-0.248294577706</v>
      </c>
      <c r="E29" s="285">
        <v>0</v>
      </c>
      <c r="F29" s="283">
        <v>0</v>
      </c>
      <c r="G29" s="284">
        <v>0</v>
      </c>
      <c r="H29" s="286">
        <v>0</v>
      </c>
      <c r="I29" s="283">
        <v>0</v>
      </c>
      <c r="J29" s="284">
        <v>0</v>
      </c>
      <c r="K29" s="287">
        <v>0</v>
      </c>
    </row>
    <row r="30" spans="1:11" ht="14.4" customHeight="1" thickBot="1" x14ac:dyDescent="0.35">
      <c r="A30" s="306" t="s">
        <v>188</v>
      </c>
      <c r="B30" s="288">
        <v>66.406687796865995</v>
      </c>
      <c r="C30" s="288">
        <v>50.243259999999999</v>
      </c>
      <c r="D30" s="289">
        <v>-16.163427796865999</v>
      </c>
      <c r="E30" s="294">
        <v>0.75659939784499997</v>
      </c>
      <c r="F30" s="288">
        <v>49.964191722142999</v>
      </c>
      <c r="G30" s="289">
        <v>49.964191722142999</v>
      </c>
      <c r="H30" s="291">
        <v>3.4084099999999999</v>
      </c>
      <c r="I30" s="288">
        <v>44.631770000000003</v>
      </c>
      <c r="J30" s="289">
        <v>-5.3324217221429997</v>
      </c>
      <c r="K30" s="292">
        <v>0.89327513288299998</v>
      </c>
    </row>
    <row r="31" spans="1:11" ht="14.4" customHeight="1" thickBot="1" x14ac:dyDescent="0.35">
      <c r="A31" s="303" t="s">
        <v>29</v>
      </c>
      <c r="B31" s="283">
        <v>21.623146560443999</v>
      </c>
      <c r="C31" s="283">
        <v>3.8030300000000001</v>
      </c>
      <c r="D31" s="284">
        <v>-17.820116560443999</v>
      </c>
      <c r="E31" s="285">
        <v>0.175877733121</v>
      </c>
      <c r="F31" s="283">
        <v>4.8811767794170002</v>
      </c>
      <c r="G31" s="284">
        <v>4.8811767794170002</v>
      </c>
      <c r="H31" s="286">
        <v>0</v>
      </c>
      <c r="I31" s="283">
        <v>1.6989099999999999</v>
      </c>
      <c r="J31" s="284">
        <v>-3.1822667794170001</v>
      </c>
      <c r="K31" s="287">
        <v>0.34805336433700002</v>
      </c>
    </row>
    <row r="32" spans="1:11" ht="14.4" customHeight="1" thickBot="1" x14ac:dyDescent="0.35">
      <c r="A32" s="307" t="s">
        <v>189</v>
      </c>
      <c r="B32" s="283">
        <v>21.623146560443999</v>
      </c>
      <c r="C32" s="283">
        <v>3.8030300000000001</v>
      </c>
      <c r="D32" s="284">
        <v>-17.820116560443999</v>
      </c>
      <c r="E32" s="285">
        <v>0.175877733121</v>
      </c>
      <c r="F32" s="283">
        <v>4.8811767794170002</v>
      </c>
      <c r="G32" s="284">
        <v>4.8811767794170002</v>
      </c>
      <c r="H32" s="286">
        <v>0</v>
      </c>
      <c r="I32" s="283">
        <v>1.6989099999999999</v>
      </c>
      <c r="J32" s="284">
        <v>-3.1822667794170001</v>
      </c>
      <c r="K32" s="287">
        <v>0.34805336433700002</v>
      </c>
    </row>
    <row r="33" spans="1:11" ht="14.4" customHeight="1" thickBot="1" x14ac:dyDescent="0.35">
      <c r="A33" s="305" t="s">
        <v>190</v>
      </c>
      <c r="B33" s="283">
        <v>8.0375081878210004</v>
      </c>
      <c r="C33" s="283">
        <v>0</v>
      </c>
      <c r="D33" s="284">
        <v>-8.0375081878210004</v>
      </c>
      <c r="E33" s="285">
        <v>0</v>
      </c>
      <c r="F33" s="283">
        <v>0</v>
      </c>
      <c r="G33" s="284">
        <v>0</v>
      </c>
      <c r="H33" s="286">
        <v>0</v>
      </c>
      <c r="I33" s="283">
        <v>0</v>
      </c>
      <c r="J33" s="284">
        <v>0</v>
      </c>
      <c r="K33" s="287">
        <v>0</v>
      </c>
    </row>
    <row r="34" spans="1:11" ht="14.4" customHeight="1" thickBot="1" x14ac:dyDescent="0.35">
      <c r="A34" s="305" t="s">
        <v>191</v>
      </c>
      <c r="B34" s="283">
        <v>11.999999622029</v>
      </c>
      <c r="C34" s="283">
        <v>2.1282999999999999</v>
      </c>
      <c r="D34" s="284">
        <v>-9.8716996220290003</v>
      </c>
      <c r="E34" s="285">
        <v>0.17735833891899999</v>
      </c>
      <c r="F34" s="283">
        <v>2.4733562077169999</v>
      </c>
      <c r="G34" s="284">
        <v>2.4733562077169999</v>
      </c>
      <c r="H34" s="286">
        <v>0</v>
      </c>
      <c r="I34" s="283">
        <v>0</v>
      </c>
      <c r="J34" s="284">
        <v>-2.4733562077169999</v>
      </c>
      <c r="K34" s="287">
        <v>0</v>
      </c>
    </row>
    <row r="35" spans="1:11" ht="14.4" customHeight="1" thickBot="1" x14ac:dyDescent="0.35">
      <c r="A35" s="305" t="s">
        <v>192</v>
      </c>
      <c r="B35" s="283">
        <v>1.5856387505930001</v>
      </c>
      <c r="C35" s="283">
        <v>1.6747300000000001</v>
      </c>
      <c r="D35" s="284">
        <v>8.9091249405999995E-2</v>
      </c>
      <c r="E35" s="285">
        <v>1.0561863472199999</v>
      </c>
      <c r="F35" s="283">
        <v>2.4078205716990002</v>
      </c>
      <c r="G35" s="284">
        <v>2.4078205716990002</v>
      </c>
      <c r="H35" s="286">
        <v>0</v>
      </c>
      <c r="I35" s="283">
        <v>1.6989099999999999</v>
      </c>
      <c r="J35" s="284">
        <v>-0.70891057169899996</v>
      </c>
      <c r="K35" s="287">
        <v>0.70557998381099996</v>
      </c>
    </row>
    <row r="36" spans="1:11" ht="14.4" customHeight="1" thickBot="1" x14ac:dyDescent="0.35">
      <c r="A36" s="308" t="s">
        <v>30</v>
      </c>
      <c r="B36" s="288">
        <v>0</v>
      </c>
      <c r="C36" s="288">
        <v>1.232</v>
      </c>
      <c r="D36" s="289">
        <v>1.232</v>
      </c>
      <c r="E36" s="290" t="s">
        <v>162</v>
      </c>
      <c r="F36" s="288">
        <v>0</v>
      </c>
      <c r="G36" s="289">
        <v>0</v>
      </c>
      <c r="H36" s="291">
        <v>0</v>
      </c>
      <c r="I36" s="288">
        <v>1.0820000000000001</v>
      </c>
      <c r="J36" s="289">
        <v>1.0820000000000001</v>
      </c>
      <c r="K36" s="296" t="s">
        <v>162</v>
      </c>
    </row>
    <row r="37" spans="1:11" ht="14.4" customHeight="1" thickBot="1" x14ac:dyDescent="0.35">
      <c r="A37" s="304" t="s">
        <v>193</v>
      </c>
      <c r="B37" s="288">
        <v>0</v>
      </c>
      <c r="C37" s="288">
        <v>1.232</v>
      </c>
      <c r="D37" s="289">
        <v>1.232</v>
      </c>
      <c r="E37" s="290" t="s">
        <v>162</v>
      </c>
      <c r="F37" s="288">
        <v>0</v>
      </c>
      <c r="G37" s="289">
        <v>0</v>
      </c>
      <c r="H37" s="291">
        <v>0</v>
      </c>
      <c r="I37" s="288">
        <v>1.0820000000000001</v>
      </c>
      <c r="J37" s="289">
        <v>1.0820000000000001</v>
      </c>
      <c r="K37" s="296" t="s">
        <v>162</v>
      </c>
    </row>
    <row r="38" spans="1:11" ht="14.4" customHeight="1" thickBot="1" x14ac:dyDescent="0.35">
      <c r="A38" s="305" t="s">
        <v>194</v>
      </c>
      <c r="B38" s="283">
        <v>0</v>
      </c>
      <c r="C38" s="283">
        <v>1.232</v>
      </c>
      <c r="D38" s="284">
        <v>1.232</v>
      </c>
      <c r="E38" s="293" t="s">
        <v>162</v>
      </c>
      <c r="F38" s="283">
        <v>0</v>
      </c>
      <c r="G38" s="284">
        <v>0</v>
      </c>
      <c r="H38" s="286">
        <v>0</v>
      </c>
      <c r="I38" s="283">
        <v>1.0820000000000001</v>
      </c>
      <c r="J38" s="284">
        <v>1.0820000000000001</v>
      </c>
      <c r="K38" s="295" t="s">
        <v>162</v>
      </c>
    </row>
    <row r="39" spans="1:11" ht="14.4" customHeight="1" thickBot="1" x14ac:dyDescent="0.35">
      <c r="A39" s="303" t="s">
        <v>31</v>
      </c>
      <c r="B39" s="283">
        <v>44.783541236422003</v>
      </c>
      <c r="C39" s="283">
        <v>45.20823</v>
      </c>
      <c r="D39" s="284">
        <v>0.42468876357699997</v>
      </c>
      <c r="E39" s="285">
        <v>1.0094831438480001</v>
      </c>
      <c r="F39" s="283">
        <v>45.083014942726003</v>
      </c>
      <c r="G39" s="284">
        <v>45.083014942726003</v>
      </c>
      <c r="H39" s="286">
        <v>3.4084099999999999</v>
      </c>
      <c r="I39" s="283">
        <v>41.850859999999997</v>
      </c>
      <c r="J39" s="284">
        <v>-3.2321549427259999</v>
      </c>
      <c r="K39" s="287">
        <v>0.92830659291899997</v>
      </c>
    </row>
    <row r="40" spans="1:11" ht="14.4" customHeight="1" thickBot="1" x14ac:dyDescent="0.35">
      <c r="A40" s="304" t="s">
        <v>195</v>
      </c>
      <c r="B40" s="288">
        <v>22.455456364566999</v>
      </c>
      <c r="C40" s="288">
        <v>22.66911</v>
      </c>
      <c r="D40" s="289">
        <v>0.213653635432</v>
      </c>
      <c r="E40" s="294">
        <v>1.009514553254</v>
      </c>
      <c r="F40" s="288">
        <v>22.113953754009</v>
      </c>
      <c r="G40" s="289">
        <v>22.113953754009</v>
      </c>
      <c r="H40" s="291">
        <v>1.58084</v>
      </c>
      <c r="I40" s="288">
        <v>18.83718</v>
      </c>
      <c r="J40" s="289">
        <v>-3.2767737540090001</v>
      </c>
      <c r="K40" s="292">
        <v>0.85182325193999997</v>
      </c>
    </row>
    <row r="41" spans="1:11" ht="14.4" customHeight="1" thickBot="1" x14ac:dyDescent="0.35">
      <c r="A41" s="305" t="s">
        <v>196</v>
      </c>
      <c r="B41" s="283">
        <v>6.4837612672110003</v>
      </c>
      <c r="C41" s="283">
        <v>6.0316000000000001</v>
      </c>
      <c r="D41" s="284">
        <v>-0.45216126721099997</v>
      </c>
      <c r="E41" s="285">
        <v>0.93026250526800003</v>
      </c>
      <c r="F41" s="283">
        <v>3.7629047063150001</v>
      </c>
      <c r="G41" s="284">
        <v>3.7629047063150001</v>
      </c>
      <c r="H41" s="286">
        <v>0.64200000000000002</v>
      </c>
      <c r="I41" s="283">
        <v>6.7220000000000004</v>
      </c>
      <c r="J41" s="284">
        <v>2.9590952936839998</v>
      </c>
      <c r="K41" s="287">
        <v>1.7863859238090001</v>
      </c>
    </row>
    <row r="42" spans="1:11" ht="14.4" customHeight="1" thickBot="1" x14ac:dyDescent="0.35">
      <c r="A42" s="305" t="s">
        <v>197</v>
      </c>
      <c r="B42" s="283">
        <v>15.971695097354999</v>
      </c>
      <c r="C42" s="283">
        <v>16.637509999999999</v>
      </c>
      <c r="D42" s="284">
        <v>0.66581490264400001</v>
      </c>
      <c r="E42" s="285">
        <v>1.0416871783849999</v>
      </c>
      <c r="F42" s="283">
        <v>18.351049047694001</v>
      </c>
      <c r="G42" s="284">
        <v>18.351049047694001</v>
      </c>
      <c r="H42" s="286">
        <v>0.93884000000000001</v>
      </c>
      <c r="I42" s="283">
        <v>12.115180000000001</v>
      </c>
      <c r="J42" s="284">
        <v>-6.235869047694</v>
      </c>
      <c r="K42" s="287">
        <v>0.66019005063400005</v>
      </c>
    </row>
    <row r="43" spans="1:11" ht="14.4" customHeight="1" thickBot="1" x14ac:dyDescent="0.35">
      <c r="A43" s="304" t="s">
        <v>198</v>
      </c>
      <c r="B43" s="288">
        <v>0.99999996850200001</v>
      </c>
      <c r="C43" s="288">
        <v>1.08</v>
      </c>
      <c r="D43" s="289">
        <v>8.0000031496999996E-2</v>
      </c>
      <c r="E43" s="294">
        <v>1.080000034017</v>
      </c>
      <c r="F43" s="288">
        <v>0.99999840846400001</v>
      </c>
      <c r="G43" s="289">
        <v>0.99999840846400001</v>
      </c>
      <c r="H43" s="291">
        <v>0</v>
      </c>
      <c r="I43" s="288">
        <v>1.08</v>
      </c>
      <c r="J43" s="289">
        <v>8.0001591535E-2</v>
      </c>
      <c r="K43" s="292">
        <v>1.080001718861</v>
      </c>
    </row>
    <row r="44" spans="1:11" ht="14.4" customHeight="1" thickBot="1" x14ac:dyDescent="0.35">
      <c r="A44" s="305" t="s">
        <v>199</v>
      </c>
      <c r="B44" s="283">
        <v>0.99999996850200001</v>
      </c>
      <c r="C44" s="283">
        <v>1.08</v>
      </c>
      <c r="D44" s="284">
        <v>8.0000031496999996E-2</v>
      </c>
      <c r="E44" s="285">
        <v>1.080000034017</v>
      </c>
      <c r="F44" s="283">
        <v>0.99999840846400001</v>
      </c>
      <c r="G44" s="284">
        <v>0.99999840846400001</v>
      </c>
      <c r="H44" s="286">
        <v>0</v>
      </c>
      <c r="I44" s="283">
        <v>1.08</v>
      </c>
      <c r="J44" s="284">
        <v>8.0001591535E-2</v>
      </c>
      <c r="K44" s="287">
        <v>1.080001718861</v>
      </c>
    </row>
    <row r="45" spans="1:11" ht="14.4" customHeight="1" thickBot="1" x14ac:dyDescent="0.35">
      <c r="A45" s="304" t="s">
        <v>200</v>
      </c>
      <c r="B45" s="288">
        <v>21.328084903352998</v>
      </c>
      <c r="C45" s="288">
        <v>21.459119999999999</v>
      </c>
      <c r="D45" s="289">
        <v>0.13103509664599999</v>
      </c>
      <c r="E45" s="294">
        <v>1.006143781649</v>
      </c>
      <c r="F45" s="288">
        <v>21.969062780251999</v>
      </c>
      <c r="G45" s="289">
        <v>21.969062780251999</v>
      </c>
      <c r="H45" s="291">
        <v>1.8275699999999999</v>
      </c>
      <c r="I45" s="288">
        <v>21.933679999999999</v>
      </c>
      <c r="J45" s="289">
        <v>-3.5382780252E-2</v>
      </c>
      <c r="K45" s="292">
        <v>0.99838942695800004</v>
      </c>
    </row>
    <row r="46" spans="1:11" ht="14.4" customHeight="1" thickBot="1" x14ac:dyDescent="0.35">
      <c r="A46" s="305" t="s">
        <v>201</v>
      </c>
      <c r="B46" s="283">
        <v>21.328084903352998</v>
      </c>
      <c r="C46" s="283">
        <v>21.459119999999999</v>
      </c>
      <c r="D46" s="284">
        <v>0.13103509664599999</v>
      </c>
      <c r="E46" s="285">
        <v>1.006143781649</v>
      </c>
      <c r="F46" s="283">
        <v>21.969062780251999</v>
      </c>
      <c r="G46" s="284">
        <v>21.969062780251999</v>
      </c>
      <c r="H46" s="286">
        <v>1.8275699999999999</v>
      </c>
      <c r="I46" s="283">
        <v>21.933679999999999</v>
      </c>
      <c r="J46" s="284">
        <v>-3.5382780252E-2</v>
      </c>
      <c r="K46" s="287">
        <v>0.99838942695800004</v>
      </c>
    </row>
    <row r="47" spans="1:11" ht="14.4" customHeight="1" thickBot="1" x14ac:dyDescent="0.35">
      <c r="A47" s="302" t="s">
        <v>32</v>
      </c>
      <c r="B47" s="283">
        <v>3652.9998849393501</v>
      </c>
      <c r="C47" s="283">
        <v>3772.6526399999998</v>
      </c>
      <c r="D47" s="284">
        <v>119.652755060647</v>
      </c>
      <c r="E47" s="285">
        <v>1.0327546561259999</v>
      </c>
      <c r="F47" s="283">
        <v>3802.0003432426302</v>
      </c>
      <c r="G47" s="284">
        <v>3802.0003432426302</v>
      </c>
      <c r="H47" s="286">
        <v>411.82266000000197</v>
      </c>
      <c r="I47" s="283">
        <v>4080.7049699999998</v>
      </c>
      <c r="J47" s="284">
        <v>278.70462675736701</v>
      </c>
      <c r="K47" s="287">
        <v>1.07330473477</v>
      </c>
    </row>
    <row r="48" spans="1:11" ht="14.4" customHeight="1" thickBot="1" x14ac:dyDescent="0.35">
      <c r="A48" s="308" t="s">
        <v>202</v>
      </c>
      <c r="B48" s="288">
        <v>2707.9999147045601</v>
      </c>
      <c r="C48" s="288">
        <v>2794.5590000000002</v>
      </c>
      <c r="D48" s="289">
        <v>86.559085295436006</v>
      </c>
      <c r="E48" s="294">
        <v>1.031964212711</v>
      </c>
      <c r="F48" s="288">
        <v>2808.0002535048202</v>
      </c>
      <c r="G48" s="289">
        <v>2808.0002535048202</v>
      </c>
      <c r="H48" s="291">
        <v>303.92800000000102</v>
      </c>
      <c r="I48" s="288">
        <v>3013.172</v>
      </c>
      <c r="J48" s="289">
        <v>205.17174649518299</v>
      </c>
      <c r="K48" s="292">
        <v>1.073066854691</v>
      </c>
    </row>
    <row r="49" spans="1:11" ht="14.4" customHeight="1" thickBot="1" x14ac:dyDescent="0.35">
      <c r="A49" s="304" t="s">
        <v>203</v>
      </c>
      <c r="B49" s="288">
        <v>2699.9999149565401</v>
      </c>
      <c r="C49" s="288">
        <v>2794.5590000000002</v>
      </c>
      <c r="D49" s="289">
        <v>94.559085043454999</v>
      </c>
      <c r="E49" s="294">
        <v>1.0350218844520001</v>
      </c>
      <c r="F49" s="288">
        <v>2800.00025278258</v>
      </c>
      <c r="G49" s="289">
        <v>2800.00025278258</v>
      </c>
      <c r="H49" s="291">
        <v>303.92800000000102</v>
      </c>
      <c r="I49" s="288">
        <v>3006.8820000000001</v>
      </c>
      <c r="J49" s="289">
        <v>206.88174721742001</v>
      </c>
      <c r="K49" s="292">
        <v>1.0738863316209999</v>
      </c>
    </row>
    <row r="50" spans="1:11" ht="14.4" customHeight="1" thickBot="1" x14ac:dyDescent="0.35">
      <c r="A50" s="305" t="s">
        <v>204</v>
      </c>
      <c r="B50" s="283">
        <v>2699.9999149565401</v>
      </c>
      <c r="C50" s="283">
        <v>2794.5590000000002</v>
      </c>
      <c r="D50" s="284">
        <v>94.559085043454999</v>
      </c>
      <c r="E50" s="285">
        <v>1.0350218844520001</v>
      </c>
      <c r="F50" s="283">
        <v>2800.00025278258</v>
      </c>
      <c r="G50" s="284">
        <v>2800.00025278258</v>
      </c>
      <c r="H50" s="286">
        <v>303.92800000000102</v>
      </c>
      <c r="I50" s="283">
        <v>3006.8820000000001</v>
      </c>
      <c r="J50" s="284">
        <v>206.88174721742001</v>
      </c>
      <c r="K50" s="287">
        <v>1.0738863316209999</v>
      </c>
    </row>
    <row r="51" spans="1:11" ht="14.4" customHeight="1" thickBot="1" x14ac:dyDescent="0.35">
      <c r="A51" s="304" t="s">
        <v>205</v>
      </c>
      <c r="B51" s="288">
        <v>7.9999997480190004</v>
      </c>
      <c r="C51" s="288">
        <v>0</v>
      </c>
      <c r="D51" s="289">
        <v>-7.9999997480190004</v>
      </c>
      <c r="E51" s="294">
        <v>0</v>
      </c>
      <c r="F51" s="288">
        <v>8.0000007222350007</v>
      </c>
      <c r="G51" s="289">
        <v>8.0000007222350007</v>
      </c>
      <c r="H51" s="291">
        <v>0</v>
      </c>
      <c r="I51" s="288">
        <v>6.29</v>
      </c>
      <c r="J51" s="289">
        <v>-1.710000722235</v>
      </c>
      <c r="K51" s="292">
        <v>0.78624992901699997</v>
      </c>
    </row>
    <row r="52" spans="1:11" ht="14.4" customHeight="1" thickBot="1" x14ac:dyDescent="0.35">
      <c r="A52" s="305" t="s">
        <v>206</v>
      </c>
      <c r="B52" s="283">
        <v>7.9999997480190004</v>
      </c>
      <c r="C52" s="283">
        <v>0</v>
      </c>
      <c r="D52" s="284">
        <v>-7.9999997480190004</v>
      </c>
      <c r="E52" s="285">
        <v>0</v>
      </c>
      <c r="F52" s="283">
        <v>8.0000007222350007</v>
      </c>
      <c r="G52" s="284">
        <v>8.0000007222350007</v>
      </c>
      <c r="H52" s="286">
        <v>0</v>
      </c>
      <c r="I52" s="283">
        <v>6.29</v>
      </c>
      <c r="J52" s="284">
        <v>-1.710000722235</v>
      </c>
      <c r="K52" s="287">
        <v>0.78624992901699997</v>
      </c>
    </row>
    <row r="53" spans="1:11" ht="14.4" customHeight="1" thickBot="1" x14ac:dyDescent="0.35">
      <c r="A53" s="303" t="s">
        <v>207</v>
      </c>
      <c r="B53" s="283">
        <v>917.99997108522405</v>
      </c>
      <c r="C53" s="283">
        <v>950.14873</v>
      </c>
      <c r="D53" s="284">
        <v>32.148758914775001</v>
      </c>
      <c r="E53" s="285">
        <v>1.0350204356499999</v>
      </c>
      <c r="F53" s="283">
        <v>952.000085946078</v>
      </c>
      <c r="G53" s="284">
        <v>952.000085946078</v>
      </c>
      <c r="H53" s="286">
        <v>103.33499999999999</v>
      </c>
      <c r="I53" s="283">
        <v>1022.3365</v>
      </c>
      <c r="J53" s="284">
        <v>70.336414053921999</v>
      </c>
      <c r="K53" s="287">
        <v>1.0738827812009999</v>
      </c>
    </row>
    <row r="54" spans="1:11" ht="14.4" customHeight="1" thickBot="1" x14ac:dyDescent="0.35">
      <c r="A54" s="304" t="s">
        <v>208</v>
      </c>
      <c r="B54" s="288">
        <v>242.99999234608899</v>
      </c>
      <c r="C54" s="288">
        <v>251.50898000000001</v>
      </c>
      <c r="D54" s="289">
        <v>8.5089876539109994</v>
      </c>
      <c r="E54" s="294">
        <v>1.0350164112010001</v>
      </c>
      <c r="F54" s="288">
        <v>252.00002275043201</v>
      </c>
      <c r="G54" s="289">
        <v>252.00002275043201</v>
      </c>
      <c r="H54" s="291">
        <v>27.353000000000002</v>
      </c>
      <c r="I54" s="288">
        <v>270.61599999999999</v>
      </c>
      <c r="J54" s="289">
        <v>18.615977249566999</v>
      </c>
      <c r="K54" s="292">
        <v>1.0738729189239999</v>
      </c>
    </row>
    <row r="55" spans="1:11" ht="14.4" customHeight="1" thickBot="1" x14ac:dyDescent="0.35">
      <c r="A55" s="305" t="s">
        <v>209</v>
      </c>
      <c r="B55" s="283">
        <v>242.99999234608899</v>
      </c>
      <c r="C55" s="283">
        <v>251.50898000000001</v>
      </c>
      <c r="D55" s="284">
        <v>8.5089876539109994</v>
      </c>
      <c r="E55" s="285">
        <v>1.0350164112010001</v>
      </c>
      <c r="F55" s="283">
        <v>252.00002275043201</v>
      </c>
      <c r="G55" s="284">
        <v>252.00002275043201</v>
      </c>
      <c r="H55" s="286">
        <v>27.353000000000002</v>
      </c>
      <c r="I55" s="283">
        <v>270.61599999999999</v>
      </c>
      <c r="J55" s="284">
        <v>18.615977249566999</v>
      </c>
      <c r="K55" s="287">
        <v>1.0738729189239999</v>
      </c>
    </row>
    <row r="56" spans="1:11" ht="14.4" customHeight="1" thickBot="1" x14ac:dyDescent="0.35">
      <c r="A56" s="304" t="s">
        <v>210</v>
      </c>
      <c r="B56" s="288">
        <v>674.99997873913503</v>
      </c>
      <c r="C56" s="288">
        <v>698.63975000000005</v>
      </c>
      <c r="D56" s="289">
        <v>23.639771260863998</v>
      </c>
      <c r="E56" s="294">
        <v>1.0350218844520001</v>
      </c>
      <c r="F56" s="288">
        <v>700.000063195645</v>
      </c>
      <c r="G56" s="289">
        <v>700.000063195645</v>
      </c>
      <c r="H56" s="291">
        <v>75.981999999999999</v>
      </c>
      <c r="I56" s="288">
        <v>751.72050000000002</v>
      </c>
      <c r="J56" s="289">
        <v>51.720436804354001</v>
      </c>
      <c r="K56" s="292">
        <v>1.0738863316209999</v>
      </c>
    </row>
    <row r="57" spans="1:11" ht="14.4" customHeight="1" thickBot="1" x14ac:dyDescent="0.35">
      <c r="A57" s="305" t="s">
        <v>211</v>
      </c>
      <c r="B57" s="283">
        <v>674.99997873913503</v>
      </c>
      <c r="C57" s="283">
        <v>698.63975000000005</v>
      </c>
      <c r="D57" s="284">
        <v>23.639771260863998</v>
      </c>
      <c r="E57" s="285">
        <v>1.0350218844520001</v>
      </c>
      <c r="F57" s="283">
        <v>700.000063195645</v>
      </c>
      <c r="G57" s="284">
        <v>700.000063195645</v>
      </c>
      <c r="H57" s="286">
        <v>75.981999999999999</v>
      </c>
      <c r="I57" s="283">
        <v>751.72050000000002</v>
      </c>
      <c r="J57" s="284">
        <v>51.720436804354001</v>
      </c>
      <c r="K57" s="287">
        <v>1.0738863316209999</v>
      </c>
    </row>
    <row r="58" spans="1:11" ht="14.4" customHeight="1" thickBot="1" x14ac:dyDescent="0.35">
      <c r="A58" s="303" t="s">
        <v>212</v>
      </c>
      <c r="B58" s="283">
        <v>26.999999149564999</v>
      </c>
      <c r="C58" s="283">
        <v>27.94491</v>
      </c>
      <c r="D58" s="284">
        <v>0.94491085043400003</v>
      </c>
      <c r="E58" s="285">
        <v>1.034996699266</v>
      </c>
      <c r="F58" s="283">
        <v>42.000003791738003</v>
      </c>
      <c r="G58" s="284">
        <v>42.000003791738003</v>
      </c>
      <c r="H58" s="286">
        <v>4.55966</v>
      </c>
      <c r="I58" s="283">
        <v>45.196469999999998</v>
      </c>
      <c r="J58" s="284">
        <v>3.196466208261</v>
      </c>
      <c r="K58" s="287">
        <v>1.076106331421</v>
      </c>
    </row>
    <row r="59" spans="1:11" ht="14.4" customHeight="1" thickBot="1" x14ac:dyDescent="0.35">
      <c r="A59" s="304" t="s">
        <v>213</v>
      </c>
      <c r="B59" s="288">
        <v>26.999999149564999</v>
      </c>
      <c r="C59" s="288">
        <v>27.94491</v>
      </c>
      <c r="D59" s="289">
        <v>0.94491085043400003</v>
      </c>
      <c r="E59" s="294">
        <v>1.034996699266</v>
      </c>
      <c r="F59" s="288">
        <v>42.000003791738003</v>
      </c>
      <c r="G59" s="289">
        <v>42.000003791738003</v>
      </c>
      <c r="H59" s="291">
        <v>4.55966</v>
      </c>
      <c r="I59" s="288">
        <v>45.196469999999998</v>
      </c>
      <c r="J59" s="289">
        <v>3.196466208261</v>
      </c>
      <c r="K59" s="292">
        <v>1.076106331421</v>
      </c>
    </row>
    <row r="60" spans="1:11" ht="14.4" customHeight="1" thickBot="1" x14ac:dyDescent="0.35">
      <c r="A60" s="305" t="s">
        <v>214</v>
      </c>
      <c r="B60" s="283">
        <v>26.999999149564999</v>
      </c>
      <c r="C60" s="283">
        <v>27.94491</v>
      </c>
      <c r="D60" s="284">
        <v>0.94491085043400003</v>
      </c>
      <c r="E60" s="285">
        <v>1.034996699266</v>
      </c>
      <c r="F60" s="283">
        <v>42.000003791738003</v>
      </c>
      <c r="G60" s="284">
        <v>42.000003791738003</v>
      </c>
      <c r="H60" s="286">
        <v>4.55966</v>
      </c>
      <c r="I60" s="283">
        <v>45.196469999999998</v>
      </c>
      <c r="J60" s="284">
        <v>3.196466208261</v>
      </c>
      <c r="K60" s="287">
        <v>1.076106331421</v>
      </c>
    </row>
    <row r="61" spans="1:11" ht="14.4" customHeight="1" thickBot="1" x14ac:dyDescent="0.35">
      <c r="A61" s="302" t="s">
        <v>215</v>
      </c>
      <c r="B61" s="283">
        <v>0</v>
      </c>
      <c r="C61" s="283">
        <v>0</v>
      </c>
      <c r="D61" s="284">
        <v>0</v>
      </c>
      <c r="E61" s="285">
        <v>1</v>
      </c>
      <c r="F61" s="283">
        <v>0</v>
      </c>
      <c r="G61" s="284">
        <v>0</v>
      </c>
      <c r="H61" s="286">
        <v>0</v>
      </c>
      <c r="I61" s="283">
        <v>0.1</v>
      </c>
      <c r="J61" s="284">
        <v>0.1</v>
      </c>
      <c r="K61" s="295" t="s">
        <v>168</v>
      </c>
    </row>
    <row r="62" spans="1:11" ht="14.4" customHeight="1" thickBot="1" x14ac:dyDescent="0.35">
      <c r="A62" s="303" t="s">
        <v>216</v>
      </c>
      <c r="B62" s="283">
        <v>0</v>
      </c>
      <c r="C62" s="283">
        <v>0</v>
      </c>
      <c r="D62" s="284">
        <v>0</v>
      </c>
      <c r="E62" s="285">
        <v>1</v>
      </c>
      <c r="F62" s="283">
        <v>0</v>
      </c>
      <c r="G62" s="284">
        <v>0</v>
      </c>
      <c r="H62" s="286">
        <v>0</v>
      </c>
      <c r="I62" s="283">
        <v>0.1</v>
      </c>
      <c r="J62" s="284">
        <v>0.1</v>
      </c>
      <c r="K62" s="295" t="s">
        <v>168</v>
      </c>
    </row>
    <row r="63" spans="1:11" ht="14.4" customHeight="1" thickBot="1" x14ac:dyDescent="0.35">
      <c r="A63" s="304" t="s">
        <v>217</v>
      </c>
      <c r="B63" s="288">
        <v>0</v>
      </c>
      <c r="C63" s="288">
        <v>0</v>
      </c>
      <c r="D63" s="289">
        <v>0</v>
      </c>
      <c r="E63" s="294">
        <v>1</v>
      </c>
      <c r="F63" s="288">
        <v>0</v>
      </c>
      <c r="G63" s="289">
        <v>0</v>
      </c>
      <c r="H63" s="291">
        <v>0</v>
      </c>
      <c r="I63" s="288">
        <v>0.1</v>
      </c>
      <c r="J63" s="289">
        <v>0.1</v>
      </c>
      <c r="K63" s="296" t="s">
        <v>168</v>
      </c>
    </row>
    <row r="64" spans="1:11" ht="14.4" customHeight="1" thickBot="1" x14ac:dyDescent="0.35">
      <c r="A64" s="305" t="s">
        <v>218</v>
      </c>
      <c r="B64" s="283">
        <v>0</v>
      </c>
      <c r="C64" s="283">
        <v>0</v>
      </c>
      <c r="D64" s="284">
        <v>0</v>
      </c>
      <c r="E64" s="285">
        <v>1</v>
      </c>
      <c r="F64" s="283">
        <v>0</v>
      </c>
      <c r="G64" s="284">
        <v>0</v>
      </c>
      <c r="H64" s="286">
        <v>0</v>
      </c>
      <c r="I64" s="283">
        <v>0.1</v>
      </c>
      <c r="J64" s="284">
        <v>0.1</v>
      </c>
      <c r="K64" s="295" t="s">
        <v>168</v>
      </c>
    </row>
    <row r="65" spans="1:11" ht="14.4" customHeight="1" thickBot="1" x14ac:dyDescent="0.35">
      <c r="A65" s="302" t="s">
        <v>219</v>
      </c>
      <c r="B65" s="283">
        <v>0</v>
      </c>
      <c r="C65" s="283">
        <v>0.15090000000000001</v>
      </c>
      <c r="D65" s="284">
        <v>0.15090000000000001</v>
      </c>
      <c r="E65" s="293" t="s">
        <v>162</v>
      </c>
      <c r="F65" s="283">
        <v>0</v>
      </c>
      <c r="G65" s="284">
        <v>0</v>
      </c>
      <c r="H65" s="286">
        <v>0</v>
      </c>
      <c r="I65" s="283">
        <v>0.74024999999999996</v>
      </c>
      <c r="J65" s="284">
        <v>0.74024999999999996</v>
      </c>
      <c r="K65" s="295" t="s">
        <v>162</v>
      </c>
    </row>
    <row r="66" spans="1:11" ht="14.4" customHeight="1" thickBot="1" x14ac:dyDescent="0.35">
      <c r="A66" s="303" t="s">
        <v>220</v>
      </c>
      <c r="B66" s="283">
        <v>0</v>
      </c>
      <c r="C66" s="283">
        <v>0.15090000000000001</v>
      </c>
      <c r="D66" s="284">
        <v>0.15090000000000001</v>
      </c>
      <c r="E66" s="293" t="s">
        <v>162</v>
      </c>
      <c r="F66" s="283">
        <v>0</v>
      </c>
      <c r="G66" s="284">
        <v>0</v>
      </c>
      <c r="H66" s="286">
        <v>0</v>
      </c>
      <c r="I66" s="283">
        <v>0.74024999999999996</v>
      </c>
      <c r="J66" s="284">
        <v>0.74024999999999996</v>
      </c>
      <c r="K66" s="295" t="s">
        <v>162</v>
      </c>
    </row>
    <row r="67" spans="1:11" ht="14.4" customHeight="1" thickBot="1" x14ac:dyDescent="0.35">
      <c r="A67" s="304" t="s">
        <v>221</v>
      </c>
      <c r="B67" s="288">
        <v>0</v>
      </c>
      <c r="C67" s="288">
        <v>0.15090000000000001</v>
      </c>
      <c r="D67" s="289">
        <v>0.15090000000000001</v>
      </c>
      <c r="E67" s="290" t="s">
        <v>162</v>
      </c>
      <c r="F67" s="288">
        <v>0</v>
      </c>
      <c r="G67" s="289">
        <v>0</v>
      </c>
      <c r="H67" s="291">
        <v>0</v>
      </c>
      <c r="I67" s="288">
        <v>0.14025000000000001</v>
      </c>
      <c r="J67" s="289">
        <v>0.14025000000000001</v>
      </c>
      <c r="K67" s="296" t="s">
        <v>162</v>
      </c>
    </row>
    <row r="68" spans="1:11" ht="14.4" customHeight="1" thickBot="1" x14ac:dyDescent="0.35">
      <c r="A68" s="305" t="s">
        <v>222</v>
      </c>
      <c r="B68" s="283">
        <v>0</v>
      </c>
      <c r="C68" s="283">
        <v>5.0900000000000001E-2</v>
      </c>
      <c r="D68" s="284">
        <v>5.0900000000000001E-2</v>
      </c>
      <c r="E68" s="293" t="s">
        <v>168</v>
      </c>
      <c r="F68" s="283">
        <v>0</v>
      </c>
      <c r="G68" s="284">
        <v>0</v>
      </c>
      <c r="H68" s="286">
        <v>0</v>
      </c>
      <c r="I68" s="283">
        <v>3.0249999999999999E-2</v>
      </c>
      <c r="J68" s="284">
        <v>3.0249999999999999E-2</v>
      </c>
      <c r="K68" s="295" t="s">
        <v>162</v>
      </c>
    </row>
    <row r="69" spans="1:11" ht="14.4" customHeight="1" thickBot="1" x14ac:dyDescent="0.35">
      <c r="A69" s="305" t="s">
        <v>223</v>
      </c>
      <c r="B69" s="283">
        <v>0</v>
      </c>
      <c r="C69" s="283">
        <v>0.1</v>
      </c>
      <c r="D69" s="284">
        <v>0.1</v>
      </c>
      <c r="E69" s="293" t="s">
        <v>162</v>
      </c>
      <c r="F69" s="283">
        <v>0</v>
      </c>
      <c r="G69" s="284">
        <v>0</v>
      </c>
      <c r="H69" s="286">
        <v>0</v>
      </c>
      <c r="I69" s="283">
        <v>0.11</v>
      </c>
      <c r="J69" s="284">
        <v>0.11</v>
      </c>
      <c r="K69" s="295" t="s">
        <v>162</v>
      </c>
    </row>
    <row r="70" spans="1:11" ht="14.4" customHeight="1" thickBot="1" x14ac:dyDescent="0.35">
      <c r="A70" s="307" t="s">
        <v>224</v>
      </c>
      <c r="B70" s="283">
        <v>0</v>
      </c>
      <c r="C70" s="283">
        <v>0</v>
      </c>
      <c r="D70" s="284">
        <v>0</v>
      </c>
      <c r="E70" s="285">
        <v>1</v>
      </c>
      <c r="F70" s="283">
        <v>0</v>
      </c>
      <c r="G70" s="284">
        <v>0</v>
      </c>
      <c r="H70" s="286">
        <v>0</v>
      </c>
      <c r="I70" s="283">
        <v>0.6</v>
      </c>
      <c r="J70" s="284">
        <v>0.6</v>
      </c>
      <c r="K70" s="295" t="s">
        <v>168</v>
      </c>
    </row>
    <row r="71" spans="1:11" ht="14.4" customHeight="1" thickBot="1" x14ac:dyDescent="0.35">
      <c r="A71" s="305" t="s">
        <v>225</v>
      </c>
      <c r="B71" s="283">
        <v>0</v>
      </c>
      <c r="C71" s="283">
        <v>0</v>
      </c>
      <c r="D71" s="284">
        <v>0</v>
      </c>
      <c r="E71" s="285">
        <v>1</v>
      </c>
      <c r="F71" s="283">
        <v>0</v>
      </c>
      <c r="G71" s="284">
        <v>0</v>
      </c>
      <c r="H71" s="286">
        <v>0</v>
      </c>
      <c r="I71" s="283">
        <v>0.6</v>
      </c>
      <c r="J71" s="284">
        <v>0.6</v>
      </c>
      <c r="K71" s="295" t="s">
        <v>168</v>
      </c>
    </row>
    <row r="72" spans="1:11" ht="14.4" customHeight="1" thickBot="1" x14ac:dyDescent="0.35">
      <c r="A72" s="302" t="s">
        <v>226</v>
      </c>
      <c r="B72" s="283">
        <v>16.99999946454</v>
      </c>
      <c r="C72" s="283">
        <v>16.86</v>
      </c>
      <c r="D72" s="284">
        <v>-0.13999946454000001</v>
      </c>
      <c r="E72" s="285">
        <v>0.99176473712000002</v>
      </c>
      <c r="F72" s="283">
        <v>17.000039257413999</v>
      </c>
      <c r="G72" s="284">
        <v>17.000039257413999</v>
      </c>
      <c r="H72" s="286">
        <v>1.405</v>
      </c>
      <c r="I72" s="283">
        <v>16.86</v>
      </c>
      <c r="J72" s="284">
        <v>-0.140039257414</v>
      </c>
      <c r="K72" s="287">
        <v>0.99176241564500001</v>
      </c>
    </row>
    <row r="73" spans="1:11" ht="14.4" customHeight="1" thickBot="1" x14ac:dyDescent="0.35">
      <c r="A73" s="303" t="s">
        <v>227</v>
      </c>
      <c r="B73" s="283">
        <v>16.99999946454</v>
      </c>
      <c r="C73" s="283">
        <v>16.86</v>
      </c>
      <c r="D73" s="284">
        <v>-0.13999946454000001</v>
      </c>
      <c r="E73" s="285">
        <v>0.99176473712000002</v>
      </c>
      <c r="F73" s="283">
        <v>17.000039257413999</v>
      </c>
      <c r="G73" s="284">
        <v>17.000039257413999</v>
      </c>
      <c r="H73" s="286">
        <v>1.405</v>
      </c>
      <c r="I73" s="283">
        <v>16.86</v>
      </c>
      <c r="J73" s="284">
        <v>-0.140039257414</v>
      </c>
      <c r="K73" s="287">
        <v>0.99176241564500001</v>
      </c>
    </row>
    <row r="74" spans="1:11" ht="14.4" customHeight="1" thickBot="1" x14ac:dyDescent="0.35">
      <c r="A74" s="304" t="s">
        <v>228</v>
      </c>
      <c r="B74" s="288">
        <v>16.99999946454</v>
      </c>
      <c r="C74" s="288">
        <v>16.86</v>
      </c>
      <c r="D74" s="289">
        <v>-0.13999946454000001</v>
      </c>
      <c r="E74" s="294">
        <v>0.99176473712000002</v>
      </c>
      <c r="F74" s="288">
        <v>17.000039257413999</v>
      </c>
      <c r="G74" s="289">
        <v>17.000039257413999</v>
      </c>
      <c r="H74" s="291">
        <v>1.405</v>
      </c>
      <c r="I74" s="288">
        <v>16.86</v>
      </c>
      <c r="J74" s="289">
        <v>-0.140039257414</v>
      </c>
      <c r="K74" s="292">
        <v>0.99176241564500001</v>
      </c>
    </row>
    <row r="75" spans="1:11" ht="14.4" customHeight="1" thickBot="1" x14ac:dyDescent="0.35">
      <c r="A75" s="305" t="s">
        <v>229</v>
      </c>
      <c r="B75" s="283">
        <v>16.99999946454</v>
      </c>
      <c r="C75" s="283">
        <v>16.86</v>
      </c>
      <c r="D75" s="284">
        <v>-0.13999946454000001</v>
      </c>
      <c r="E75" s="285">
        <v>0.99176473712000002</v>
      </c>
      <c r="F75" s="283">
        <v>17.000039257413999</v>
      </c>
      <c r="G75" s="284">
        <v>17.000039257413999</v>
      </c>
      <c r="H75" s="286">
        <v>1.405</v>
      </c>
      <c r="I75" s="283">
        <v>16.86</v>
      </c>
      <c r="J75" s="284">
        <v>-0.140039257414</v>
      </c>
      <c r="K75" s="287">
        <v>0.99176241564500001</v>
      </c>
    </row>
    <row r="76" spans="1:11" ht="14.4" customHeight="1" thickBot="1" x14ac:dyDescent="0.35">
      <c r="A76" s="301" t="s">
        <v>230</v>
      </c>
      <c r="B76" s="283">
        <v>10.231484933615</v>
      </c>
      <c r="C76" s="283">
        <v>4.96868</v>
      </c>
      <c r="D76" s="284">
        <v>-5.2628049336149996</v>
      </c>
      <c r="E76" s="285">
        <v>0.48562647868199998</v>
      </c>
      <c r="F76" s="283">
        <v>3.9967298604080002</v>
      </c>
      <c r="G76" s="284">
        <v>3.9967298604080002</v>
      </c>
      <c r="H76" s="286">
        <v>1.2E-2</v>
      </c>
      <c r="I76" s="283">
        <v>7.4500299999999999</v>
      </c>
      <c r="J76" s="284">
        <v>3.4533001395910001</v>
      </c>
      <c r="K76" s="287">
        <v>1.864031410728</v>
      </c>
    </row>
    <row r="77" spans="1:11" ht="14.4" customHeight="1" thickBot="1" x14ac:dyDescent="0.35">
      <c r="A77" s="302" t="s">
        <v>231</v>
      </c>
      <c r="B77" s="283">
        <v>10.231484933615</v>
      </c>
      <c r="C77" s="283">
        <v>4.96868</v>
      </c>
      <c r="D77" s="284">
        <v>-5.2628049336149996</v>
      </c>
      <c r="E77" s="285">
        <v>0.48562647868199998</v>
      </c>
      <c r="F77" s="283">
        <v>3.9967298604080002</v>
      </c>
      <c r="G77" s="284">
        <v>3.9967298604080002</v>
      </c>
      <c r="H77" s="286">
        <v>1.2E-2</v>
      </c>
      <c r="I77" s="283">
        <v>7.4500299999999999</v>
      </c>
      <c r="J77" s="284">
        <v>3.4533001395910001</v>
      </c>
      <c r="K77" s="287">
        <v>1.864031410728</v>
      </c>
    </row>
    <row r="78" spans="1:11" ht="14.4" customHeight="1" thickBot="1" x14ac:dyDescent="0.35">
      <c r="A78" s="308" t="s">
        <v>232</v>
      </c>
      <c r="B78" s="288">
        <v>10.231484933615</v>
      </c>
      <c r="C78" s="288">
        <v>4.96868</v>
      </c>
      <c r="D78" s="289">
        <v>-5.2628049336149996</v>
      </c>
      <c r="E78" s="294">
        <v>0.48562647868199998</v>
      </c>
      <c r="F78" s="288">
        <v>3.9967298604080002</v>
      </c>
      <c r="G78" s="289">
        <v>3.9967298604080002</v>
      </c>
      <c r="H78" s="291">
        <v>1.2E-2</v>
      </c>
      <c r="I78" s="288">
        <v>7.4500299999999999</v>
      </c>
      <c r="J78" s="289">
        <v>3.4533001395910001</v>
      </c>
      <c r="K78" s="292">
        <v>1.864031410728</v>
      </c>
    </row>
    <row r="79" spans="1:11" ht="14.4" customHeight="1" thickBot="1" x14ac:dyDescent="0.35">
      <c r="A79" s="304" t="s">
        <v>233</v>
      </c>
      <c r="B79" s="288">
        <v>0</v>
      </c>
      <c r="C79" s="288">
        <v>8.0000000000000007E-5</v>
      </c>
      <c r="D79" s="289">
        <v>8.0000000000000007E-5</v>
      </c>
      <c r="E79" s="290" t="s">
        <v>162</v>
      </c>
      <c r="F79" s="288">
        <v>0</v>
      </c>
      <c r="G79" s="289">
        <v>0</v>
      </c>
      <c r="H79" s="291">
        <v>0</v>
      </c>
      <c r="I79" s="288">
        <v>1.2999999999999999E-4</v>
      </c>
      <c r="J79" s="289">
        <v>1.2999999999999999E-4</v>
      </c>
      <c r="K79" s="296" t="s">
        <v>162</v>
      </c>
    </row>
    <row r="80" spans="1:11" ht="14.4" customHeight="1" thickBot="1" x14ac:dyDescent="0.35">
      <c r="A80" s="305" t="s">
        <v>234</v>
      </c>
      <c r="B80" s="283">
        <v>0</v>
      </c>
      <c r="C80" s="283">
        <v>8.0000000000000007E-5</v>
      </c>
      <c r="D80" s="284">
        <v>8.0000000000000007E-5</v>
      </c>
      <c r="E80" s="293" t="s">
        <v>162</v>
      </c>
      <c r="F80" s="283">
        <v>0</v>
      </c>
      <c r="G80" s="284">
        <v>0</v>
      </c>
      <c r="H80" s="286">
        <v>0</v>
      </c>
      <c r="I80" s="283">
        <v>1.2999999999999999E-4</v>
      </c>
      <c r="J80" s="284">
        <v>1.2999999999999999E-4</v>
      </c>
      <c r="K80" s="295" t="s">
        <v>162</v>
      </c>
    </row>
    <row r="81" spans="1:11" ht="14.4" customHeight="1" thickBot="1" x14ac:dyDescent="0.35">
      <c r="A81" s="304" t="s">
        <v>235</v>
      </c>
      <c r="B81" s="288">
        <v>10.231484933615</v>
      </c>
      <c r="C81" s="288">
        <v>4.9686000000000003</v>
      </c>
      <c r="D81" s="289">
        <v>-5.2628849336150001</v>
      </c>
      <c r="E81" s="294">
        <v>0.48561865968000001</v>
      </c>
      <c r="F81" s="288">
        <v>3.9967298604080002</v>
      </c>
      <c r="G81" s="289">
        <v>3.9967298604080002</v>
      </c>
      <c r="H81" s="291">
        <v>1.2E-2</v>
      </c>
      <c r="I81" s="288">
        <v>7.4499000000000004</v>
      </c>
      <c r="J81" s="289">
        <v>3.4531701395910002</v>
      </c>
      <c r="K81" s="292">
        <v>1.8639988841370001</v>
      </c>
    </row>
    <row r="82" spans="1:11" ht="14.4" customHeight="1" thickBot="1" x14ac:dyDescent="0.35">
      <c r="A82" s="305" t="s">
        <v>236</v>
      </c>
      <c r="B82" s="283">
        <v>0</v>
      </c>
      <c r="C82" s="283">
        <v>0.01</v>
      </c>
      <c r="D82" s="284">
        <v>0.01</v>
      </c>
      <c r="E82" s="293" t="s">
        <v>162</v>
      </c>
      <c r="F82" s="283">
        <v>9.9341064629999993E-3</v>
      </c>
      <c r="G82" s="284">
        <v>9.9341064629999993E-3</v>
      </c>
      <c r="H82" s="286">
        <v>1.2E-2</v>
      </c>
      <c r="I82" s="283">
        <v>1.2E-2</v>
      </c>
      <c r="J82" s="284">
        <v>2.0658935360000001E-3</v>
      </c>
      <c r="K82" s="287">
        <v>1.207959673518</v>
      </c>
    </row>
    <row r="83" spans="1:11" ht="14.4" customHeight="1" thickBot="1" x14ac:dyDescent="0.35">
      <c r="A83" s="305" t="s">
        <v>237</v>
      </c>
      <c r="B83" s="283">
        <v>10.231484933615</v>
      </c>
      <c r="C83" s="283">
        <v>4.9585999999999997</v>
      </c>
      <c r="D83" s="284">
        <v>-5.2728849336149999</v>
      </c>
      <c r="E83" s="285">
        <v>0.48464128444400001</v>
      </c>
      <c r="F83" s="283">
        <v>3.9867957539450001</v>
      </c>
      <c r="G83" s="284">
        <v>3.9867957539450001</v>
      </c>
      <c r="H83" s="286">
        <v>0</v>
      </c>
      <c r="I83" s="283">
        <v>7.4379</v>
      </c>
      <c r="J83" s="284">
        <v>3.4511042460539998</v>
      </c>
      <c r="K83" s="287">
        <v>1.8656335711800001</v>
      </c>
    </row>
    <row r="84" spans="1:11" ht="14.4" customHeight="1" thickBot="1" x14ac:dyDescent="0.35">
      <c r="A84" s="301" t="s">
        <v>238</v>
      </c>
      <c r="B84" s="283">
        <v>598.83737160582905</v>
      </c>
      <c r="C84" s="283">
        <v>577.62096000000099</v>
      </c>
      <c r="D84" s="284">
        <v>-21.216411605828</v>
      </c>
      <c r="E84" s="285">
        <v>0.96457066206599995</v>
      </c>
      <c r="F84" s="283">
        <v>597.34497510827703</v>
      </c>
      <c r="G84" s="284">
        <v>597.34497510827703</v>
      </c>
      <c r="H84" s="286">
        <v>62.894730000000003</v>
      </c>
      <c r="I84" s="283">
        <v>604.02882999999997</v>
      </c>
      <c r="J84" s="284">
        <v>6.6838548917220004</v>
      </c>
      <c r="K84" s="287">
        <v>1.011189271141</v>
      </c>
    </row>
    <row r="85" spans="1:11" ht="14.4" customHeight="1" thickBot="1" x14ac:dyDescent="0.35">
      <c r="A85" s="306" t="s">
        <v>239</v>
      </c>
      <c r="B85" s="288">
        <v>598.83737160582905</v>
      </c>
      <c r="C85" s="288">
        <v>577.62096000000099</v>
      </c>
      <c r="D85" s="289">
        <v>-21.216411605828</v>
      </c>
      <c r="E85" s="294">
        <v>0.96457066206599995</v>
      </c>
      <c r="F85" s="288">
        <v>597.34497510827703</v>
      </c>
      <c r="G85" s="289">
        <v>597.34497510827703</v>
      </c>
      <c r="H85" s="291">
        <v>62.894730000000003</v>
      </c>
      <c r="I85" s="288">
        <v>604.02882999999997</v>
      </c>
      <c r="J85" s="289">
        <v>6.6838548917220004</v>
      </c>
      <c r="K85" s="292">
        <v>1.011189271141</v>
      </c>
    </row>
    <row r="86" spans="1:11" ht="14.4" customHeight="1" thickBot="1" x14ac:dyDescent="0.35">
      <c r="A86" s="308" t="s">
        <v>38</v>
      </c>
      <c r="B86" s="288">
        <v>598.83737160582905</v>
      </c>
      <c r="C86" s="288">
        <v>577.62096000000099</v>
      </c>
      <c r="D86" s="289">
        <v>-21.216411605828</v>
      </c>
      <c r="E86" s="294">
        <v>0.96457066206599995</v>
      </c>
      <c r="F86" s="288">
        <v>597.34497510827703</v>
      </c>
      <c r="G86" s="289">
        <v>597.34497510827703</v>
      </c>
      <c r="H86" s="291">
        <v>62.894730000000003</v>
      </c>
      <c r="I86" s="288">
        <v>604.02882999999997</v>
      </c>
      <c r="J86" s="289">
        <v>6.6838548917220004</v>
      </c>
      <c r="K86" s="292">
        <v>1.011189271141</v>
      </c>
    </row>
    <row r="87" spans="1:11" ht="14.4" customHeight="1" thickBot="1" x14ac:dyDescent="0.35">
      <c r="A87" s="304" t="s">
        <v>240</v>
      </c>
      <c r="B87" s="288">
        <v>0</v>
      </c>
      <c r="C87" s="288">
        <v>0</v>
      </c>
      <c r="D87" s="289">
        <v>0</v>
      </c>
      <c r="E87" s="290" t="s">
        <v>162</v>
      </c>
      <c r="F87" s="288">
        <v>0.19230938355300001</v>
      </c>
      <c r="G87" s="289">
        <v>0.19230938355300001</v>
      </c>
      <c r="H87" s="291">
        <v>0</v>
      </c>
      <c r="I87" s="288">
        <v>0.9526</v>
      </c>
      <c r="J87" s="289">
        <v>0.76029061644600004</v>
      </c>
      <c r="K87" s="292">
        <v>4.9534764367679998</v>
      </c>
    </row>
    <row r="88" spans="1:11" ht="14.4" customHeight="1" thickBot="1" x14ac:dyDescent="0.35">
      <c r="A88" s="305" t="s">
        <v>241</v>
      </c>
      <c r="B88" s="283">
        <v>0</v>
      </c>
      <c r="C88" s="283">
        <v>0</v>
      </c>
      <c r="D88" s="284">
        <v>0</v>
      </c>
      <c r="E88" s="293" t="s">
        <v>162</v>
      </c>
      <c r="F88" s="283">
        <v>0</v>
      </c>
      <c r="G88" s="284">
        <v>0</v>
      </c>
      <c r="H88" s="286">
        <v>0</v>
      </c>
      <c r="I88" s="283">
        <v>0.73209999999999997</v>
      </c>
      <c r="J88" s="284">
        <v>0.73209999999999997</v>
      </c>
      <c r="K88" s="295" t="s">
        <v>168</v>
      </c>
    </row>
    <row r="89" spans="1:11" ht="14.4" customHeight="1" thickBot="1" x14ac:dyDescent="0.35">
      <c r="A89" s="305" t="s">
        <v>242</v>
      </c>
      <c r="B89" s="283">
        <v>0</v>
      </c>
      <c r="C89" s="283">
        <v>0</v>
      </c>
      <c r="D89" s="284">
        <v>0</v>
      </c>
      <c r="E89" s="285">
        <v>1</v>
      </c>
      <c r="F89" s="283">
        <v>0.19230938355300001</v>
      </c>
      <c r="G89" s="284">
        <v>0.19230938355300001</v>
      </c>
      <c r="H89" s="286">
        <v>0</v>
      </c>
      <c r="I89" s="283">
        <v>0.2205</v>
      </c>
      <c r="J89" s="284">
        <v>2.8190616445999999E-2</v>
      </c>
      <c r="K89" s="287">
        <v>1.146589916341</v>
      </c>
    </row>
    <row r="90" spans="1:11" ht="14.4" customHeight="1" thickBot="1" x14ac:dyDescent="0.35">
      <c r="A90" s="304" t="s">
        <v>243</v>
      </c>
      <c r="B90" s="288">
        <v>12.389070186610001</v>
      </c>
      <c r="C90" s="288">
        <v>11.81488</v>
      </c>
      <c r="D90" s="289">
        <v>-0.57419018660999999</v>
      </c>
      <c r="E90" s="294">
        <v>0.95365348827899998</v>
      </c>
      <c r="F90" s="288">
        <v>12.342802747026999</v>
      </c>
      <c r="G90" s="289">
        <v>12.342802747026999</v>
      </c>
      <c r="H90" s="291">
        <v>0.72529999999999994</v>
      </c>
      <c r="I90" s="288">
        <v>11.936</v>
      </c>
      <c r="J90" s="289">
        <v>-0.40680274702699998</v>
      </c>
      <c r="K90" s="292">
        <v>0.96704129885500001</v>
      </c>
    </row>
    <row r="91" spans="1:11" ht="14.4" customHeight="1" thickBot="1" x14ac:dyDescent="0.35">
      <c r="A91" s="305" t="s">
        <v>244</v>
      </c>
      <c r="B91" s="283">
        <v>12.389070186610001</v>
      </c>
      <c r="C91" s="283">
        <v>11.81488</v>
      </c>
      <c r="D91" s="284">
        <v>-0.57419018660999999</v>
      </c>
      <c r="E91" s="285">
        <v>0.95365348827899998</v>
      </c>
      <c r="F91" s="283">
        <v>12.342802747026999</v>
      </c>
      <c r="G91" s="284">
        <v>12.342802747026999</v>
      </c>
      <c r="H91" s="286">
        <v>0.72529999999999994</v>
      </c>
      <c r="I91" s="283">
        <v>11.936</v>
      </c>
      <c r="J91" s="284">
        <v>-0.40680274702699998</v>
      </c>
      <c r="K91" s="287">
        <v>0.96704129885500001</v>
      </c>
    </row>
    <row r="92" spans="1:11" ht="14.4" customHeight="1" thickBot="1" x14ac:dyDescent="0.35">
      <c r="A92" s="304" t="s">
        <v>245</v>
      </c>
      <c r="B92" s="288">
        <v>0</v>
      </c>
      <c r="C92" s="288">
        <v>0.28000000000000003</v>
      </c>
      <c r="D92" s="289">
        <v>0.28000000000000003</v>
      </c>
      <c r="E92" s="290" t="s">
        <v>162</v>
      </c>
      <c r="F92" s="288">
        <v>0</v>
      </c>
      <c r="G92" s="289">
        <v>0</v>
      </c>
      <c r="H92" s="291">
        <v>0</v>
      </c>
      <c r="I92" s="288">
        <v>5.6000000000000001E-2</v>
      </c>
      <c r="J92" s="289">
        <v>5.6000000000000001E-2</v>
      </c>
      <c r="K92" s="296" t="s">
        <v>168</v>
      </c>
    </row>
    <row r="93" spans="1:11" ht="14.4" customHeight="1" thickBot="1" x14ac:dyDescent="0.35">
      <c r="A93" s="305" t="s">
        <v>246</v>
      </c>
      <c r="B93" s="283">
        <v>0</v>
      </c>
      <c r="C93" s="283">
        <v>0.28000000000000003</v>
      </c>
      <c r="D93" s="284">
        <v>0.28000000000000003</v>
      </c>
      <c r="E93" s="293" t="s">
        <v>162</v>
      </c>
      <c r="F93" s="283">
        <v>0</v>
      </c>
      <c r="G93" s="284">
        <v>0</v>
      </c>
      <c r="H93" s="286">
        <v>0</v>
      </c>
      <c r="I93" s="283">
        <v>5.6000000000000001E-2</v>
      </c>
      <c r="J93" s="284">
        <v>5.6000000000000001E-2</v>
      </c>
      <c r="K93" s="295" t="s">
        <v>168</v>
      </c>
    </row>
    <row r="94" spans="1:11" ht="14.4" customHeight="1" thickBot="1" x14ac:dyDescent="0.35">
      <c r="A94" s="304" t="s">
        <v>247</v>
      </c>
      <c r="B94" s="288">
        <v>188</v>
      </c>
      <c r="C94" s="288">
        <v>171.4469</v>
      </c>
      <c r="D94" s="289">
        <v>-16.553099999998999</v>
      </c>
      <c r="E94" s="294">
        <v>0.91195159574399998</v>
      </c>
      <c r="F94" s="288">
        <v>179.992794733913</v>
      </c>
      <c r="G94" s="289">
        <v>179.992794733913</v>
      </c>
      <c r="H94" s="291">
        <v>17.97627</v>
      </c>
      <c r="I94" s="288">
        <v>172.21492000000001</v>
      </c>
      <c r="J94" s="289">
        <v>-7.7778747339120002</v>
      </c>
      <c r="K94" s="292">
        <v>0.95678785506099995</v>
      </c>
    </row>
    <row r="95" spans="1:11" ht="14.4" customHeight="1" thickBot="1" x14ac:dyDescent="0.35">
      <c r="A95" s="305" t="s">
        <v>248</v>
      </c>
      <c r="B95" s="283">
        <v>188</v>
      </c>
      <c r="C95" s="283">
        <v>171.4469</v>
      </c>
      <c r="D95" s="284">
        <v>-16.553099999998999</v>
      </c>
      <c r="E95" s="285">
        <v>0.91195159574399998</v>
      </c>
      <c r="F95" s="283">
        <v>179.992794733913</v>
      </c>
      <c r="G95" s="284">
        <v>179.992794733913</v>
      </c>
      <c r="H95" s="286">
        <v>17.97627</v>
      </c>
      <c r="I95" s="283">
        <v>172.21492000000001</v>
      </c>
      <c r="J95" s="284">
        <v>-7.7778747339120002</v>
      </c>
      <c r="K95" s="287">
        <v>0.95678785506099995</v>
      </c>
    </row>
    <row r="96" spans="1:11" ht="14.4" customHeight="1" thickBot="1" x14ac:dyDescent="0.35">
      <c r="A96" s="304" t="s">
        <v>249</v>
      </c>
      <c r="B96" s="288">
        <v>398.44830141921898</v>
      </c>
      <c r="C96" s="288">
        <v>394.07918000000001</v>
      </c>
      <c r="D96" s="289">
        <v>-4.3691214192179997</v>
      </c>
      <c r="E96" s="294">
        <v>0.98903465919199995</v>
      </c>
      <c r="F96" s="288">
        <v>404.81706824378398</v>
      </c>
      <c r="G96" s="289">
        <v>404.81706824378398</v>
      </c>
      <c r="H96" s="291">
        <v>44.193159999999999</v>
      </c>
      <c r="I96" s="288">
        <v>418.86930999999998</v>
      </c>
      <c r="J96" s="289">
        <v>14.052241756216</v>
      </c>
      <c r="K96" s="292">
        <v>1.034712572316</v>
      </c>
    </row>
    <row r="97" spans="1:11" ht="14.4" customHeight="1" thickBot="1" x14ac:dyDescent="0.35">
      <c r="A97" s="305" t="s">
        <v>250</v>
      </c>
      <c r="B97" s="283">
        <v>398.44830141921898</v>
      </c>
      <c r="C97" s="283">
        <v>394.07918000000001</v>
      </c>
      <c r="D97" s="284">
        <v>-4.3691214192179997</v>
      </c>
      <c r="E97" s="285">
        <v>0.98903465919199995</v>
      </c>
      <c r="F97" s="283">
        <v>404.81706824378398</v>
      </c>
      <c r="G97" s="284">
        <v>404.81706824378398</v>
      </c>
      <c r="H97" s="286">
        <v>44.193159999999999</v>
      </c>
      <c r="I97" s="283">
        <v>418.86930999999998</v>
      </c>
      <c r="J97" s="284">
        <v>14.052241756216</v>
      </c>
      <c r="K97" s="287">
        <v>1.034712572316</v>
      </c>
    </row>
    <row r="98" spans="1:11" ht="14.4" customHeight="1" thickBot="1" x14ac:dyDescent="0.35">
      <c r="A98" s="309"/>
      <c r="B98" s="283">
        <v>-4433.8789125816302</v>
      </c>
      <c r="C98" s="283">
        <v>-4526.55944</v>
      </c>
      <c r="D98" s="284">
        <v>-92.680527418371994</v>
      </c>
      <c r="E98" s="285">
        <v>1.0209028097620001</v>
      </c>
      <c r="F98" s="283">
        <v>-4561.1847466351101</v>
      </c>
      <c r="G98" s="284">
        <v>-4561.1847466351101</v>
      </c>
      <c r="H98" s="286">
        <v>-488.44685000000197</v>
      </c>
      <c r="I98" s="283">
        <v>-4853.4675800000005</v>
      </c>
      <c r="J98" s="284">
        <v>-292.28283336488801</v>
      </c>
      <c r="K98" s="287">
        <v>1.064080463651</v>
      </c>
    </row>
    <row r="99" spans="1:11" ht="14.4" customHeight="1" thickBot="1" x14ac:dyDescent="0.35">
      <c r="A99" s="310" t="s">
        <v>50</v>
      </c>
      <c r="B99" s="297">
        <v>-4433.8789125816302</v>
      </c>
      <c r="C99" s="297">
        <v>-4526.55944</v>
      </c>
      <c r="D99" s="298">
        <v>-92.680527418373003</v>
      </c>
      <c r="E99" s="299">
        <v>-1.50719552818</v>
      </c>
      <c r="F99" s="297">
        <v>-4561.1847466351101</v>
      </c>
      <c r="G99" s="298">
        <v>-4561.1847466351101</v>
      </c>
      <c r="H99" s="297">
        <v>-488.44685000000197</v>
      </c>
      <c r="I99" s="297">
        <v>-4853.4675800000005</v>
      </c>
      <c r="J99" s="298">
        <v>-292.28283336488698</v>
      </c>
      <c r="K99" s="300">
        <v>1.064080463651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77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251</v>
      </c>
      <c r="B5" s="312" t="s">
        <v>252</v>
      </c>
      <c r="C5" s="313" t="s">
        <v>253</v>
      </c>
      <c r="D5" s="313" t="s">
        <v>253</v>
      </c>
      <c r="E5" s="313"/>
      <c r="F5" s="313" t="s">
        <v>253</v>
      </c>
      <c r="G5" s="313" t="s">
        <v>253</v>
      </c>
      <c r="H5" s="313" t="s">
        <v>253</v>
      </c>
      <c r="I5" s="314" t="s">
        <v>253</v>
      </c>
      <c r="J5" s="315" t="s">
        <v>53</v>
      </c>
    </row>
    <row r="6" spans="1:10" ht="14.4" customHeight="1" x14ac:dyDescent="0.3">
      <c r="A6" s="311" t="s">
        <v>251</v>
      </c>
      <c r="B6" s="312" t="s">
        <v>169</v>
      </c>
      <c r="C6" s="313" t="s">
        <v>253</v>
      </c>
      <c r="D6" s="313">
        <v>0.16269</v>
      </c>
      <c r="E6" s="313"/>
      <c r="F6" s="313">
        <v>0.16406000000000001</v>
      </c>
      <c r="G6" s="313">
        <v>0.24328002196300003</v>
      </c>
      <c r="H6" s="313">
        <v>-7.9220021963000015E-2</v>
      </c>
      <c r="I6" s="314">
        <v>0.67436692366359441</v>
      </c>
      <c r="J6" s="315" t="s">
        <v>1</v>
      </c>
    </row>
    <row r="7" spans="1:10" ht="14.4" customHeight="1" x14ac:dyDescent="0.3">
      <c r="A7" s="311" t="s">
        <v>251</v>
      </c>
      <c r="B7" s="312" t="s">
        <v>254</v>
      </c>
      <c r="C7" s="313" t="s">
        <v>253</v>
      </c>
      <c r="D7" s="313">
        <v>0.16269</v>
      </c>
      <c r="E7" s="313"/>
      <c r="F7" s="313">
        <v>0.16406000000000001</v>
      </c>
      <c r="G7" s="313">
        <v>0.24328002196300003</v>
      </c>
      <c r="H7" s="313">
        <v>-7.9220021963000015E-2</v>
      </c>
      <c r="I7" s="314">
        <v>0.67436692366359441</v>
      </c>
      <c r="J7" s="315" t="s">
        <v>255</v>
      </c>
    </row>
    <row r="9" spans="1:10" ht="14.4" customHeight="1" x14ac:dyDescent="0.3">
      <c r="A9" s="311" t="s">
        <v>251</v>
      </c>
      <c r="B9" s="312" t="s">
        <v>252</v>
      </c>
      <c r="C9" s="313" t="s">
        <v>253</v>
      </c>
      <c r="D9" s="313" t="s">
        <v>253</v>
      </c>
      <c r="E9" s="313"/>
      <c r="F9" s="313" t="s">
        <v>253</v>
      </c>
      <c r="G9" s="313" t="s">
        <v>253</v>
      </c>
      <c r="H9" s="313" t="s">
        <v>253</v>
      </c>
      <c r="I9" s="314" t="s">
        <v>253</v>
      </c>
      <c r="J9" s="315" t="s">
        <v>53</v>
      </c>
    </row>
    <row r="10" spans="1:10" ht="14.4" customHeight="1" x14ac:dyDescent="0.3">
      <c r="A10" s="311" t="s">
        <v>256</v>
      </c>
      <c r="B10" s="312" t="s">
        <v>257</v>
      </c>
      <c r="C10" s="313" t="s">
        <v>253</v>
      </c>
      <c r="D10" s="313" t="s">
        <v>253</v>
      </c>
      <c r="E10" s="313"/>
      <c r="F10" s="313" t="s">
        <v>253</v>
      </c>
      <c r="G10" s="313" t="s">
        <v>253</v>
      </c>
      <c r="H10" s="313" t="s">
        <v>253</v>
      </c>
      <c r="I10" s="314" t="s">
        <v>253</v>
      </c>
      <c r="J10" s="315" t="s">
        <v>0</v>
      </c>
    </row>
    <row r="11" spans="1:10" ht="14.4" customHeight="1" x14ac:dyDescent="0.3">
      <c r="A11" s="311" t="s">
        <v>256</v>
      </c>
      <c r="B11" s="312" t="s">
        <v>169</v>
      </c>
      <c r="C11" s="313" t="s">
        <v>253</v>
      </c>
      <c r="D11" s="313">
        <v>0.16269</v>
      </c>
      <c r="E11" s="313"/>
      <c r="F11" s="313">
        <v>0.16406000000000001</v>
      </c>
      <c r="G11" s="313">
        <v>0.24328002196300003</v>
      </c>
      <c r="H11" s="313">
        <v>-7.9220021963000015E-2</v>
      </c>
      <c r="I11" s="314">
        <v>0.67436692366359441</v>
      </c>
      <c r="J11" s="315" t="s">
        <v>1</v>
      </c>
    </row>
    <row r="12" spans="1:10" ht="14.4" customHeight="1" x14ac:dyDescent="0.3">
      <c r="A12" s="311" t="s">
        <v>256</v>
      </c>
      <c r="B12" s="312" t="s">
        <v>258</v>
      </c>
      <c r="C12" s="313" t="s">
        <v>253</v>
      </c>
      <c r="D12" s="313">
        <v>0.16269</v>
      </c>
      <c r="E12" s="313"/>
      <c r="F12" s="313">
        <v>0.16406000000000001</v>
      </c>
      <c r="G12" s="313">
        <v>0.24328002196300003</v>
      </c>
      <c r="H12" s="313">
        <v>-7.9220021963000015E-2</v>
      </c>
      <c r="I12" s="314">
        <v>0.67436692366359441</v>
      </c>
      <c r="J12" s="315" t="s">
        <v>259</v>
      </c>
    </row>
    <row r="13" spans="1:10" ht="14.4" customHeight="1" x14ac:dyDescent="0.3">
      <c r="A13" s="311" t="s">
        <v>253</v>
      </c>
      <c r="B13" s="312" t="s">
        <v>253</v>
      </c>
      <c r="C13" s="313" t="s">
        <v>253</v>
      </c>
      <c r="D13" s="313" t="s">
        <v>253</v>
      </c>
      <c r="E13" s="313"/>
      <c r="F13" s="313" t="s">
        <v>253</v>
      </c>
      <c r="G13" s="313" t="s">
        <v>253</v>
      </c>
      <c r="H13" s="313" t="s">
        <v>253</v>
      </c>
      <c r="I13" s="314" t="s">
        <v>253</v>
      </c>
      <c r="J13" s="315" t="s">
        <v>260</v>
      </c>
    </row>
    <row r="14" spans="1:10" ht="14.4" customHeight="1" x14ac:dyDescent="0.3">
      <c r="A14" s="311" t="s">
        <v>251</v>
      </c>
      <c r="B14" s="312" t="s">
        <v>254</v>
      </c>
      <c r="C14" s="313" t="s">
        <v>253</v>
      </c>
      <c r="D14" s="313">
        <v>0.16269</v>
      </c>
      <c r="E14" s="313"/>
      <c r="F14" s="313">
        <v>0.16406000000000001</v>
      </c>
      <c r="G14" s="313">
        <v>0.24328002196300003</v>
      </c>
      <c r="H14" s="313">
        <v>-7.9220021963000015E-2</v>
      </c>
      <c r="I14" s="314">
        <v>0.67436692366359441</v>
      </c>
      <c r="J14" s="315" t="s">
        <v>255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2.6640625" style="162" customWidth="1"/>
    <col min="15" max="16384" width="8.88671875" style="96"/>
  </cols>
  <sheetData>
    <row r="1" spans="1:14" ht="18.600000000000001" customHeight="1" thickBot="1" x14ac:dyDescent="0.4">
      <c r="A1" s="279" t="s">
        <v>93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5"/>
      <c r="D3" s="276"/>
      <c r="E3" s="276"/>
      <c r="F3" s="276"/>
      <c r="G3" s="276"/>
      <c r="H3" s="276"/>
      <c r="I3" s="276"/>
      <c r="J3" s="277" t="s">
        <v>75</v>
      </c>
      <c r="K3" s="278"/>
      <c r="L3" s="71">
        <f>IF(M3&lt;&gt;0,N3/M3,0)</f>
        <v>82.030000000000015</v>
      </c>
      <c r="M3" s="71">
        <f>SUBTOTAL(9,M5:M1048576)</f>
        <v>2</v>
      </c>
      <c r="N3" s="72">
        <f>SUBTOTAL(9,N5:N1048576)</f>
        <v>164.06000000000003</v>
      </c>
    </row>
    <row r="4" spans="1:14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7</v>
      </c>
      <c r="H4" s="317" t="s">
        <v>8</v>
      </c>
      <c r="I4" s="317" t="s">
        <v>9</v>
      </c>
      <c r="J4" s="318" t="s">
        <v>10</v>
      </c>
      <c r="K4" s="318" t="s">
        <v>11</v>
      </c>
      <c r="L4" s="319" t="s">
        <v>81</v>
      </c>
      <c r="M4" s="319" t="s">
        <v>12</v>
      </c>
      <c r="N4" s="320" t="s">
        <v>89</v>
      </c>
    </row>
    <row r="5" spans="1:14" ht="14.4" customHeight="1" x14ac:dyDescent="0.3">
      <c r="A5" s="321" t="s">
        <v>251</v>
      </c>
      <c r="B5" s="322" t="s">
        <v>252</v>
      </c>
      <c r="C5" s="323" t="s">
        <v>256</v>
      </c>
      <c r="D5" s="324" t="s">
        <v>271</v>
      </c>
      <c r="E5" s="323" t="s">
        <v>261</v>
      </c>
      <c r="F5" s="324" t="s">
        <v>272</v>
      </c>
      <c r="G5" s="323" t="s">
        <v>262</v>
      </c>
      <c r="H5" s="323" t="s">
        <v>263</v>
      </c>
      <c r="I5" s="323" t="s">
        <v>264</v>
      </c>
      <c r="J5" s="323" t="s">
        <v>265</v>
      </c>
      <c r="K5" s="323" t="s">
        <v>266</v>
      </c>
      <c r="L5" s="325">
        <v>48.630000000000024</v>
      </c>
      <c r="M5" s="325">
        <v>1</v>
      </c>
      <c r="N5" s="326">
        <v>48.630000000000024</v>
      </c>
    </row>
    <row r="6" spans="1:14" ht="14.4" customHeight="1" thickBot="1" x14ac:dyDescent="0.35">
      <c r="A6" s="327" t="s">
        <v>251</v>
      </c>
      <c r="B6" s="328" t="s">
        <v>252</v>
      </c>
      <c r="C6" s="329" t="s">
        <v>256</v>
      </c>
      <c r="D6" s="330" t="s">
        <v>271</v>
      </c>
      <c r="E6" s="329" t="s">
        <v>261</v>
      </c>
      <c r="F6" s="330" t="s">
        <v>272</v>
      </c>
      <c r="G6" s="329" t="s">
        <v>262</v>
      </c>
      <c r="H6" s="329" t="s">
        <v>267</v>
      </c>
      <c r="I6" s="329" t="s">
        <v>268</v>
      </c>
      <c r="J6" s="329" t="s">
        <v>269</v>
      </c>
      <c r="K6" s="329" t="s">
        <v>270</v>
      </c>
      <c r="L6" s="331">
        <v>115.43</v>
      </c>
      <c r="M6" s="331">
        <v>1</v>
      </c>
      <c r="N6" s="332">
        <v>115.43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78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251</v>
      </c>
      <c r="B5" s="312" t="s">
        <v>252</v>
      </c>
      <c r="C5" s="313" t="s">
        <v>253</v>
      </c>
      <c r="D5" s="313" t="s">
        <v>253</v>
      </c>
      <c r="E5" s="313"/>
      <c r="F5" s="313" t="s">
        <v>253</v>
      </c>
      <c r="G5" s="313" t="s">
        <v>253</v>
      </c>
      <c r="H5" s="313" t="s">
        <v>253</v>
      </c>
      <c r="I5" s="314" t="s">
        <v>253</v>
      </c>
      <c r="J5" s="315" t="s">
        <v>53</v>
      </c>
    </row>
    <row r="6" spans="1:10" ht="14.4" customHeight="1" x14ac:dyDescent="0.3">
      <c r="A6" s="311" t="s">
        <v>251</v>
      </c>
      <c r="B6" s="312" t="s">
        <v>171</v>
      </c>
      <c r="C6" s="313" t="s">
        <v>253</v>
      </c>
      <c r="D6" s="313">
        <v>0.22214</v>
      </c>
      <c r="E6" s="313"/>
      <c r="F6" s="313">
        <v>1.0120000000000001E-2</v>
      </c>
      <c r="G6" s="313">
        <v>0.26298002374099999</v>
      </c>
      <c r="H6" s="313">
        <v>-0.25286002374099997</v>
      </c>
      <c r="I6" s="314">
        <v>3.8482010367322961E-2</v>
      </c>
      <c r="J6" s="315" t="s">
        <v>1</v>
      </c>
    </row>
    <row r="7" spans="1:10" ht="14.4" customHeight="1" x14ac:dyDescent="0.3">
      <c r="A7" s="311" t="s">
        <v>251</v>
      </c>
      <c r="B7" s="312" t="s">
        <v>254</v>
      </c>
      <c r="C7" s="313" t="s">
        <v>253</v>
      </c>
      <c r="D7" s="313">
        <v>0.22214</v>
      </c>
      <c r="E7" s="313"/>
      <c r="F7" s="313">
        <v>1.0120000000000001E-2</v>
      </c>
      <c r="G7" s="313">
        <v>0.26298002374099999</v>
      </c>
      <c r="H7" s="313">
        <v>-0.25286002374099997</v>
      </c>
      <c r="I7" s="314">
        <v>3.8482010367322961E-2</v>
      </c>
      <c r="J7" s="315" t="s">
        <v>255</v>
      </c>
    </row>
    <row r="9" spans="1:10" ht="14.4" customHeight="1" x14ac:dyDescent="0.3">
      <c r="A9" s="311" t="s">
        <v>251</v>
      </c>
      <c r="B9" s="312" t="s">
        <v>252</v>
      </c>
      <c r="C9" s="313" t="s">
        <v>253</v>
      </c>
      <c r="D9" s="313" t="s">
        <v>253</v>
      </c>
      <c r="E9" s="313"/>
      <c r="F9" s="313" t="s">
        <v>253</v>
      </c>
      <c r="G9" s="313" t="s">
        <v>253</v>
      </c>
      <c r="H9" s="313" t="s">
        <v>253</v>
      </c>
      <c r="I9" s="314" t="s">
        <v>253</v>
      </c>
      <c r="J9" s="315" t="s">
        <v>53</v>
      </c>
    </row>
    <row r="10" spans="1:10" ht="14.4" customHeight="1" x14ac:dyDescent="0.3">
      <c r="A10" s="311" t="s">
        <v>256</v>
      </c>
      <c r="B10" s="312" t="s">
        <v>257</v>
      </c>
      <c r="C10" s="313" t="s">
        <v>253</v>
      </c>
      <c r="D10" s="313" t="s">
        <v>253</v>
      </c>
      <c r="E10" s="313"/>
      <c r="F10" s="313" t="s">
        <v>253</v>
      </c>
      <c r="G10" s="313" t="s">
        <v>253</v>
      </c>
      <c r="H10" s="313" t="s">
        <v>253</v>
      </c>
      <c r="I10" s="314" t="s">
        <v>253</v>
      </c>
      <c r="J10" s="315" t="s">
        <v>0</v>
      </c>
    </row>
    <row r="11" spans="1:10" ht="14.4" customHeight="1" x14ac:dyDescent="0.3">
      <c r="A11" s="311" t="s">
        <v>256</v>
      </c>
      <c r="B11" s="312" t="s">
        <v>171</v>
      </c>
      <c r="C11" s="313" t="s">
        <v>253</v>
      </c>
      <c r="D11" s="313">
        <v>0.22214</v>
      </c>
      <c r="E11" s="313"/>
      <c r="F11" s="313">
        <v>1.0120000000000001E-2</v>
      </c>
      <c r="G11" s="313">
        <v>0.26298002374099999</v>
      </c>
      <c r="H11" s="313">
        <v>-0.25286002374099997</v>
      </c>
      <c r="I11" s="314">
        <v>3.8482010367322961E-2</v>
      </c>
      <c r="J11" s="315" t="s">
        <v>1</v>
      </c>
    </row>
    <row r="12" spans="1:10" ht="14.4" customHeight="1" x14ac:dyDescent="0.3">
      <c r="A12" s="311" t="s">
        <v>256</v>
      </c>
      <c r="B12" s="312" t="s">
        <v>258</v>
      </c>
      <c r="C12" s="313" t="s">
        <v>253</v>
      </c>
      <c r="D12" s="313">
        <v>0.22214</v>
      </c>
      <c r="E12" s="313"/>
      <c r="F12" s="313">
        <v>1.0120000000000001E-2</v>
      </c>
      <c r="G12" s="313">
        <v>0.26298002374099999</v>
      </c>
      <c r="H12" s="313">
        <v>-0.25286002374099997</v>
      </c>
      <c r="I12" s="314">
        <v>3.8482010367322961E-2</v>
      </c>
      <c r="J12" s="315" t="s">
        <v>259</v>
      </c>
    </row>
    <row r="13" spans="1:10" ht="14.4" customHeight="1" x14ac:dyDescent="0.3">
      <c r="A13" s="311" t="s">
        <v>253</v>
      </c>
      <c r="B13" s="312" t="s">
        <v>253</v>
      </c>
      <c r="C13" s="313" t="s">
        <v>253</v>
      </c>
      <c r="D13" s="313" t="s">
        <v>253</v>
      </c>
      <c r="E13" s="313"/>
      <c r="F13" s="313" t="s">
        <v>253</v>
      </c>
      <c r="G13" s="313" t="s">
        <v>253</v>
      </c>
      <c r="H13" s="313" t="s">
        <v>253</v>
      </c>
      <c r="I13" s="314" t="s">
        <v>253</v>
      </c>
      <c r="J13" s="315" t="s">
        <v>260</v>
      </c>
    </row>
    <row r="14" spans="1:10" ht="14.4" customHeight="1" x14ac:dyDescent="0.3">
      <c r="A14" s="311" t="s">
        <v>251</v>
      </c>
      <c r="B14" s="312" t="s">
        <v>254</v>
      </c>
      <c r="C14" s="313" t="s">
        <v>253</v>
      </c>
      <c r="D14" s="313">
        <v>0.22214</v>
      </c>
      <c r="E14" s="313"/>
      <c r="F14" s="313">
        <v>1.0120000000000001E-2</v>
      </c>
      <c r="G14" s="313">
        <v>0.26298002374099999</v>
      </c>
      <c r="H14" s="313">
        <v>-0.25286002374099997</v>
      </c>
      <c r="I14" s="314">
        <v>3.8482010367322961E-2</v>
      </c>
      <c r="J14" s="315" t="s">
        <v>255</v>
      </c>
    </row>
  </sheetData>
  <mergeCells count="3">
    <mergeCell ref="A1:I1"/>
    <mergeCell ref="F3:I3"/>
    <mergeCell ref="C4:D4"/>
  </mergeCells>
  <conditionalFormatting sqref="F8 F15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4">
    <cfRule type="expression" dxfId="12" priority="5">
      <formula>$H9&gt;0</formula>
    </cfRule>
  </conditionalFormatting>
  <conditionalFormatting sqref="A9:A14">
    <cfRule type="expression" dxfId="11" priority="2">
      <formula>AND($J9&lt;&gt;"mezeraKL",$J9&lt;&gt;"")</formula>
    </cfRule>
  </conditionalFormatting>
  <conditionalFormatting sqref="I9:I14">
    <cfRule type="expression" dxfId="10" priority="6">
      <formula>$I9&gt;1</formula>
    </cfRule>
  </conditionalFormatting>
  <conditionalFormatting sqref="B9:B14">
    <cfRule type="expression" dxfId="9" priority="1">
      <formula>OR($J9="NS",$J9="SumaNS",$J9="Účet")</formula>
    </cfRule>
  </conditionalFormatting>
  <conditionalFormatting sqref="A9:D14 F9:I14">
    <cfRule type="expression" dxfId="8" priority="8">
      <formula>AND($J9&lt;&gt;"",$J9&lt;&gt;"mezeraKL")</formula>
    </cfRule>
  </conditionalFormatting>
  <conditionalFormatting sqref="B9:D14 F9:I14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79" t="s">
        <v>277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5"/>
      <c r="D3" s="276"/>
      <c r="E3" s="276"/>
      <c r="F3" s="276"/>
      <c r="G3" s="276"/>
      <c r="H3" s="108" t="s">
        <v>75</v>
      </c>
      <c r="I3" s="71">
        <f>IF(J3&lt;&gt;0,K3/J3,0)</f>
        <v>10.119999999999999</v>
      </c>
      <c r="J3" s="71">
        <f>SUBTOTAL(9,J5:J1048576)</f>
        <v>1</v>
      </c>
      <c r="K3" s="72">
        <f>SUBTOTAL(9,K5:K1048576)</f>
        <v>10.119999999999999</v>
      </c>
    </row>
    <row r="4" spans="1:11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54</v>
      </c>
      <c r="H4" s="318" t="s">
        <v>10</v>
      </c>
      <c r="I4" s="319" t="s">
        <v>81</v>
      </c>
      <c r="J4" s="319" t="s">
        <v>12</v>
      </c>
      <c r="K4" s="320" t="s">
        <v>89</v>
      </c>
    </row>
    <row r="5" spans="1:11" ht="14.4" customHeight="1" thickBot="1" x14ac:dyDescent="0.35">
      <c r="A5" s="333" t="s">
        <v>251</v>
      </c>
      <c r="B5" s="334" t="s">
        <v>252</v>
      </c>
      <c r="C5" s="335" t="s">
        <v>256</v>
      </c>
      <c r="D5" s="336" t="s">
        <v>271</v>
      </c>
      <c r="E5" s="335" t="s">
        <v>275</v>
      </c>
      <c r="F5" s="336" t="s">
        <v>276</v>
      </c>
      <c r="G5" s="335" t="s">
        <v>273</v>
      </c>
      <c r="H5" s="335" t="s">
        <v>274</v>
      </c>
      <c r="I5" s="337">
        <v>10.119999999999999</v>
      </c>
      <c r="J5" s="337">
        <v>1</v>
      </c>
      <c r="K5" s="338">
        <v>10.119999999999999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2017-01-31T12:04:09Z</dcterms:modified>
</cp:coreProperties>
</file>