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Materiál Žádanky" sheetId="420" r:id="rId6"/>
    <sheet name="Osobní náklady" sheetId="419" r:id="rId7"/>
    <sheet name="ON Data" sheetId="418" state="hidden" r:id="rId8"/>
  </sheets>
  <definedNames>
    <definedName name="_xlnm._FilterDatabase" localSheetId="4" hidden="1">HV!$A$5:$A$5</definedName>
    <definedName name="_xlnm._FilterDatabase" localSheetId="3" hidden="1">'Man Tab'!$A$5:$A$31</definedName>
    <definedName name="_xlnm._FilterDatabase" localSheetId="5" hidden="1">'Materiál Žádanky'!$A$4:$I$4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7" i="414" l="1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H26" i="419" l="1"/>
  <c r="AH25" i="419"/>
  <c r="A10" i="383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F27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12" i="414"/>
  <c r="A4" i="414"/>
  <c r="A6" i="339" l="1"/>
  <c r="A5" i="339"/>
  <c r="D4" i="414"/>
  <c r="C15" i="414"/>
  <c r="C12" i="414"/>
  <c r="D15" i="414"/>
  <c r="D12" i="414"/>
  <c r="C11" i="414" l="1"/>
  <c r="C7" i="414"/>
  <c r="E11" i="414" l="1"/>
  <c r="E7" i="414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<sst xmlns="http://schemas.openxmlformats.org/spreadsheetml/2006/main" count="484" uniqueCount="300">
  <si>
    <t>NS</t>
  </si>
  <si>
    <t>Účet</t>
  </si>
  <si>
    <t>Celkem</t>
  </si>
  <si>
    <t>Klinika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</si>
  <si>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</si>
  <si>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</si>
  <si>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</si>
  <si>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</si>
  <si>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</si>
  <si>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</si>
  <si>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</si>
  <si>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</si>
  <si>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</si>
  <si>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</si>
  <si>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</si>
  <si>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</si>
  <si>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</si>
  <si>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</si>
  <si>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</si>
  <si>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</si>
  <si>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</si>
  <si>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</si>
  <si>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</si>
  <si>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</si>
  <si>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</si>
  <si>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</si>
  <si>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</si>
  <si>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</si>
  <si>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</si>
  <si>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</si>
  <si>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</si>
  <si>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</si>
  <si>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</si>
  <si>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</si>
  <si>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</si>
  <si>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</si>
  <si>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</si>
  <si>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</si>
  <si>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</si>
  <si>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</si>
  <si>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</si>
  <si>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</si>
  <si>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</si>
  <si>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</si>
  <si>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</si>
  <si>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</si>
  <si>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</si>
  <si>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</si>
  <si>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</si>
  <si>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</si>
  <si>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</si>
  <si>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</si>
  <si>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</si>
  <si>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</si>
  <si>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</si>
  <si>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</si>
  <si>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</si>
  <si>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</si>
  <si>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</si>
  <si>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Osobní náklady</t>
  </si>
  <si>
    <t>Motivační kritéria</t>
  </si>
  <si>
    <t>Motivace</t>
  </si>
  <si>
    <t>Hospodaření zdravotnického pracoviště (v tisících)</t>
  </si>
  <si>
    <t>Spotřeba zdravotnického materiálu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</si>
  <si>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</si>
  <si>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</si>
  <si>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</si>
  <si>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</si>
  <si>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</si>
  <si>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</si>
  <si>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</si>
  <si>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</si>
  <si>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</si>
  <si>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</si>
  <si>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</si>
  <si>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</si>
  <si>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</si>
  <si>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</si>
  <si>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</si>
  <si>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</si>
  <si>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</si>
  <si>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</si>
  <si>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</si>
  <si>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</si>
  <si>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</si>
  <si>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</si>
  <si>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</si>
  <si>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</si>
  <si>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</si>
  <si>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</si>
  <si>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</si>
  <si>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</si>
  <si>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</si>
  <si>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</si>
  <si>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</si>
  <si>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</si>
  <si>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</si>
  <si>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</si>
  <si>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</si>
  <si>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</si>
  <si>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</si>
  <si>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</si>
  <si>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</si>
  <si>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</si>
  <si>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</si>
  <si>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</si>
  <si>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</si>
  <si>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</si>
  <si>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</si>
  <si>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</si>
  <si>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</si>
  <si>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</si>
  <si>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</si>
  <si>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</si>
  <si>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</si>
  <si>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</si>
  <si>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</si>
  <si>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</si>
  <si>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</si>
  <si>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</si>
  <si>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</si>
  <si>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</si>
  <si>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</si>
  <si>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</si>
  <si>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</si>
  <si>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</si>
  <si>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</si>
  <si>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</si>
  <si>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</si>
  <si>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</si>
  <si>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</si>
  <si>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</si>
  <si>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</si>
  <si>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</si>
  <si>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</si>
  <si>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</si>
  <si>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</si>
  <si>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</si>
  <si>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</si>
  <si>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</si>
  <si>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</si>
  <si>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</si>
  <si>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</si>
  <si>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</si>
  <si>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</si>
  <si>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</si>
  <si>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</si>
  <si>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</si>
  <si>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</si>
  <si>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</si>
  <si>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</si>
  <si>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</si>
  <si>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</si>
  <si>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</si>
  <si>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</si>
  <si>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</si>
  <si>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</si>
  <si>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</si>
  <si>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</si>
  <si>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</si>
  <si>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</si>
  <si>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</si>
  <si>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</si>
  <si>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</si>
  <si>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</si>
  <si>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</si>
  <si>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</si>
  <si>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</si>
  <si>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</si>
  <si>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</si>
  <si>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</si>
  <si>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</si>
  <si>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</si>
  <si>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</si>
  <si>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</si>
  <si>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</si>
  <si>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</si>
  <si>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Transplantační centrum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</si>
  <si>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</si>
  <si>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</si>
  <si>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</si>
  <si>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</si>
  <si>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</si>
  <si>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50112     PHM</t>
  </si>
  <si>
    <t>50112001     automobilový benzín</t>
  </si>
  <si>
    <t>50115     Zdravotnické prostředky</t>
  </si>
  <si>
    <t>50115011     implant.umělé těl.náhr.-ostat.nákl.PZT(s.Z_515)</t>
  </si>
  <si>
    <t>50116     Potraviny</t>
  </si>
  <si>
    <t>50116099     nápoje - horké dny (daň.neúčinné)</t>
  </si>
  <si>
    <t>50117     Všeobecný materiál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</si>
  <si>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</si>
  <si>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</si>
  <si>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</si>
  <si>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</si>
  <si>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</si>
  <si>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</si>
  <si>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50118006     ND - ZVIT (sk.B63)</t>
  </si>
  <si>
    <t>--</t>
  </si>
  <si>
    <t>50118007     ND - doprava (sk.A50)</t>
  </si>
  <si>
    <t>50119     DDHM a textil</t>
  </si>
  <si>
    <t>50119077     OOPP a prádlo pro zaměstnance (sk.T14)</t>
  </si>
  <si>
    <t>50180     Materiál z darů, FKSP</t>
  </si>
  <si>
    <t>50180000     spotř.nák.- z fin. darů</t>
  </si>
  <si>
    <t>50210     Spotřeba energie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</si>
  <si>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</si>
  <si>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</si>
  <si>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</si>
  <si>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</si>
  <si>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</si>
  <si>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51102025     opravy - hl.energetik</t>
  </si>
  <si>
    <t>51102027     opravy a údržba vozového parku</t>
  </si>
  <si>
    <t>51201     Cestovné zaměstnanců-tuzemské</t>
  </si>
  <si>
    <t>51201000     cestovné z mezd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</si>
  <si>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</si>
  <si>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</si>
  <si>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</si>
  <si>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</si>
  <si>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</si>
  <si>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</si>
  <si>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</si>
  <si>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51806004     popl. za DDD a ostatní služby</t>
  </si>
  <si>
    <t>51808     Revize a smluvní servisy majetku</t>
  </si>
  <si>
    <t>51808011     revize, sml.servis - doprava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</si>
  <si>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</si>
  <si>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</si>
  <si>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</si>
  <si>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</si>
  <si>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</si>
  <si>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</si>
  <si>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</si>
  <si>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</si>
  <si>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</si>
  <si>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</si>
  <si>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</si>
  <si>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</si>
  <si>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</si>
  <si>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</si>
  <si>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</si>
  <si>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</si>
  <si>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</si>
  <si>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</si>
  <si>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</si>
  <si>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</si>
  <si>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</si>
  <si>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53801006     poplatky za užívání dálnic a rychl.silnic, mýtné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</si>
  <si>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</si>
  <si>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</si>
  <si>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</si>
  <si>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</si>
  <si>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</si>
  <si>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</si>
  <si>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54911     Pojištění (sml.418/2006)</t>
  </si>
  <si>
    <t>54911003     pojištění - vozidla(zák., havar.) (C,D 9402)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</si>
  <si>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</si>
  <si>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</si>
  <si>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</si>
  <si>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</si>
  <si>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</si>
  <si>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</si>
  <si>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55110005     odpisy DHM - ostatní z odpisů</t>
  </si>
  <si>
    <t>55110013     odpisy DHM - budovy z dotací</t>
  </si>
  <si>
    <t>558     Náklady z drobného dlouhodobého majetku</t>
  </si>
  <si>
    <t>55802     DDHM - provozní</t>
  </si>
  <si>
    <t>55802081     DDHM - provozní (finanční dary)</t>
  </si>
  <si>
    <t>55804     DDHM - výpočetní technika</t>
  </si>
  <si>
    <t>55804002     DDHM - telefony (sk.P_49)</t>
  </si>
  <si>
    <t>55806     DDHM ostatní</t>
  </si>
  <si>
    <t>55806001     DDHM - ostatní, razítka (sk.V_47, V_112)</t>
  </si>
  <si>
    <t>6     Účtová třída 6 - Výnosy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</si>
  <si>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</si>
  <si>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</si>
  <si>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</si>
  <si>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</si>
  <si>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</si>
  <si>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</si>
  <si>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</si>
  <si>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</si>
  <si>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79903002     výkony dopravy - osobní</t>
  </si>
  <si>
    <t>79903003     výkony dopravy - nákladní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</si>
  <si>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</si>
  <si>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</si>
  <si>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</si>
  <si>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</si>
  <si>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</si>
  <si>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</si>
  <si>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</si>
  <si>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89950     VPV - správní režie</t>
  </si>
  <si>
    <t>89950001     režie HTS</t>
  </si>
  <si>
    <t>46</t>
  </si>
  <si>
    <t>Transplantační centrum</t>
  </si>
  <si>
    <t/>
  </si>
  <si>
    <t>50115004     implant.umělé těl.náhr.-kovové (s.Z_506)</t>
  </si>
  <si>
    <t>Transplantační centrum Celkem</t>
  </si>
  <si>
    <t>SumaKL</t>
  </si>
  <si>
    <t>4692</t>
  </si>
  <si>
    <t>transplantační centrum + koordinační</t>
  </si>
  <si>
    <t>transplantační centrum + koordinační Celkem</t>
  </si>
  <si>
    <t>SumaNS</t>
  </si>
  <si>
    <t>mezeraNS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</si>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</sst>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39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1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1" fontId="28" fillId="3" borderId="26" xfId="80" applyNumberFormat="1" applyFont="1" applyFill="1" applyBorder="1"/>
    <xf numFmtId="171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7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3" fillId="2" borderId="16" xfId="1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3" fillId="4" borderId="32" xfId="1" applyFont="1" applyFill="1" applyBorder="1"/>
    <xf numFmtId="0" fontId="43" fillId="4" borderId="16" xfId="1" applyFont="1" applyFill="1" applyBorder="1"/>
    <xf numFmtId="0" fontId="43" fillId="3" borderId="17" xfId="1" applyFont="1" applyFill="1" applyBorder="1"/>
    <xf numFmtId="0" fontId="46" fillId="0" borderId="0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3" fillId="3" borderId="7" xfId="1" applyFont="1" applyFill="1" applyBorder="1"/>
    <xf numFmtId="0" fontId="43" fillId="3" borderId="3" xfId="1" applyFont="1" applyFill="1" applyBorder="1"/>
    <xf numFmtId="0" fontId="43" fillId="6" borderId="3" xfId="1" applyFont="1" applyFill="1" applyBorder="1"/>
    <xf numFmtId="0" fontId="43" fillId="6" borderId="45" xfId="1" applyFont="1" applyFill="1" applyBorder="1"/>
    <xf numFmtId="0" fontId="43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6" xfId="0" applyNumberFormat="1" applyFont="1" applyFill="1" applyBorder="1"/>
    <xf numFmtId="0" fontId="47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3" fillId="2" borderId="33" xfId="1" applyFont="1" applyFill="1" applyBorder="1" applyAlignment="1">
      <alignment horizontal="left" indent="2"/>
    </xf>
    <xf numFmtId="0" fontId="47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7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7" fillId="4" borderId="44" xfId="1" applyFont="1" applyFill="1" applyBorder="1" applyAlignment="1">
      <alignment horizontal="left"/>
    </xf>
    <xf numFmtId="0" fontId="47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8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3" fontId="0" fillId="0" borderId="0" xfId="0" applyNumberFormat="1"/>
    <xf numFmtId="3" fontId="0" fillId="7" borderId="49" xfId="0" applyNumberFormat="1" applyFont="1" applyFill="1" applyBorder="1"/>
    <xf numFmtId="3" fontId="50" fillId="8" borderId="50" xfId="0" applyNumberFormat="1" applyFont="1" applyFill="1" applyBorder="1"/>
    <xf numFmtId="3" fontId="50" fillId="8" borderId="49" xfId="0" applyNumberFormat="1" applyFont="1" applyFill="1" applyBorder="1"/>
    <xf numFmtId="0" fontId="51" fillId="0" borderId="0" xfId="1" applyFont="1" applyFill="1"/>
    <xf numFmtId="3" fontId="49" fillId="0" borderId="0" xfId="26" applyNumberFormat="1" applyFont="1" applyFill="1" applyBorder="1" applyAlignment="1"/>
    <xf numFmtId="3" fontId="39" fillId="2" borderId="53" xfId="0" applyNumberFormat="1" applyFont="1" applyFill="1" applyBorder="1" applyAlignment="1">
      <alignment horizontal="center" vertical="center"/>
    </xf>
    <xf numFmtId="0" fontId="39" fillId="2" borderId="54" xfId="0" applyFont="1" applyFill="1" applyBorder="1" applyAlignment="1">
      <alignment horizontal="center" vertical="center"/>
    </xf>
    <xf numFmtId="3" fontId="52" fillId="2" borderId="56" xfId="0" applyNumberFormat="1" applyFont="1" applyFill="1" applyBorder="1" applyAlignment="1">
      <alignment horizontal="center" vertical="center" wrapText="1"/>
    </xf>
    <xf numFmtId="0" fontId="52" fillId="2" borderId="57" xfId="0" applyFont="1" applyFill="1" applyBorder="1" applyAlignment="1">
      <alignment horizontal="center" vertical="center" wrapText="1"/>
    </xf>
    <xf numFmtId="0" fontId="39" fillId="2" borderId="59" xfId="0" applyFont="1" applyFill="1" applyBorder="1" applyAlignment="1"/>
    <xf numFmtId="0" fontId="39" fillId="2" borderId="61" xfId="0" applyFont="1" applyFill="1" applyBorder="1" applyAlignment="1">
      <alignment horizontal="left" indent="1"/>
    </xf>
    <xf numFmtId="0" fontId="39" fillId="2" borderId="66" xfId="0" applyFont="1" applyFill="1" applyBorder="1" applyAlignment="1">
      <alignment horizontal="left" indent="1"/>
    </xf>
    <xf numFmtId="0" fontId="39" fillId="4" borderId="59" xfId="0" applyFont="1" applyFill="1" applyBorder="1" applyAlignment="1"/>
    <xf numFmtId="0" fontId="39" fillId="4" borderId="61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2" borderId="61" xfId="0" quotePrefix="1" applyFont="1" applyFill="1" applyBorder="1" applyAlignment="1">
      <alignment horizontal="left" indent="2"/>
    </xf>
    <xf numFmtId="0" fontId="32" fillId="2" borderId="66" xfId="0" quotePrefix="1" applyFont="1" applyFill="1" applyBorder="1" applyAlignment="1">
      <alignment horizontal="left" indent="2"/>
    </xf>
    <xf numFmtId="0" fontId="39" fillId="2" borderId="59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6" xfId="0" applyFont="1" applyFill="1" applyBorder="1" applyAlignment="1">
      <alignment horizontal="left" indent="1"/>
    </xf>
    <xf numFmtId="0" fontId="32" fillId="0" borderId="75" xfId="0" applyFont="1" applyBorder="1"/>
    <xf numFmtId="3" fontId="32" fillId="0" borderId="75" xfId="0" applyNumberFormat="1" applyFont="1" applyBorder="1"/>
    <xf numFmtId="0" fontId="39" fillId="4" borderId="51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4" xfId="0" applyNumberFormat="1" applyFont="1" applyFill="1" applyBorder="1" applyAlignment="1">
      <alignment horizontal="center" vertical="center"/>
    </xf>
    <xf numFmtId="3" fontId="52" fillId="2" borderId="72" xfId="0" applyNumberFormat="1" applyFont="1" applyFill="1" applyBorder="1" applyAlignment="1">
      <alignment horizontal="center" vertical="center" wrapText="1"/>
    </xf>
    <xf numFmtId="173" fontId="39" fillId="4" borderId="60" xfId="0" applyNumberFormat="1" applyFont="1" applyFill="1" applyBorder="1" applyAlignment="1"/>
    <xf numFmtId="173" fontId="39" fillId="4" borderId="53" xfId="0" applyNumberFormat="1" applyFont="1" applyFill="1" applyBorder="1" applyAlignment="1"/>
    <xf numFmtId="173" fontId="39" fillId="4" borderId="54" xfId="0" applyNumberFormat="1" applyFont="1" applyFill="1" applyBorder="1" applyAlignment="1"/>
    <xf numFmtId="173" fontId="39" fillId="0" borderId="62" xfId="0" applyNumberFormat="1" applyFont="1" applyBorder="1"/>
    <xf numFmtId="173" fontId="32" fillId="0" borderId="65" xfId="0" applyNumberFormat="1" applyFont="1" applyBorder="1"/>
    <xf numFmtId="173" fontId="32" fillId="0" borderId="64" xfId="0" applyNumberFormat="1" applyFont="1" applyBorder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57" xfId="0" applyNumberFormat="1" applyFont="1" applyBorder="1"/>
    <xf numFmtId="173" fontId="39" fillId="2" borderId="73" xfId="0" applyNumberFormat="1" applyFont="1" applyFill="1" applyBorder="1" applyAlignment="1"/>
    <xf numFmtId="173" fontId="39" fillId="2" borderId="53" xfId="0" applyNumberFormat="1" applyFont="1" applyFill="1" applyBorder="1" applyAlignment="1"/>
    <xf numFmtId="173" fontId="39" fillId="2" borderId="54" xfId="0" applyNumberFormat="1" applyFont="1" applyFill="1" applyBorder="1" applyAlignment="1"/>
    <xf numFmtId="173" fontId="39" fillId="0" borderId="67" xfId="0" applyNumberFormat="1" applyFont="1" applyBorder="1"/>
    <xf numFmtId="173" fontId="32" fillId="0" borderId="68" xfId="0" applyNumberFormat="1" applyFont="1" applyBorder="1"/>
    <xf numFmtId="173" fontId="32" fillId="0" borderId="69" xfId="0" applyNumberFormat="1" applyFont="1" applyBorder="1"/>
    <xf numFmtId="173" fontId="39" fillId="0" borderId="60" xfId="0" applyNumberFormat="1" applyFont="1" applyBorder="1"/>
    <xf numFmtId="173" fontId="32" fillId="0" borderId="74" xfId="0" applyNumberFormat="1" applyFont="1" applyBorder="1"/>
    <xf numFmtId="173" fontId="32" fillId="0" borderId="54" xfId="0" applyNumberFormat="1" applyFont="1" applyBorder="1"/>
    <xf numFmtId="174" fontId="39" fillId="2" borderId="60" xfId="0" applyNumberFormat="1" applyFont="1" applyFill="1" applyBorder="1" applyAlignment="1"/>
    <xf numFmtId="174" fontId="32" fillId="2" borderId="53" xfId="0" applyNumberFormat="1" applyFont="1" applyFill="1" applyBorder="1" applyAlignment="1"/>
    <xf numFmtId="174" fontId="32" fillId="2" borderId="54" xfId="0" applyNumberFormat="1" applyFont="1" applyFill="1" applyBorder="1" applyAlignment="1"/>
    <xf numFmtId="174" fontId="39" fillId="0" borderId="62" xfId="0" applyNumberFormat="1" applyFont="1" applyBorder="1"/>
    <xf numFmtId="174" fontId="32" fillId="0" borderId="63" xfId="0" applyNumberFormat="1" applyFont="1" applyBorder="1"/>
    <xf numFmtId="174" fontId="32" fillId="0" borderId="64" xfId="0" applyNumberFormat="1" applyFont="1" applyBorder="1"/>
    <xf numFmtId="174" fontId="32" fillId="0" borderId="65" xfId="0" applyNumberFormat="1" applyFont="1" applyBorder="1"/>
    <xf numFmtId="174" fontId="39" fillId="0" borderId="67" xfId="0" applyNumberFormat="1" applyFont="1" applyBorder="1"/>
    <xf numFmtId="174" fontId="32" fillId="0" borderId="68" xfId="0" applyNumberFormat="1" applyFont="1" applyBorder="1"/>
    <xf numFmtId="174" fontId="32" fillId="0" borderId="69" xfId="0" applyNumberFormat="1" applyFont="1" applyBorder="1"/>
    <xf numFmtId="0" fontId="54" fillId="0" borderId="0" xfId="0" applyFont="1" applyAlignment="1">
      <alignment horizontal="left" vertical="center" indent="1"/>
    </xf>
    <xf numFmtId="0" fontId="54" fillId="0" borderId="0" xfId="0" applyFont="1" applyAlignment="1">
      <alignment vertical="center"/>
    </xf>
    <xf numFmtId="0" fontId="0" fillId="0" borderId="0" xfId="0" applyAlignment="1"/>
    <xf numFmtId="0" fontId="55" fillId="0" borderId="0" xfId="0" applyFont="1"/>
    <xf numFmtId="173" fontId="39" fillId="4" borderId="60" xfId="0" applyNumberFormat="1" applyFont="1" applyFill="1" applyBorder="1" applyAlignment="1">
      <alignment horizontal="center"/>
    </xf>
    <xf numFmtId="175" fontId="39" fillId="0" borderId="67" xfId="0" applyNumberFormat="1" applyFont="1" applyBorder="1"/>
    <xf numFmtId="0" fontId="31" fillId="2" borderId="81" xfId="74" applyFont="1" applyFill="1" applyBorder="1" applyAlignment="1">
      <alignment horizontal="center"/>
    </xf>
    <xf numFmtId="0" fontId="31" fillId="2" borderId="55" xfId="80" applyFont="1" applyFill="1" applyBorder="1" applyAlignment="1">
      <alignment horizontal="center"/>
    </xf>
    <xf numFmtId="0" fontId="31" fillId="2" borderId="56" xfId="80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3" xfId="1" applyFill="1" applyBorder="1" applyAlignment="1">
      <alignment horizontal="left" indent="4"/>
    </xf>
    <xf numFmtId="9" fontId="39" fillId="0" borderId="62" xfId="0" applyNumberFormat="1" applyFont="1" applyBorder="1"/>
    <xf numFmtId="9" fontId="32" fillId="0" borderId="65" xfId="0" applyNumberFormat="1" applyFont="1" applyBorder="1"/>
    <xf numFmtId="9" fontId="32" fillId="0" borderId="64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48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1" xfId="80" applyFont="1" applyFill="1" applyBorder="1" applyAlignment="1">
      <alignment horizontal="center"/>
    </xf>
    <xf numFmtId="0" fontId="31" fillId="2" borderId="7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80" xfId="80" applyFont="1" applyFill="1" applyBorder="1" applyAlignment="1">
      <alignment horizontal="center"/>
    </xf>
    <xf numFmtId="0" fontId="31" fillId="2" borderId="71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5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3" xfId="0" applyNumberFormat="1" applyFont="1" applyFill="1" applyBorder="1" applyAlignment="1">
      <alignment horizontal="right" vertical="top"/>
    </xf>
    <xf numFmtId="3" fontId="33" fillId="9" borderId="84" xfId="0" applyNumberFormat="1" applyFont="1" applyFill="1" applyBorder="1" applyAlignment="1">
      <alignment horizontal="right" vertical="top"/>
    </xf>
    <xf numFmtId="176" fontId="33" fillId="9" borderId="85" xfId="0" applyNumberFormat="1" applyFont="1" applyFill="1" applyBorder="1" applyAlignment="1">
      <alignment horizontal="right" vertical="top"/>
    </xf>
    <xf numFmtId="3" fontId="33" fillId="0" borderId="83" xfId="0" applyNumberFormat="1" applyFont="1" applyBorder="1" applyAlignment="1">
      <alignment horizontal="right" vertical="top"/>
    </xf>
    <xf numFmtId="176" fontId="33" fillId="9" borderId="86" xfId="0" applyNumberFormat="1" applyFont="1" applyFill="1" applyBorder="1" applyAlignment="1">
      <alignment horizontal="right" vertical="top"/>
    </xf>
    <xf numFmtId="3" fontId="35" fillId="9" borderId="88" xfId="0" applyNumberFormat="1" applyFont="1" applyFill="1" applyBorder="1" applyAlignment="1">
      <alignment horizontal="right" vertical="top"/>
    </xf>
    <xf numFmtId="3" fontId="35" fillId="9" borderId="89" xfId="0" applyNumberFormat="1" applyFont="1" applyFill="1" applyBorder="1" applyAlignment="1">
      <alignment horizontal="right" vertical="top"/>
    </xf>
    <xf numFmtId="176" fontId="35" fillId="9" borderId="90" xfId="0" applyNumberFormat="1" applyFont="1" applyFill="1" applyBorder="1" applyAlignment="1">
      <alignment horizontal="right" vertical="top"/>
    </xf>
    <xf numFmtId="3" fontId="35" fillId="0" borderId="88" xfId="0" applyNumberFormat="1" applyFont="1" applyBorder="1" applyAlignment="1">
      <alignment horizontal="right" vertical="top"/>
    </xf>
    <xf numFmtId="176" fontId="35" fillId="9" borderId="91" xfId="0" applyNumberFormat="1" applyFont="1" applyFill="1" applyBorder="1" applyAlignment="1">
      <alignment horizontal="right" vertical="top"/>
    </xf>
    <xf numFmtId="0" fontId="35" fillId="9" borderId="90" xfId="0" applyFont="1" applyFill="1" applyBorder="1" applyAlignment="1">
      <alignment horizontal="right" vertical="top"/>
    </xf>
    <xf numFmtId="0" fontId="35" fillId="9" borderId="91" xfId="0" applyFont="1" applyFill="1" applyBorder="1" applyAlignment="1">
      <alignment horizontal="right" vertical="top"/>
    </xf>
    <xf numFmtId="0" fontId="33" fillId="9" borderId="85" xfId="0" applyFont="1" applyFill="1" applyBorder="1" applyAlignment="1">
      <alignment horizontal="right" vertical="top"/>
    </xf>
    <xf numFmtId="0" fontId="33" fillId="9" borderId="86" xfId="0" applyFont="1" applyFill="1" applyBorder="1" applyAlignment="1">
      <alignment horizontal="right" vertical="top"/>
    </xf>
    <xf numFmtId="3" fontId="35" fillId="0" borderId="92" xfId="0" applyNumberFormat="1" applyFont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0" fontId="35" fillId="0" borderId="94" xfId="0" applyFont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7" fillId="10" borderId="82" xfId="0" applyFont="1" applyFill="1" applyBorder="1" applyAlignment="1">
      <alignment vertical="top"/>
    </xf>
    <xf numFmtId="0" fontId="37" fillId="10" borderId="82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 indent="6"/>
    </xf>
    <xf numFmtId="0" fontId="37" fillId="10" borderId="82" xfId="0" applyFont="1" applyFill="1" applyBorder="1" applyAlignment="1">
      <alignment vertical="top" indent="8"/>
    </xf>
    <xf numFmtId="0" fontId="38" fillId="10" borderId="87" xfId="0" applyFont="1" applyFill="1" applyBorder="1" applyAlignment="1">
      <alignment vertical="top" indent="2"/>
    </xf>
    <xf numFmtId="0" fontId="37" fillId="10" borderId="82" xfId="0" applyFont="1" applyFill="1" applyBorder="1" applyAlignment="1">
      <alignment vertical="top" indent="6"/>
    </xf>
    <xf numFmtId="0" fontId="38" fillId="10" borderId="87" xfId="0" applyFont="1" applyFill="1" applyBorder="1" applyAlignment="1">
      <alignment vertical="top" indent="4"/>
    </xf>
    <xf numFmtId="0" fontId="38" fillId="10" borderId="87" xfId="0" applyFont="1" applyFill="1" applyBorder="1" applyAlignment="1">
      <alignment vertical="top"/>
    </xf>
    <xf numFmtId="0" fontId="32" fillId="10" borderId="82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73" fontId="39" fillId="4" borderId="96" xfId="0" applyNumberFormat="1" applyFont="1" applyFill="1" applyBorder="1" applyAlignment="1">
      <alignment horizontal="center"/>
    </xf>
    <xf numFmtId="173" fontId="39" fillId="4" borderId="97" xfId="0" applyNumberFormat="1" applyFont="1" applyFill="1" applyBorder="1" applyAlignment="1">
      <alignment horizontal="center"/>
    </xf>
    <xf numFmtId="173" fontId="32" fillId="0" borderId="98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/>
    </xf>
    <xf numFmtId="173" fontId="32" fillId="0" borderId="99" xfId="0" applyNumberFormat="1" applyFont="1" applyBorder="1" applyAlignment="1">
      <alignment horizontal="right" wrapText="1"/>
    </xf>
    <xf numFmtId="175" fontId="32" fillId="0" borderId="98" xfId="0" applyNumberFormat="1" applyFont="1" applyBorder="1" applyAlignment="1">
      <alignment horizontal="right"/>
    </xf>
    <xf numFmtId="175" fontId="32" fillId="0" borderId="99" xfId="0" applyNumberFormat="1" applyFont="1" applyBorder="1" applyAlignment="1">
      <alignment horizontal="right"/>
    </xf>
    <xf numFmtId="173" fontId="32" fillId="0" borderId="100" xfId="0" applyNumberFormat="1" applyFont="1" applyBorder="1" applyAlignment="1">
      <alignment horizontal="right"/>
    </xf>
    <xf numFmtId="173" fontId="32" fillId="0" borderId="101" xfId="0" applyNumberFormat="1" applyFont="1" applyBorder="1" applyAlignment="1">
      <alignment horizontal="right"/>
    </xf>
    <xf numFmtId="0" fontId="39" fillId="2" borderId="78" xfId="0" applyFont="1" applyFill="1" applyBorder="1" applyAlignment="1">
      <alignment horizontal="center" vertical="center"/>
    </xf>
    <xf numFmtId="0" fontId="52" fillId="2" borderId="77" xfId="0" applyFont="1" applyFill="1" applyBorder="1" applyAlignment="1">
      <alignment horizontal="center" vertical="center" wrapText="1"/>
    </xf>
    <xf numFmtId="174" fontId="32" fillId="2" borderId="78" xfId="0" applyNumberFormat="1" applyFont="1" applyFill="1" applyBorder="1" applyAlignment="1"/>
    <xf numFmtId="174" fontId="32" fillId="0" borderId="76" xfId="0" applyNumberFormat="1" applyFont="1" applyBorder="1"/>
    <xf numFmtId="174" fontId="32" fillId="0" borderId="102" xfId="0" applyNumberFormat="1" applyFont="1" applyBorder="1"/>
    <xf numFmtId="173" fontId="39" fillId="4" borderId="78" xfId="0" applyNumberFormat="1" applyFont="1" applyFill="1" applyBorder="1" applyAlignment="1"/>
    <xf numFmtId="173" fontId="32" fillId="0" borderId="76" xfId="0" applyNumberFormat="1" applyFont="1" applyBorder="1"/>
    <xf numFmtId="173" fontId="32" fillId="0" borderId="77" xfId="0" applyNumberFormat="1" applyFont="1" applyBorder="1"/>
    <xf numFmtId="173" fontId="39" fillId="2" borderId="78" xfId="0" applyNumberFormat="1" applyFont="1" applyFill="1" applyBorder="1" applyAlignment="1"/>
    <xf numFmtId="173" fontId="32" fillId="0" borderId="102" xfId="0" applyNumberFormat="1" applyFont="1" applyBorder="1"/>
    <xf numFmtId="173" fontId="32" fillId="0" borderId="78" xfId="0" applyNumberFormat="1" applyFont="1" applyBorder="1"/>
    <xf numFmtId="9" fontId="32" fillId="0" borderId="76" xfId="0" applyNumberFormat="1" applyFont="1" applyBorder="1"/>
    <xf numFmtId="173" fontId="39" fillId="4" borderId="103" xfId="0" applyNumberFormat="1" applyFont="1" applyFill="1" applyBorder="1" applyAlignment="1">
      <alignment horizontal="center"/>
    </xf>
    <xf numFmtId="173" fontId="32" fillId="0" borderId="104" xfId="0" applyNumberFormat="1" applyFont="1" applyBorder="1" applyAlignment="1">
      <alignment horizontal="right"/>
    </xf>
    <xf numFmtId="175" fontId="32" fillId="0" borderId="104" xfId="0" applyNumberFormat="1" applyFont="1" applyBorder="1" applyAlignment="1">
      <alignment horizontal="right"/>
    </xf>
    <xf numFmtId="173" fontId="32" fillId="0" borderId="105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1" xfId="0" applyNumberFormat="1" applyFont="1" applyBorder="1" applyAlignment="1">
      <alignment horizontal="right"/>
    </xf>
    <xf numFmtId="175" fontId="32" fillId="0" borderId="61" xfId="0" applyNumberFormat="1" applyFont="1" applyBorder="1" applyAlignment="1">
      <alignment horizontal="right"/>
    </xf>
    <xf numFmtId="173" fontId="32" fillId="0" borderId="70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3" bestFit="1" customWidth="1"/>
    <col min="2" max="2" width="102.21875" style="93" bestFit="1" customWidth="1"/>
    <col min="3" max="3" width="16.109375" style="42" hidden="1" customWidth="1"/>
    <col min="4" max="16384" width="8.88671875" style="93"/>
  </cols>
  <sheetData>
    <row r="1" spans="1:3" ht="18.600000000000001" customHeight="1" thickBot="1" x14ac:dyDescent="0.4">
      <c r="A1" s="240" t="s">
        <v>53</v>
      </c>
      <c r="B1" s="240"/>
    </row>
    <row r="2" spans="1:3" ht="14.4" customHeight="1" thickBot="1" x14ac:dyDescent="0.35">
      <c r="A2" s="166" t="s">
        <v>177</v>
      </c>
      <c r="B2" s="41"/>
    </row>
    <row r="3" spans="1:3" ht="14.4" customHeight="1" thickBot="1" x14ac:dyDescent="0.35">
      <c r="A3" s="236" t="s">
        <v>64</v>
      </c>
      <c r="B3" s="237"/>
    </row>
    <row r="4" spans="1:3" ht="14.4" customHeight="1" x14ac:dyDescent="0.3">
      <c r="A4" s="105" t="str">
        <f t="shared" ref="A4:A7" si="0">HYPERLINK("#'"&amp;C4&amp;"'!A1",C4)</f>
        <v>Motivace</v>
      </c>
      <c r="B4" s="60" t="s">
        <v>60</v>
      </c>
      <c r="C4" s="42" t="s">
        <v>61</v>
      </c>
    </row>
    <row r="5" spans="1:3" ht="14.4" customHeight="1" x14ac:dyDescent="0.3">
      <c r="A5" s="106" t="str">
        <f t="shared" si="0"/>
        <v>HI</v>
      </c>
      <c r="B5" s="61" t="s">
        <v>62</v>
      </c>
      <c r="C5" s="42" t="s">
        <v>56</v>
      </c>
    </row>
    <row r="6" spans="1:3" ht="14.4" customHeight="1" x14ac:dyDescent="0.3">
      <c r="A6" s="107" t="str">
        <f t="shared" si="0"/>
        <v>Man Tab</v>
      </c>
      <c r="B6" s="62" t="s">
        <v>179</v>
      </c>
      <c r="C6" s="42" t="s">
        <v>57</v>
      </c>
    </row>
    <row r="7" spans="1:3" ht="14.4" customHeight="1" thickBot="1" x14ac:dyDescent="0.35">
      <c r="A7" s="108" t="str">
        <f t="shared" si="0"/>
        <v>HV</v>
      </c>
      <c r="B7" s="63" t="s">
        <v>36</v>
      </c>
      <c r="C7" s="42" t="s">
        <v>41</v>
      </c>
    </row>
    <row r="8" spans="1:3" ht="14.4" customHeight="1" thickBot="1" x14ac:dyDescent="0.35">
      <c r="A8" s="64"/>
      <c r="B8" s="64"/>
    </row>
    <row r="9" spans="1:3" ht="14.4" customHeight="1" thickBot="1" x14ac:dyDescent="0.35">
      <c r="A9" s="238" t="s">
        <v>54</v>
      </c>
      <c r="B9" s="237"/>
    </row>
    <row r="10" spans="1:3" ht="14.4" customHeight="1" x14ac:dyDescent="0.3">
      <c r="A10" s="109" t="str">
        <f t="shared" ref="A10" si="1">HYPERLINK("#'"&amp;C10&amp;"'!A1",C10)</f>
        <v>Materiál Žádanky</v>
      </c>
      <c r="B10" s="62" t="s">
        <v>63</v>
      </c>
      <c r="C10" s="42" t="s">
        <v>58</v>
      </c>
    </row>
    <row r="11" spans="1:3" ht="14.4" customHeight="1" thickBot="1" x14ac:dyDescent="0.35">
      <c r="A11" s="109" t="str">
        <f t="shared" ref="A11" si="2">HYPERLINK("#'"&amp;C11&amp;"'!A1",C11)</f>
        <v>Osobní náklady</v>
      </c>
      <c r="B11" s="62" t="s">
        <v>51</v>
      </c>
      <c r="C11" s="42" t="s">
        <v>59</v>
      </c>
    </row>
    <row r="12" spans="1:3" ht="14.4" customHeight="1" thickBot="1" x14ac:dyDescent="0.35">
      <c r="A12" s="65"/>
      <c r="B12" s="65"/>
    </row>
    <row r="13" spans="1:3" ht="14.4" customHeight="1" thickBot="1" x14ac:dyDescent="0.35">
      <c r="A13" s="239" t="s">
        <v>55</v>
      </c>
      <c r="B13" s="237"/>
    </row>
  </sheetData>
  <mergeCells count="4">
    <mergeCell ref="A3:B3"/>
    <mergeCell ref="A9:B9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0" bestFit="1" customWidth="1"/>
    <col min="2" max="2" width="11.6640625" style="110" hidden="1" customWidth="1"/>
    <col min="3" max="4" width="11" style="112" customWidth="1"/>
    <col min="5" max="5" width="11" style="113" customWidth="1"/>
    <col min="6" max="16384" width="8.88671875" style="110"/>
  </cols>
  <sheetData>
    <row r="1" spans="1:5" ht="18.600000000000001" thickBot="1" x14ac:dyDescent="0.4">
      <c r="A1" s="240" t="s">
        <v>60</v>
      </c>
      <c r="B1" s="240"/>
      <c r="C1" s="241"/>
      <c r="D1" s="241"/>
      <c r="E1" s="241"/>
    </row>
    <row r="2" spans="1:5" ht="14.4" customHeight="1" thickBot="1" x14ac:dyDescent="0.35">
      <c r="A2" s="166" t="s">
        <v>177</v>
      </c>
      <c r="B2" s="111"/>
    </row>
    <row r="3" spans="1:5" ht="14.4" customHeight="1" thickBot="1" x14ac:dyDescent="0.35">
      <c r="A3" s="114"/>
      <c r="C3" s="115" t="s">
        <v>52</v>
      </c>
      <c r="D3" s="116" t="s">
        <v>45</v>
      </c>
      <c r="E3" s="117" t="s">
        <v>47</v>
      </c>
    </row>
    <row r="4" spans="1:5" ht="14.4" customHeight="1" thickBot="1" x14ac:dyDescent="0.35">
      <c r="A4" s="118" t="str">
        <f>HYPERLINK("#HI!A1","NÁKLADY CELKEM (v tisících Kč)")</f>
        <v>NÁKLADY CELKEM (v tisících Kč)</v>
      </c>
      <c r="B4" s="119"/>
      <c r="C4" s="120">
        <f ca="1">IF(ISERROR(VLOOKUP("Náklady celkem",INDIRECT("HI!$A:$G"),6,0)),0,VLOOKUP("Náklady celkem",INDIRECT("HI!$A:$G"),6,0))</f>
        <v>2902.8449490577668</v>
      </c>
      <c r="D4" s="120">
        <f ca="1">IF(ISERROR(VLOOKUP("Náklady celkem",INDIRECT("HI!$A:$G"),5,0)),0,VLOOKUP("Náklady celkem",INDIRECT("HI!$A:$G"),5,0))</f>
        <v>2371.247910000001</v>
      </c>
      <c r="E4" s="121">
        <f ca="1">IF(C4=0,0,D4/C4)</f>
        <v>0.81687032949165383</v>
      </c>
    </row>
    <row r="5" spans="1:5" ht="14.4" customHeight="1" x14ac:dyDescent="0.3">
      <c r="A5" s="122" t="s">
        <v>66</v>
      </c>
      <c r="B5" s="123"/>
      <c r="C5" s="124"/>
      <c r="D5" s="124"/>
      <c r="E5" s="125"/>
    </row>
    <row r="6" spans="1:5" ht="14.4" customHeight="1" x14ac:dyDescent="0.3">
      <c r="A6" s="126" t="s">
        <v>71</v>
      </c>
      <c r="B6" s="127"/>
      <c r="C6" s="128"/>
      <c r="D6" s="128"/>
      <c r="E6" s="125"/>
    </row>
    <row r="7" spans="1:5" ht="14.4" customHeight="1" x14ac:dyDescent="0.3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27" t="s">
        <v>56</v>
      </c>
      <c r="C7" s="128">
        <f>IF(ISERROR(HI!F5),"",HI!F5)</f>
        <v>0</v>
      </c>
      <c r="D7" s="128">
        <f>IF(ISERROR(HI!E5),"",HI!E5)</f>
        <v>0</v>
      </c>
      <c r="E7" s="125">
        <f t="shared" ref="E7:E11" si="0">IF(C7=0,0,D7/C7)</f>
        <v>0</v>
      </c>
    </row>
    <row r="8" spans="1:5" ht="14.4" customHeight="1" x14ac:dyDescent="0.3">
      <c r="A8" s="129" t="s">
        <v>67</v>
      </c>
      <c r="B8" s="127"/>
      <c r="C8" s="128"/>
      <c r="D8" s="128"/>
      <c r="E8" s="125"/>
    </row>
    <row r="9" spans="1:5" ht="14.4" customHeight="1" x14ac:dyDescent="0.3">
      <c r="A9" s="129" t="s">
        <v>68</v>
      </c>
      <c r="B9" s="127"/>
      <c r="C9" s="128"/>
      <c r="D9" s="128"/>
      <c r="E9" s="125"/>
    </row>
    <row r="10" spans="1:5" ht="14.4" customHeight="1" x14ac:dyDescent="0.3">
      <c r="A10" s="130" t="s">
        <v>72</v>
      </c>
      <c r="B10" s="127"/>
      <c r="C10" s="124"/>
      <c r="D10" s="124"/>
      <c r="E10" s="125"/>
    </row>
    <row r="11" spans="1:5" ht="14.4" customHeight="1" x14ac:dyDescent="0.3">
      <c r="A11" s="1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27" t="s">
        <v>56</v>
      </c>
      <c r="C11" s="128">
        <f>IF(ISERROR(HI!F6),"",HI!F6)</f>
        <v>87.499997243961673</v>
      </c>
      <c r="D11" s="128">
        <f>IF(ISERROR(HI!E6),"",HI!E6)</f>
        <v>0</v>
      </c>
      <c r="E11" s="125">
        <f t="shared" si="0"/>
        <v>0</v>
      </c>
    </row>
    <row r="12" spans="1:5" ht="14.4" customHeight="1" thickBot="1" x14ac:dyDescent="0.35">
      <c r="A12" s="132" t="str">
        <f>HYPERLINK("#HI!A1","Osobní náklady")</f>
        <v>Osobní náklady</v>
      </c>
      <c r="B12" s="127"/>
      <c r="C12" s="124">
        <f ca="1">IF(ISERROR(VLOOKUP("Osobní náklady (Kč) *",INDIRECT("HI!$A:$G"),6,0)),0,VLOOKUP("Osobní náklady (Kč) *",INDIRECT("HI!$A:$G"),6,0))</f>
        <v>2679.1665822794084</v>
      </c>
      <c r="D12" s="124">
        <f ca="1">IF(ISERROR(VLOOKUP("Osobní náklady (Kč) *",INDIRECT("HI!$A:$G"),5,0)),0,VLOOKUP("Osobní náklady (Kč) *",INDIRECT("HI!$A:$G"),5,0))</f>
        <v>2164.1563300000003</v>
      </c>
      <c r="E12" s="125">
        <f ca="1">IF(C12=0,0,D12/C12)</f>
        <v>0.8077722170447339</v>
      </c>
    </row>
    <row r="13" spans="1:5" ht="14.4" customHeight="1" thickBot="1" x14ac:dyDescent="0.35">
      <c r="A13" s="136"/>
      <c r="B13" s="137"/>
      <c r="C13" s="138"/>
      <c r="D13" s="138"/>
      <c r="E13" s="139"/>
    </row>
    <row r="14" spans="1:5" ht="14.4" customHeight="1" thickBot="1" x14ac:dyDescent="0.35">
      <c r="A14" s="140" t="str">
        <f>HYPERLINK("#HI!A1","VÝNOSY CELKEM (v tisících)")</f>
        <v>VÝNOSY CELKEM (v tisících)</v>
      </c>
      <c r="B14" s="141"/>
      <c r="C14" s="142">
        <f ca="1">IF(ISERROR(VLOOKUP("Výnosy celkem",INDIRECT("HI!$A:$G"),6,0)),0,VLOOKUP("Výnosy celkem",INDIRECT("HI!$A:$G"),6,0))</f>
        <v>0</v>
      </c>
      <c r="D14" s="142">
        <f ca="1">IF(ISERROR(VLOOKUP("Výnosy celkem",INDIRECT("HI!$A:$G"),5,0)),0,VLOOKUP("Výnosy celkem",INDIRECT("HI!$A:$G"),5,0))</f>
        <v>0</v>
      </c>
      <c r="E14" s="143">
        <f t="shared" ref="E14:E15" ca="1" si="1">IF(C14=0,0,D14/C14)</f>
        <v>0</v>
      </c>
    </row>
    <row r="15" spans="1:5" ht="14.4" customHeight="1" x14ac:dyDescent="0.3">
      <c r="A15" s="144" t="str">
        <f>HYPERLINK("#HI!A1","Ambulance (body za výkony + Kč za ZUM a ZULP)")</f>
        <v>Ambulance (body za výkony + Kč za ZUM a ZULP)</v>
      </c>
      <c r="B15" s="123"/>
      <c r="C15" s="124">
        <f ca="1">IF(ISERROR(VLOOKUP("Ambulance *",INDIRECT("HI!$A:$G"),6,0)),0,VLOOKUP("Ambulance *",INDIRECT("HI!$A:$G"),6,0))</f>
        <v>0</v>
      </c>
      <c r="D15" s="124">
        <f ca="1">IF(ISERROR(VLOOKUP("Ambulance *",INDIRECT("HI!$A:$G"),5,0)),0,VLOOKUP("Ambulance *",INDIRECT("HI!$A:$G"),5,0))</f>
        <v>0</v>
      </c>
      <c r="E15" s="125">
        <f t="shared" ca="1" si="1"/>
        <v>0</v>
      </c>
    </row>
    <row r="16" spans="1:5" ht="14.4" customHeight="1" x14ac:dyDescent="0.3">
      <c r="A16" s="145" t="str">
        <f>HYPERLINK("#HI!A1","Hospitalizace (casemix * 30000)")</f>
        <v>Hospitalizace (casemix * 30000)</v>
      </c>
      <c r="B16" s="127"/>
      <c r="C16" s="124">
        <f ca="1">IF(ISERROR(VLOOKUP("Hospitalizace *",INDIRECT("HI!$A:$G"),6,0)),0,VLOOKUP("Hospitalizace *",INDIRECT("HI!$A:$G"),6,0))</f>
        <v>0</v>
      </c>
      <c r="D16" s="124">
        <f ca="1">IF(ISERROR(VLOOKUP("Hospitalizace *",INDIRECT("HI!$A:$G"),5,0)),0,VLOOKUP("Hospitalizace *",INDIRECT("HI!$A:$G"),5,0))</f>
        <v>0</v>
      </c>
      <c r="E16" s="125">
        <f ca="1">IF(C16=0,0,D16/C16)</f>
        <v>0</v>
      </c>
    </row>
    <row r="17" spans="1:5" ht="14.4" customHeight="1" thickBot="1" x14ac:dyDescent="0.35">
      <c r="A17" s="146" t="s">
        <v>69</v>
      </c>
      <c r="B17" s="133"/>
      <c r="C17" s="134"/>
      <c r="D17" s="134"/>
      <c r="E17" s="135"/>
    </row>
    <row r="18" spans="1:5" ht="14.4" customHeight="1" thickBot="1" x14ac:dyDescent="0.35">
      <c r="A18" s="147"/>
      <c r="B18" s="148"/>
      <c r="C18" s="149"/>
      <c r="D18" s="149"/>
      <c r="E18" s="150"/>
    </row>
    <row r="19" spans="1:5" ht="14.4" customHeight="1" thickBot="1" x14ac:dyDescent="0.35">
      <c r="A19" s="151" t="s">
        <v>70</v>
      </c>
      <c r="B19" s="152"/>
      <c r="C19" s="153"/>
      <c r="D19" s="153"/>
      <c r="E19" s="154"/>
    </row>
  </sheetData>
  <mergeCells count="1">
    <mergeCell ref="A1:E1"/>
  </mergeCells>
  <conditionalFormatting sqref="E5">
    <cfRule type="cellIs" dxfId="3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3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2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2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6">
    <cfRule type="cellIs" dxfId="2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2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25" priority="20" operator="lessThan">
      <formula>1</formula>
    </cfRule>
  </conditionalFormatting>
  <conditionalFormatting sqref="E14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2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3" bestFit="1" customWidth="1"/>
    <col min="2" max="3" width="9.5546875" style="93" customWidth="1"/>
    <col min="4" max="4" width="2.21875" style="93" customWidth="1"/>
    <col min="5" max="8" width="9.5546875" style="93" customWidth="1"/>
    <col min="9" max="16384" width="8.88671875" style="93"/>
  </cols>
  <sheetData>
    <row r="1" spans="1:8" ht="18.600000000000001" customHeight="1" thickBot="1" x14ac:dyDescent="0.4">
      <c r="A1" s="240" t="s">
        <v>62</v>
      </c>
      <c r="B1" s="240"/>
      <c r="C1" s="240"/>
      <c r="D1" s="240"/>
      <c r="E1" s="240"/>
      <c r="F1" s="240"/>
      <c r="G1" s="241"/>
      <c r="H1" s="241"/>
    </row>
    <row r="2" spans="1:8" ht="14.4" customHeight="1" thickBot="1" x14ac:dyDescent="0.35">
      <c r="A2" s="166" t="s">
        <v>177</v>
      </c>
      <c r="B2" s="74"/>
      <c r="C2" s="74"/>
      <c r="D2" s="74"/>
      <c r="E2" s="74"/>
      <c r="F2" s="74"/>
    </row>
    <row r="3" spans="1:8" ht="14.4" customHeight="1" x14ac:dyDescent="0.3">
      <c r="A3" s="242"/>
      <c r="B3" s="70">
        <v>2013</v>
      </c>
      <c r="C3" s="40">
        <v>2014</v>
      </c>
      <c r="D3" s="7"/>
      <c r="E3" s="246">
        <v>2015</v>
      </c>
      <c r="F3" s="247"/>
      <c r="G3" s="247"/>
      <c r="H3" s="248"/>
    </row>
    <row r="4" spans="1:8" ht="14.4" customHeight="1" thickBot="1" x14ac:dyDescent="0.35">
      <c r="A4" s="243"/>
      <c r="B4" s="244" t="s">
        <v>45</v>
      </c>
      <c r="C4" s="245"/>
      <c r="D4" s="7"/>
      <c r="E4" s="91" t="s">
        <v>45</v>
      </c>
      <c r="F4" s="72" t="s">
        <v>46</v>
      </c>
      <c r="G4" s="72" t="s">
        <v>43</v>
      </c>
      <c r="H4" s="73" t="s">
        <v>47</v>
      </c>
    </row>
    <row r="5" spans="1:8" ht="14.4" customHeight="1" x14ac:dyDescent="0.3">
      <c r="A5" s="75" t="str">
        <f>HYPERLINK("#'Léky Žádanky'!A1","Léky (Kč)")</f>
        <v>Léky (Kč)</v>
      </c>
      <c r="B5" s="27">
        <v>0</v>
      </c>
      <c r="C5" s="29">
        <v>0</v>
      </c>
      <c r="D5" s="8"/>
      <c r="E5" s="80">
        <v>0</v>
      </c>
      <c r="F5" s="28">
        <v>0</v>
      </c>
      <c r="G5" s="79">
        <f>E5-F5</f>
        <v>0</v>
      </c>
      <c r="H5" s="85" t="str">
        <f>IF(F5&lt;0.00000001,"",E5/F5)</f>
        <v/>
      </c>
    </row>
    <row r="6" spans="1:8" ht="14.4" customHeight="1" x14ac:dyDescent="0.3">
      <c r="A6" s="75" t="str">
        <f>HYPERLINK("#'Materiál Žádanky'!A1","Materiál - SZM (Kč)")</f>
        <v>Materiál - SZM (Kč)</v>
      </c>
      <c r="B6" s="10">
        <v>103.776</v>
      </c>
      <c r="C6" s="31">
        <v>103.58110000000001</v>
      </c>
      <c r="D6" s="8"/>
      <c r="E6" s="81">
        <v>0</v>
      </c>
      <c r="F6" s="30">
        <v>87.499997243961673</v>
      </c>
      <c r="G6" s="82">
        <f>E6-F6</f>
        <v>-87.499997243961673</v>
      </c>
      <c r="H6" s="86">
        <f>IF(F6&lt;0.00000001,"",E6/F6)</f>
        <v>0</v>
      </c>
    </row>
    <row r="7" spans="1:8" ht="14.4" customHeight="1" x14ac:dyDescent="0.3">
      <c r="A7" s="75" t="str">
        <f>HYPERLINK("#'Osobní náklady'!A1","Osobní náklady (Kč) *")</f>
        <v>Osobní náklady (Kč) *</v>
      </c>
      <c r="B7" s="10">
        <v>1678.0704300000002</v>
      </c>
      <c r="C7" s="31">
        <v>1866.338330000001</v>
      </c>
      <c r="D7" s="8"/>
      <c r="E7" s="81">
        <v>2164.1563300000003</v>
      </c>
      <c r="F7" s="30">
        <v>2679.1665822794084</v>
      </c>
      <c r="G7" s="82">
        <f>E7-F7</f>
        <v>-515.01025227940818</v>
      </c>
      <c r="H7" s="86">
        <f>IF(F7&lt;0.00000001,"",E7/F7)</f>
        <v>0.8077722170447339</v>
      </c>
    </row>
    <row r="8" spans="1:8" ht="14.4" customHeight="1" thickBot="1" x14ac:dyDescent="0.35">
      <c r="A8" s="1" t="s">
        <v>48</v>
      </c>
      <c r="B8" s="11">
        <v>87.822729999999709</v>
      </c>
      <c r="C8" s="33">
        <v>95.015789999999797</v>
      </c>
      <c r="D8" s="8"/>
      <c r="E8" s="83">
        <v>207.0915800000007</v>
      </c>
      <c r="F8" s="32">
        <v>136.17836953439672</v>
      </c>
      <c r="G8" s="84">
        <f>E8-F8</f>
        <v>70.913210465603981</v>
      </c>
      <c r="H8" s="87">
        <f>IF(F8&lt;0.00000001,"",E8/F8)</f>
        <v>1.5207376965083454</v>
      </c>
    </row>
    <row r="9" spans="1:8" ht="14.4" customHeight="1" thickBot="1" x14ac:dyDescent="0.35">
      <c r="A9" s="2" t="s">
        <v>49</v>
      </c>
      <c r="B9" s="3">
        <v>1869.6691599999999</v>
      </c>
      <c r="C9" s="35">
        <v>2064.9352200000008</v>
      </c>
      <c r="D9" s="8"/>
      <c r="E9" s="3">
        <v>2371.247910000001</v>
      </c>
      <c r="F9" s="34">
        <v>2902.8449490577668</v>
      </c>
      <c r="G9" s="34">
        <f>E9-F9</f>
        <v>-531.59703905776587</v>
      </c>
      <c r="H9" s="88">
        <f>IF(F9&lt;0.00000001,"",E9/F9)</f>
        <v>0.81687032949165383</v>
      </c>
    </row>
    <row r="10" spans="1:8" ht="14.4" customHeight="1" thickBot="1" x14ac:dyDescent="0.35">
      <c r="A10" s="12"/>
      <c r="B10" s="12"/>
      <c r="C10" s="71"/>
      <c r="D10" s="8"/>
      <c r="E10" s="12"/>
      <c r="F10" s="13"/>
    </row>
    <row r="11" spans="1:8" ht="14.4" customHeight="1" x14ac:dyDescent="0.3">
      <c r="A11" s="96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0">
        <f>IF(ISERROR(VLOOKUP("Celkem:",#REF!,6,0)),0,VLOOKUP("Celkem:",#REF!,6,0)/1000)</f>
        <v>0</v>
      </c>
      <c r="F11" s="28">
        <f>B11</f>
        <v>0</v>
      </c>
      <c r="G11" s="79">
        <f>E11-F11</f>
        <v>0</v>
      </c>
      <c r="H11" s="85" t="str">
        <f>IF(F11&lt;0.00000001,"",E11/F11)</f>
        <v/>
      </c>
    </row>
    <row r="12" spans="1:8" ht="14.4" customHeight="1" thickBot="1" x14ac:dyDescent="0.35">
      <c r="A12" s="9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3">
        <f>IF(ISERROR(VLOOKUP("Celkem",#REF!,4,0)),0,VLOOKUP("Celkem",#REF!,4,0)*30)</f>
        <v>0</v>
      </c>
      <c r="F12" s="32">
        <f>B12</f>
        <v>0</v>
      </c>
      <c r="G12" s="84">
        <f>E12-F12</f>
        <v>0</v>
      </c>
      <c r="H12" s="87" t="str">
        <f>IF(F12&lt;0.00000001,"",E12/F12)</f>
        <v/>
      </c>
    </row>
    <row r="13" spans="1:8" ht="14.4" customHeight="1" thickBot="1" x14ac:dyDescent="0.35">
      <c r="A13" s="4" t="s">
        <v>50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89" t="str">
        <f>IF(F13&lt;0.00000001,"",E13/F13)</f>
        <v/>
      </c>
    </row>
    <row r="14" spans="1:8" ht="14.4" customHeight="1" thickBot="1" x14ac:dyDescent="0.35">
      <c r="A14" s="12"/>
      <c r="B14" s="12"/>
      <c r="C14" s="71"/>
      <c r="D14" s="8"/>
      <c r="E14" s="12"/>
      <c r="F14" s="13"/>
    </row>
    <row r="15" spans="1:8" ht="14.4" customHeight="1" thickBot="1" x14ac:dyDescent="0.35">
      <c r="A15" s="98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0" t="str">
        <f>IF(ISERROR(F15-E15),"",IF(F15&lt;0.00000001,"",E15/F15))</f>
        <v/>
      </c>
    </row>
    <row r="17" spans="1:8" ht="14.4" customHeight="1" x14ac:dyDescent="0.3">
      <c r="A17" s="76" t="s">
        <v>73</v>
      </c>
    </row>
    <row r="18" spans="1:8" ht="14.4" customHeight="1" x14ac:dyDescent="0.3">
      <c r="A18" s="219" t="s">
        <v>111</v>
      </c>
      <c r="B18" s="220"/>
      <c r="C18" s="220"/>
      <c r="D18" s="220"/>
      <c r="E18" s="220"/>
      <c r="F18" s="220"/>
      <c r="G18" s="220"/>
      <c r="H18" s="220"/>
    </row>
    <row r="19" spans="1:8" x14ac:dyDescent="0.3">
      <c r="A19" s="218" t="s">
        <v>110</v>
      </c>
      <c r="B19" s="220"/>
      <c r="C19" s="220"/>
      <c r="D19" s="220"/>
      <c r="E19" s="220"/>
      <c r="F19" s="220"/>
      <c r="G19" s="220"/>
      <c r="H19" s="220"/>
    </row>
    <row r="20" spans="1:8" ht="14.4" customHeight="1" x14ac:dyDescent="0.3">
      <c r="A20" s="77" t="s">
        <v>154</v>
      </c>
    </row>
    <row r="21" spans="1:8" ht="14.4" customHeight="1" x14ac:dyDescent="0.3">
      <c r="A21" s="77" t="s">
        <v>74</v>
      </c>
    </row>
    <row r="22" spans="1:8" ht="14.4" customHeight="1" x14ac:dyDescent="0.3">
      <c r="A22" s="78" t="s">
        <v>75</v>
      </c>
    </row>
    <row r="23" spans="1:8" ht="14.4" customHeight="1" x14ac:dyDescent="0.3">
      <c r="A23" s="78" t="s">
        <v>76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3" priority="4" operator="greaterThan">
      <formula>0</formula>
    </cfRule>
  </conditionalFormatting>
  <conditionalFormatting sqref="G11:G13 G15">
    <cfRule type="cellIs" dxfId="22" priority="3" operator="lessThan">
      <formula>0</formula>
    </cfRule>
  </conditionalFormatting>
  <conditionalFormatting sqref="H5:H9">
    <cfRule type="cellIs" dxfId="21" priority="2" operator="greaterThan">
      <formula>1</formula>
    </cfRule>
  </conditionalFormatting>
  <conditionalFormatting sqref="H11:H13 H15">
    <cfRule type="cellIs" dxfId="2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3" bestFit="1" customWidth="1"/>
    <col min="2" max="2" width="12.77734375" style="93" bestFit="1" customWidth="1"/>
    <col min="3" max="3" width="13.6640625" style="93" bestFit="1" customWidth="1"/>
    <col min="4" max="15" width="7.77734375" style="93" bestFit="1" customWidth="1"/>
    <col min="16" max="16" width="8.88671875" style="93" customWidth="1"/>
    <col min="17" max="17" width="6.6640625" style="93" bestFit="1" customWidth="1"/>
    <col min="18" max="16384" width="8.88671875" style="93"/>
  </cols>
  <sheetData>
    <row r="1" spans="1:17" s="155" customFormat="1" ht="18.600000000000001" customHeight="1" thickBot="1" x14ac:dyDescent="0.4">
      <c r="A1" s="249" t="s">
        <v>179</v>
      </c>
      <c r="B1" s="249"/>
      <c r="C1" s="249"/>
      <c r="D1" s="249"/>
      <c r="E1" s="249"/>
      <c r="F1" s="249"/>
      <c r="G1" s="249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s="155" customFormat="1" ht="14.4" customHeight="1" thickBot="1" x14ac:dyDescent="0.3">
      <c r="A2" s="166" t="s">
        <v>177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14.4" customHeight="1" x14ac:dyDescent="0.3">
      <c r="A3" s="57"/>
      <c r="B3" s="250" t="s">
        <v>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101"/>
      <c r="Q3" s="103"/>
    </row>
    <row r="4" spans="1:17" ht="14.4" customHeight="1" x14ac:dyDescent="0.3">
      <c r="A4" s="58"/>
      <c r="B4" s="20">
        <v>2015</v>
      </c>
      <c r="C4" s="102" t="s">
        <v>5</v>
      </c>
      <c r="D4" s="92" t="s">
        <v>155</v>
      </c>
      <c r="E4" s="92" t="s">
        <v>156</v>
      </c>
      <c r="F4" s="92" t="s">
        <v>157</v>
      </c>
      <c r="G4" s="92" t="s">
        <v>158</v>
      </c>
      <c r="H4" s="92" t="s">
        <v>159</v>
      </c>
      <c r="I4" s="92" t="s">
        <v>160</v>
      </c>
      <c r="J4" s="92" t="s">
        <v>161</v>
      </c>
      <c r="K4" s="92" t="s">
        <v>162</v>
      </c>
      <c r="L4" s="92" t="s">
        <v>163</v>
      </c>
      <c r="M4" s="92" t="s">
        <v>164</v>
      </c>
      <c r="N4" s="92" t="s">
        <v>165</v>
      </c>
      <c r="O4" s="92" t="s">
        <v>166</v>
      </c>
      <c r="P4" s="252" t="s">
        <v>2</v>
      </c>
      <c r="Q4" s="253"/>
    </row>
    <row r="5" spans="1:17" ht="14.4" customHeight="1" thickBot="1" x14ac:dyDescent="0.35">
      <c r="A5" s="59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6" t="s">
        <v>178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7" t="s">
        <v>178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7" t="s">
        <v>178</v>
      </c>
    </row>
    <row r="9" spans="1:17" ht="14.4" customHeight="1" x14ac:dyDescent="0.3">
      <c r="A9" s="15" t="s">
        <v>12</v>
      </c>
      <c r="B9" s="46">
        <v>104.999996692754</v>
      </c>
      <c r="C9" s="47">
        <v>8.7499997243959999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67">
        <v>0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7" t="s">
        <v>178</v>
      </c>
    </row>
    <row r="11" spans="1:17" ht="14.4" customHeight="1" x14ac:dyDescent="0.3">
      <c r="A11" s="15" t="s">
        <v>14</v>
      </c>
      <c r="B11" s="46">
        <v>17.532565404869999</v>
      </c>
      <c r="C11" s="47">
        <v>1.4610471170720001</v>
      </c>
      <c r="D11" s="47">
        <v>0</v>
      </c>
      <c r="E11" s="47">
        <v>0</v>
      </c>
      <c r="F11" s="47">
        <v>0.87829999999999997</v>
      </c>
      <c r="G11" s="47">
        <v>0.61892999999999998</v>
      </c>
      <c r="H11" s="47">
        <v>0.64500000000000002</v>
      </c>
      <c r="I11" s="47">
        <v>0</v>
      </c>
      <c r="J11" s="47">
        <v>0</v>
      </c>
      <c r="K11" s="47">
        <v>0</v>
      </c>
      <c r="L11" s="47">
        <v>1.0406</v>
      </c>
      <c r="M11" s="47">
        <v>0.93759000000000003</v>
      </c>
      <c r="N11" s="47">
        <v>0</v>
      </c>
      <c r="O11" s="47">
        <v>0</v>
      </c>
      <c r="P11" s="48">
        <v>4.1204200000000002</v>
      </c>
      <c r="Q11" s="67">
        <v>0.28201828345199997</v>
      </c>
    </row>
    <row r="12" spans="1:17" ht="14.4" customHeight="1" x14ac:dyDescent="0.3">
      <c r="A12" s="15" t="s">
        <v>15</v>
      </c>
      <c r="B12" s="46">
        <v>10.192185292417999</v>
      </c>
      <c r="C12" s="47">
        <v>0.84934877436800005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3.7898999999999998</v>
      </c>
      <c r="L12" s="47">
        <v>0</v>
      </c>
      <c r="M12" s="47">
        <v>0</v>
      </c>
      <c r="N12" s="47">
        <v>0</v>
      </c>
      <c r="O12" s="47">
        <v>0</v>
      </c>
      <c r="P12" s="48">
        <v>3.7898999999999998</v>
      </c>
      <c r="Q12" s="67">
        <v>0.446212452925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7" t="s">
        <v>178</v>
      </c>
    </row>
    <row r="14" spans="1:17" ht="14.4" customHeight="1" x14ac:dyDescent="0.3">
      <c r="A14" s="15" t="s">
        <v>17</v>
      </c>
      <c r="B14" s="46">
        <v>24.328185293832</v>
      </c>
      <c r="C14" s="47">
        <v>2.0273487744860001</v>
      </c>
      <c r="D14" s="47">
        <v>3.3769999999999998</v>
      </c>
      <c r="E14" s="47">
        <v>2.8159999999999998</v>
      </c>
      <c r="F14" s="47">
        <v>2.6120000000000001</v>
      </c>
      <c r="G14" s="47">
        <v>2.0609999999999999</v>
      </c>
      <c r="H14" s="47">
        <v>1.476</v>
      </c>
      <c r="I14" s="47">
        <v>1.0669999999999999</v>
      </c>
      <c r="J14" s="47">
        <v>0.98099999999999998</v>
      </c>
      <c r="K14" s="47">
        <v>0.90200000000000002</v>
      </c>
      <c r="L14" s="47">
        <v>1.1839999999999999</v>
      </c>
      <c r="M14" s="47">
        <v>2.2360000000000002</v>
      </c>
      <c r="N14" s="47">
        <v>0</v>
      </c>
      <c r="O14" s="47">
        <v>0</v>
      </c>
      <c r="P14" s="48">
        <v>18.712</v>
      </c>
      <c r="Q14" s="67">
        <v>0.92297883006000003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7" t="s">
        <v>178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7" t="s">
        <v>178</v>
      </c>
    </row>
    <row r="17" spans="1:17" ht="14.4" customHeight="1" x14ac:dyDescent="0.3">
      <c r="A17" s="15" t="s">
        <v>20</v>
      </c>
      <c r="B17" s="46">
        <v>20</v>
      </c>
      <c r="C17" s="47">
        <v>1.6666666666659999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2.4695200000000002</v>
      </c>
      <c r="J17" s="47">
        <v>3.1459999999999999</v>
      </c>
      <c r="K17" s="47">
        <v>0</v>
      </c>
      <c r="L17" s="47">
        <v>0</v>
      </c>
      <c r="M17" s="47">
        <v>22.896000000000001</v>
      </c>
      <c r="N17" s="47">
        <v>0</v>
      </c>
      <c r="O17" s="47">
        <v>0</v>
      </c>
      <c r="P17" s="48">
        <v>28.511520000000001</v>
      </c>
      <c r="Q17" s="67">
        <v>1.7106912000000001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0.57699999999999996</v>
      </c>
      <c r="E18" s="47">
        <v>0.60299999999999998</v>
      </c>
      <c r="F18" s="47">
        <v>1.931</v>
      </c>
      <c r="G18" s="47">
        <v>0.82</v>
      </c>
      <c r="H18" s="47">
        <v>0.89100000000000001</v>
      </c>
      <c r="I18" s="47">
        <v>0.627</v>
      </c>
      <c r="J18" s="47">
        <v>0</v>
      </c>
      <c r="K18" s="47">
        <v>0</v>
      </c>
      <c r="L18" s="47">
        <v>0.60299999999999998</v>
      </c>
      <c r="M18" s="47">
        <v>0.627</v>
      </c>
      <c r="N18" s="47">
        <v>0</v>
      </c>
      <c r="O18" s="47">
        <v>0</v>
      </c>
      <c r="P18" s="48">
        <v>6.6790000000000003</v>
      </c>
      <c r="Q18" s="67" t="s">
        <v>178</v>
      </c>
    </row>
    <row r="19" spans="1:17" ht="14.4" customHeight="1" x14ac:dyDescent="0.3">
      <c r="A19" s="15" t="s">
        <v>22</v>
      </c>
      <c r="B19" s="46">
        <v>10.899808146449001</v>
      </c>
      <c r="C19" s="47">
        <v>0.90831734553700005</v>
      </c>
      <c r="D19" s="47">
        <v>0.42003000000000001</v>
      </c>
      <c r="E19" s="47">
        <v>0.54096999999999995</v>
      </c>
      <c r="F19" s="47">
        <v>0.54742000000000002</v>
      </c>
      <c r="G19" s="47">
        <v>0.65207000000000004</v>
      </c>
      <c r="H19" s="47">
        <v>0.43260999999999999</v>
      </c>
      <c r="I19" s="47">
        <v>0.54152</v>
      </c>
      <c r="J19" s="47">
        <v>0.30989</v>
      </c>
      <c r="K19" s="47">
        <v>0.48360999999999998</v>
      </c>
      <c r="L19" s="47">
        <v>0.48360999999999998</v>
      </c>
      <c r="M19" s="47">
        <v>0.46664</v>
      </c>
      <c r="N19" s="47">
        <v>0</v>
      </c>
      <c r="O19" s="47">
        <v>0</v>
      </c>
      <c r="P19" s="48">
        <v>4.8783700000000003</v>
      </c>
      <c r="Q19" s="67">
        <v>0.53707771011600003</v>
      </c>
    </row>
    <row r="20" spans="1:17" ht="14.4" customHeight="1" x14ac:dyDescent="0.3">
      <c r="A20" s="15" t="s">
        <v>23</v>
      </c>
      <c r="B20" s="46">
        <v>3214.9998987352901</v>
      </c>
      <c r="C20" s="47">
        <v>267.91665822794101</v>
      </c>
      <c r="D20" s="47">
        <v>209.85681</v>
      </c>
      <c r="E20" s="47">
        <v>206.65539000000001</v>
      </c>
      <c r="F20" s="47">
        <v>201.35846000000001</v>
      </c>
      <c r="G20" s="47">
        <v>217.00126</v>
      </c>
      <c r="H20" s="47">
        <v>220.39272</v>
      </c>
      <c r="I20" s="47">
        <v>199.77645000000001</v>
      </c>
      <c r="J20" s="47">
        <v>262.01427000000001</v>
      </c>
      <c r="K20" s="47">
        <v>226.88929999999999</v>
      </c>
      <c r="L20" s="47">
        <v>208.03639000000001</v>
      </c>
      <c r="M20" s="47">
        <v>212.17527999999999</v>
      </c>
      <c r="N20" s="47">
        <v>0</v>
      </c>
      <c r="O20" s="47">
        <v>0</v>
      </c>
      <c r="P20" s="48">
        <v>2164.1563299999998</v>
      </c>
      <c r="Q20" s="67">
        <v>0.80777221704400004</v>
      </c>
    </row>
    <row r="21" spans="1:17" ht="14.4" customHeight="1" x14ac:dyDescent="0.3">
      <c r="A21" s="16" t="s">
        <v>24</v>
      </c>
      <c r="B21" s="46">
        <v>48.999928258902003</v>
      </c>
      <c r="C21" s="47">
        <v>4.0833273549079996</v>
      </c>
      <c r="D21" s="47">
        <v>3.984</v>
      </c>
      <c r="E21" s="47">
        <v>3.984</v>
      </c>
      <c r="F21" s="47">
        <v>3.984</v>
      </c>
      <c r="G21" s="47">
        <v>3.984</v>
      </c>
      <c r="H21" s="47">
        <v>3.984</v>
      </c>
      <c r="I21" s="47">
        <v>3.984</v>
      </c>
      <c r="J21" s="47">
        <v>3.984</v>
      </c>
      <c r="K21" s="47">
        <v>3.984</v>
      </c>
      <c r="L21" s="47">
        <v>3.984</v>
      </c>
      <c r="M21" s="47">
        <v>3.984</v>
      </c>
      <c r="N21" s="47">
        <v>0</v>
      </c>
      <c r="O21" s="47">
        <v>0</v>
      </c>
      <c r="P21" s="48">
        <v>39.840000000000003</v>
      </c>
      <c r="Q21" s="67">
        <v>0.97567489787700001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3.0249999999999999</v>
      </c>
      <c r="F22" s="47">
        <v>0</v>
      </c>
      <c r="G22" s="47">
        <v>0</v>
      </c>
      <c r="H22" s="47">
        <v>0</v>
      </c>
      <c r="I22" s="47">
        <v>0</v>
      </c>
      <c r="J22" s="47">
        <v>64.081599999999995</v>
      </c>
      <c r="K22" s="47">
        <v>0</v>
      </c>
      <c r="L22" s="47">
        <v>0</v>
      </c>
      <c r="M22" s="47">
        <v>11.97</v>
      </c>
      <c r="N22" s="47">
        <v>0</v>
      </c>
      <c r="O22" s="47">
        <v>0</v>
      </c>
      <c r="P22" s="48">
        <v>79.076599999999999</v>
      </c>
      <c r="Q22" s="67" t="s">
        <v>178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7" t="s">
        <v>178</v>
      </c>
    </row>
    <row r="24" spans="1:17" ht="14.4" customHeight="1" x14ac:dyDescent="0.3">
      <c r="A24" s="16" t="s">
        <v>27</v>
      </c>
      <c r="B24" s="46">
        <v>31.461371044802</v>
      </c>
      <c r="C24" s="47">
        <v>2.6217809204</v>
      </c>
      <c r="D24" s="47">
        <v>2.4800999999990001</v>
      </c>
      <c r="E24" s="47">
        <v>0.46199999999899999</v>
      </c>
      <c r="F24" s="47">
        <v>3.166969999999</v>
      </c>
      <c r="G24" s="47">
        <v>1.0783</v>
      </c>
      <c r="H24" s="47">
        <v>2.7076999999989999</v>
      </c>
      <c r="I24" s="47">
        <v>2.0070000000000001</v>
      </c>
      <c r="J24" s="47">
        <v>3.9134999999989999</v>
      </c>
      <c r="K24" s="47">
        <v>0.89199999999900004</v>
      </c>
      <c r="L24" s="47">
        <v>1.503099999999</v>
      </c>
      <c r="M24" s="47">
        <v>3.2730999999999999</v>
      </c>
      <c r="N24" s="47">
        <v>0</v>
      </c>
      <c r="O24" s="47">
        <v>0</v>
      </c>
      <c r="P24" s="48">
        <v>21.483769999999001</v>
      </c>
      <c r="Q24" s="67"/>
    </row>
    <row r="25" spans="1:17" ht="14.4" customHeight="1" x14ac:dyDescent="0.3">
      <c r="A25" s="17" t="s">
        <v>28</v>
      </c>
      <c r="B25" s="49">
        <v>3483.4139388693202</v>
      </c>
      <c r="C25" s="50">
        <v>290.28449490577702</v>
      </c>
      <c r="D25" s="50">
        <v>220.69494</v>
      </c>
      <c r="E25" s="50">
        <v>218.08636000000101</v>
      </c>
      <c r="F25" s="50">
        <v>214.47815</v>
      </c>
      <c r="G25" s="50">
        <v>226.21556000000001</v>
      </c>
      <c r="H25" s="50">
        <v>230.52903000000001</v>
      </c>
      <c r="I25" s="50">
        <v>210.47248999999999</v>
      </c>
      <c r="J25" s="50">
        <v>338.43025999999998</v>
      </c>
      <c r="K25" s="50">
        <v>236.94081</v>
      </c>
      <c r="L25" s="50">
        <v>216.8347</v>
      </c>
      <c r="M25" s="50">
        <v>258.56560999999999</v>
      </c>
      <c r="N25" s="50">
        <v>0</v>
      </c>
      <c r="O25" s="50">
        <v>0</v>
      </c>
      <c r="P25" s="51">
        <v>2371.24791</v>
      </c>
      <c r="Q25" s="68">
        <v>0.81687032949100002</v>
      </c>
    </row>
    <row r="26" spans="1:17" ht="14.4" customHeight="1" x14ac:dyDescent="0.3">
      <c r="A26" s="15" t="s">
        <v>29</v>
      </c>
      <c r="B26" s="46">
        <v>63</v>
      </c>
      <c r="C26" s="47">
        <v>5.25</v>
      </c>
      <c r="D26" s="47">
        <v>24.557310000000001</v>
      </c>
      <c r="E26" s="47">
        <v>27.136710000000001</v>
      </c>
      <c r="F26" s="47">
        <v>28.118670000000002</v>
      </c>
      <c r="G26" s="47">
        <v>27.43768</v>
      </c>
      <c r="H26" s="47">
        <v>24.749680000000001</v>
      </c>
      <c r="I26" s="47">
        <v>28.72353</v>
      </c>
      <c r="J26" s="47">
        <v>33.884880000000003</v>
      </c>
      <c r="K26" s="47">
        <v>3.4977100000000001</v>
      </c>
      <c r="L26" s="47">
        <v>4.64635</v>
      </c>
      <c r="M26" s="47">
        <v>4.3827999999999996</v>
      </c>
      <c r="N26" s="47">
        <v>0</v>
      </c>
      <c r="O26" s="47">
        <v>0</v>
      </c>
      <c r="P26" s="48">
        <v>207.13532000000001</v>
      </c>
      <c r="Q26" s="67">
        <v>3.9454346666659998</v>
      </c>
    </row>
    <row r="27" spans="1:17" ht="14.4" customHeight="1" x14ac:dyDescent="0.3">
      <c r="A27" s="18" t="s">
        <v>30</v>
      </c>
      <c r="B27" s="49">
        <v>3546.4139388693202</v>
      </c>
      <c r="C27" s="50">
        <v>295.53449490577702</v>
      </c>
      <c r="D27" s="50">
        <v>245.25225</v>
      </c>
      <c r="E27" s="50">
        <v>245.223070000001</v>
      </c>
      <c r="F27" s="50">
        <v>242.59682000000001</v>
      </c>
      <c r="G27" s="50">
        <v>253.65324000000001</v>
      </c>
      <c r="H27" s="50">
        <v>255.27870999999999</v>
      </c>
      <c r="I27" s="50">
        <v>239.19602</v>
      </c>
      <c r="J27" s="50">
        <v>372.31513999999999</v>
      </c>
      <c r="K27" s="50">
        <v>240.43852000000001</v>
      </c>
      <c r="L27" s="50">
        <v>221.48105000000001</v>
      </c>
      <c r="M27" s="50">
        <v>262.94841000000002</v>
      </c>
      <c r="N27" s="50">
        <v>0</v>
      </c>
      <c r="O27" s="50">
        <v>0</v>
      </c>
      <c r="P27" s="51">
        <v>2578.3832299999999</v>
      </c>
      <c r="Q27" s="68">
        <v>0.872447472103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7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7" t="s">
        <v>178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7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0.29899999999999999</v>
      </c>
      <c r="M31" s="53">
        <v>11.97</v>
      </c>
      <c r="N31" s="53">
        <v>0</v>
      </c>
      <c r="O31" s="53">
        <v>0</v>
      </c>
      <c r="P31" s="54">
        <v>12.269</v>
      </c>
      <c r="Q31" s="69" t="s">
        <v>178</v>
      </c>
    </row>
    <row r="32" spans="1:17" ht="14.4" customHeight="1" x14ac:dyDescent="0.3"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</row>
    <row r="33" spans="1:17" ht="14.4" customHeight="1" x14ac:dyDescent="0.3">
      <c r="A33" s="76" t="s">
        <v>73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17" ht="14.4" customHeight="1" x14ac:dyDescent="0.3">
      <c r="A34" s="99" t="s">
        <v>175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ht="14.4" customHeight="1" x14ac:dyDescent="0.3">
      <c r="A35" s="100" t="s">
        <v>35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3" customWidth="1"/>
    <col min="2" max="11" width="10" style="93" customWidth="1"/>
    <col min="12" max="16384" width="8.88671875" style="93"/>
  </cols>
  <sheetData>
    <row r="1" spans="1:11" s="55" customFormat="1" ht="18.600000000000001" customHeight="1" thickBot="1" x14ac:dyDescent="0.4">
      <c r="A1" s="249" t="s">
        <v>36</v>
      </c>
      <c r="B1" s="249"/>
      <c r="C1" s="249"/>
      <c r="D1" s="249"/>
      <c r="E1" s="249"/>
      <c r="F1" s="249"/>
      <c r="G1" s="249"/>
      <c r="H1" s="254"/>
      <c r="I1" s="254"/>
      <c r="J1" s="254"/>
      <c r="K1" s="254"/>
    </row>
    <row r="2" spans="1:11" s="55" customFormat="1" ht="14.4" customHeight="1" thickBot="1" x14ac:dyDescent="0.35">
      <c r="A2" s="166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7"/>
      <c r="B3" s="250" t="s">
        <v>37</v>
      </c>
      <c r="C3" s="251"/>
      <c r="D3" s="251"/>
      <c r="E3" s="251"/>
      <c r="F3" s="257" t="s">
        <v>38</v>
      </c>
      <c r="G3" s="251"/>
      <c r="H3" s="251"/>
      <c r="I3" s="251"/>
      <c r="J3" s="251"/>
      <c r="K3" s="258"/>
    </row>
    <row r="4" spans="1:11" ht="14.4" customHeight="1" x14ac:dyDescent="0.3">
      <c r="A4" s="58"/>
      <c r="B4" s="255"/>
      <c r="C4" s="256"/>
      <c r="D4" s="256"/>
      <c r="E4" s="256"/>
      <c r="F4" s="259" t="s">
        <v>171</v>
      </c>
      <c r="G4" s="261" t="s">
        <v>39</v>
      </c>
      <c r="H4" s="104" t="s">
        <v>65</v>
      </c>
      <c r="I4" s="259" t="s">
        <v>40</v>
      </c>
      <c r="J4" s="261" t="s">
        <v>173</v>
      </c>
      <c r="K4" s="262" t="s">
        <v>174</v>
      </c>
    </row>
    <row r="5" spans="1:11" ht="42" thickBot="1" x14ac:dyDescent="0.35">
      <c r="A5" s="59"/>
      <c r="B5" s="24" t="s">
        <v>167</v>
      </c>
      <c r="C5" s="25" t="s">
        <v>168</v>
      </c>
      <c r="D5" s="26" t="s">
        <v>169</v>
      </c>
      <c r="E5" s="26" t="s">
        <v>170</v>
      </c>
      <c r="F5" s="260"/>
      <c r="G5" s="260"/>
      <c r="H5" s="25" t="s">
        <v>172</v>
      </c>
      <c r="I5" s="260"/>
      <c r="J5" s="260"/>
      <c r="K5" s="263"/>
    </row>
    <row r="6" spans="1:11" ht="14.4" customHeight="1" thickBot="1" x14ac:dyDescent="0.35">
      <c r="A6" s="293" t="s">
        <v>180</v>
      </c>
      <c r="B6" s="275">
        <v>2612.24578873766</v>
      </c>
      <c r="C6" s="275">
        <v>2565.8486800000001</v>
      </c>
      <c r="D6" s="276">
        <v>-46.397108737662002</v>
      </c>
      <c r="E6" s="277">
        <v>0.98223861286799996</v>
      </c>
      <c r="F6" s="275">
        <v>3483.4139388693202</v>
      </c>
      <c r="G6" s="276">
        <v>2902.84494905777</v>
      </c>
      <c r="H6" s="278">
        <v>258.56560999999999</v>
      </c>
      <c r="I6" s="275">
        <v>2371.24791</v>
      </c>
      <c r="J6" s="276">
        <v>-531.59703905776905</v>
      </c>
      <c r="K6" s="279">
        <v>0.68072527457599996</v>
      </c>
    </row>
    <row r="7" spans="1:11" ht="14.4" customHeight="1" thickBot="1" x14ac:dyDescent="0.35">
      <c r="A7" s="294" t="s">
        <v>181</v>
      </c>
      <c r="B7" s="275">
        <v>172.59527745669899</v>
      </c>
      <c r="C7" s="275">
        <v>147.20631</v>
      </c>
      <c r="D7" s="276">
        <v>-25.388967456699</v>
      </c>
      <c r="E7" s="277">
        <v>0.85289882880400003</v>
      </c>
      <c r="F7" s="275">
        <v>177.052932683877</v>
      </c>
      <c r="G7" s="276">
        <v>147.54411056989699</v>
      </c>
      <c r="H7" s="278">
        <v>3.91669</v>
      </c>
      <c r="I7" s="275">
        <v>37.466090000000001</v>
      </c>
      <c r="J7" s="276">
        <v>-110.07802056989701</v>
      </c>
      <c r="K7" s="279">
        <v>0.211609542028</v>
      </c>
    </row>
    <row r="8" spans="1:11" ht="14.4" customHeight="1" thickBot="1" x14ac:dyDescent="0.35">
      <c r="A8" s="295" t="s">
        <v>182</v>
      </c>
      <c r="B8" s="275">
        <v>148.26650714334099</v>
      </c>
      <c r="C8" s="275">
        <v>124.71131</v>
      </c>
      <c r="D8" s="276">
        <v>-23.555197143339999</v>
      </c>
      <c r="E8" s="277">
        <v>0.84112934473699996</v>
      </c>
      <c r="F8" s="275">
        <v>152.724747390044</v>
      </c>
      <c r="G8" s="276">
        <v>127.27062282503699</v>
      </c>
      <c r="H8" s="278">
        <v>1.68069</v>
      </c>
      <c r="I8" s="275">
        <v>18.754090000000001</v>
      </c>
      <c r="J8" s="276">
        <v>-108.516532825037</v>
      </c>
      <c r="K8" s="279">
        <v>0.122796667341</v>
      </c>
    </row>
    <row r="9" spans="1:11" ht="14.4" customHeight="1" thickBot="1" x14ac:dyDescent="0.35">
      <c r="A9" s="296" t="s">
        <v>183</v>
      </c>
      <c r="B9" s="280">
        <v>19.999999999999002</v>
      </c>
      <c r="C9" s="280">
        <v>17.521719999999998</v>
      </c>
      <c r="D9" s="281">
        <v>-2.4782799999990002</v>
      </c>
      <c r="E9" s="282">
        <v>0.87608600000000003</v>
      </c>
      <c r="F9" s="280">
        <v>20</v>
      </c>
      <c r="G9" s="281">
        <v>16.666666666666</v>
      </c>
      <c r="H9" s="283">
        <v>0.74309999999999998</v>
      </c>
      <c r="I9" s="280">
        <v>10.54477</v>
      </c>
      <c r="J9" s="281">
        <v>-6.1218966666660002</v>
      </c>
      <c r="K9" s="284">
        <v>0.52723850000000005</v>
      </c>
    </row>
    <row r="10" spans="1:11" ht="14.4" customHeight="1" thickBot="1" x14ac:dyDescent="0.35">
      <c r="A10" s="297" t="s">
        <v>184</v>
      </c>
      <c r="B10" s="275">
        <v>19.999999999999002</v>
      </c>
      <c r="C10" s="275">
        <v>17.521719999999998</v>
      </c>
      <c r="D10" s="276">
        <v>-2.4782799999990002</v>
      </c>
      <c r="E10" s="277">
        <v>0.87608600000000003</v>
      </c>
      <c r="F10" s="275">
        <v>20</v>
      </c>
      <c r="G10" s="276">
        <v>16.666666666666</v>
      </c>
      <c r="H10" s="278">
        <v>0.74309999999999998</v>
      </c>
      <c r="I10" s="275">
        <v>10.54477</v>
      </c>
      <c r="J10" s="276">
        <v>-6.1218966666660002</v>
      </c>
      <c r="K10" s="279">
        <v>0.52723850000000005</v>
      </c>
    </row>
    <row r="11" spans="1:11" ht="14.4" customHeight="1" thickBot="1" x14ac:dyDescent="0.35">
      <c r="A11" s="296" t="s">
        <v>185</v>
      </c>
      <c r="B11" s="280">
        <v>104.99994346383301</v>
      </c>
      <c r="C11" s="280">
        <v>103.58110000000001</v>
      </c>
      <c r="D11" s="281">
        <v>-1.4188434638330001</v>
      </c>
      <c r="E11" s="282">
        <v>0.98648719783000005</v>
      </c>
      <c r="F11" s="280">
        <v>104.999996692754</v>
      </c>
      <c r="G11" s="281">
        <v>87.499997243962</v>
      </c>
      <c r="H11" s="283">
        <v>0</v>
      </c>
      <c r="I11" s="280">
        <v>0</v>
      </c>
      <c r="J11" s="281">
        <v>-87.499997243962</v>
      </c>
      <c r="K11" s="284">
        <v>0</v>
      </c>
    </row>
    <row r="12" spans="1:11" ht="14.4" customHeight="1" thickBot="1" x14ac:dyDescent="0.35">
      <c r="A12" s="297" t="s">
        <v>186</v>
      </c>
      <c r="B12" s="275">
        <v>104.99994346383301</v>
      </c>
      <c r="C12" s="275">
        <v>103.58110000000001</v>
      </c>
      <c r="D12" s="276">
        <v>-1.4188434638330001</v>
      </c>
      <c r="E12" s="277">
        <v>0.98648719783000005</v>
      </c>
      <c r="F12" s="275">
        <v>104.999996692754</v>
      </c>
      <c r="G12" s="276">
        <v>87.499997243962</v>
      </c>
      <c r="H12" s="278">
        <v>0</v>
      </c>
      <c r="I12" s="275">
        <v>0</v>
      </c>
      <c r="J12" s="276">
        <v>-87.499997243962</v>
      </c>
      <c r="K12" s="279">
        <v>0</v>
      </c>
    </row>
    <row r="13" spans="1:11" ht="14.4" customHeight="1" thickBot="1" x14ac:dyDescent="0.35">
      <c r="A13" s="296" t="s">
        <v>187</v>
      </c>
      <c r="B13" s="280">
        <v>0</v>
      </c>
      <c r="C13" s="280">
        <v>5.5460000000000002E-2</v>
      </c>
      <c r="D13" s="281">
        <v>5.5460000000000002E-2</v>
      </c>
      <c r="E13" s="285" t="s">
        <v>178</v>
      </c>
      <c r="F13" s="280">
        <v>0</v>
      </c>
      <c r="G13" s="281">
        <v>0</v>
      </c>
      <c r="H13" s="283">
        <v>0</v>
      </c>
      <c r="I13" s="280">
        <v>0</v>
      </c>
      <c r="J13" s="281">
        <v>0</v>
      </c>
      <c r="K13" s="286" t="s">
        <v>178</v>
      </c>
    </row>
    <row r="14" spans="1:11" ht="14.4" customHeight="1" thickBot="1" x14ac:dyDescent="0.35">
      <c r="A14" s="297" t="s">
        <v>188</v>
      </c>
      <c r="B14" s="275">
        <v>0</v>
      </c>
      <c r="C14" s="275">
        <v>5.5460000000000002E-2</v>
      </c>
      <c r="D14" s="276">
        <v>5.5460000000000002E-2</v>
      </c>
      <c r="E14" s="287" t="s">
        <v>178</v>
      </c>
      <c r="F14" s="275">
        <v>0</v>
      </c>
      <c r="G14" s="276">
        <v>0</v>
      </c>
      <c r="H14" s="278">
        <v>0</v>
      </c>
      <c r="I14" s="275">
        <v>0</v>
      </c>
      <c r="J14" s="276">
        <v>0</v>
      </c>
      <c r="K14" s="288" t="s">
        <v>178</v>
      </c>
    </row>
    <row r="15" spans="1:11" ht="14.4" customHeight="1" thickBot="1" x14ac:dyDescent="0.35">
      <c r="A15" s="296" t="s">
        <v>189</v>
      </c>
      <c r="B15" s="280">
        <v>15.708108354592</v>
      </c>
      <c r="C15" s="280">
        <v>3.3727</v>
      </c>
      <c r="D15" s="281">
        <v>-12.335408354591999</v>
      </c>
      <c r="E15" s="282">
        <v>0.214710767449</v>
      </c>
      <c r="F15" s="280">
        <v>17.532565404869999</v>
      </c>
      <c r="G15" s="281">
        <v>14.610471170725001</v>
      </c>
      <c r="H15" s="283">
        <v>0.93759000000000003</v>
      </c>
      <c r="I15" s="280">
        <v>4.1204200000000002</v>
      </c>
      <c r="J15" s="281">
        <v>-10.490051170725</v>
      </c>
      <c r="K15" s="284">
        <v>0.23501523621000001</v>
      </c>
    </row>
    <row r="16" spans="1:11" ht="14.4" customHeight="1" thickBot="1" x14ac:dyDescent="0.35">
      <c r="A16" s="297" t="s">
        <v>190</v>
      </c>
      <c r="B16" s="275">
        <v>4.546622459E-2</v>
      </c>
      <c r="C16" s="275">
        <v>0.11821</v>
      </c>
      <c r="D16" s="276">
        <v>7.2743775408999997E-2</v>
      </c>
      <c r="E16" s="277">
        <v>2.5999519657689998</v>
      </c>
      <c r="F16" s="275">
        <v>0</v>
      </c>
      <c r="G16" s="276">
        <v>0</v>
      </c>
      <c r="H16" s="278">
        <v>0</v>
      </c>
      <c r="I16" s="275">
        <v>0</v>
      </c>
      <c r="J16" s="276">
        <v>0</v>
      </c>
      <c r="K16" s="288" t="s">
        <v>178</v>
      </c>
    </row>
    <row r="17" spans="1:11" ht="14.4" customHeight="1" thickBot="1" x14ac:dyDescent="0.35">
      <c r="A17" s="297" t="s">
        <v>191</v>
      </c>
      <c r="B17" s="275">
        <v>0.40613714533299999</v>
      </c>
      <c r="C17" s="275">
        <v>1.8469500000000001</v>
      </c>
      <c r="D17" s="276">
        <v>1.440812854666</v>
      </c>
      <c r="E17" s="277">
        <v>4.5476017675870004</v>
      </c>
      <c r="F17" s="275">
        <v>1.999999937004</v>
      </c>
      <c r="G17" s="276">
        <v>1.6666666141699999</v>
      </c>
      <c r="H17" s="278">
        <v>0.30836000000000002</v>
      </c>
      <c r="I17" s="275">
        <v>0.61509999999999998</v>
      </c>
      <c r="J17" s="276">
        <v>-1.05156661417</v>
      </c>
      <c r="K17" s="279">
        <v>0.30755000968700003</v>
      </c>
    </row>
    <row r="18" spans="1:11" ht="14.4" customHeight="1" thickBot="1" x14ac:dyDescent="0.35">
      <c r="A18" s="297" t="s">
        <v>192</v>
      </c>
      <c r="B18" s="275">
        <v>1.78402578881</v>
      </c>
      <c r="C18" s="275">
        <v>0.98819999999999997</v>
      </c>
      <c r="D18" s="276">
        <v>-0.79582578880999999</v>
      </c>
      <c r="E18" s="277">
        <v>0.55391575962499995</v>
      </c>
      <c r="F18" s="275">
        <v>2.532565467865</v>
      </c>
      <c r="G18" s="276">
        <v>2.1104712232209999</v>
      </c>
      <c r="H18" s="278">
        <v>0</v>
      </c>
      <c r="I18" s="275">
        <v>1.9189000000000001</v>
      </c>
      <c r="J18" s="276">
        <v>-0.19157122322100001</v>
      </c>
      <c r="K18" s="279">
        <v>0.75769018584000003</v>
      </c>
    </row>
    <row r="19" spans="1:11" ht="14.4" customHeight="1" thickBot="1" x14ac:dyDescent="0.35">
      <c r="A19" s="297" t="s">
        <v>193</v>
      </c>
      <c r="B19" s="275">
        <v>5.9122081393999999E-2</v>
      </c>
      <c r="C19" s="275">
        <v>0</v>
      </c>
      <c r="D19" s="276">
        <v>-5.9122081393999999E-2</v>
      </c>
      <c r="E19" s="277">
        <v>0</v>
      </c>
      <c r="F19" s="275">
        <v>0</v>
      </c>
      <c r="G19" s="276">
        <v>0</v>
      </c>
      <c r="H19" s="278">
        <v>0</v>
      </c>
      <c r="I19" s="275">
        <v>0</v>
      </c>
      <c r="J19" s="276">
        <v>0</v>
      </c>
      <c r="K19" s="279">
        <v>10</v>
      </c>
    </row>
    <row r="20" spans="1:11" ht="14.4" customHeight="1" thickBot="1" x14ac:dyDescent="0.35">
      <c r="A20" s="297" t="s">
        <v>194</v>
      </c>
      <c r="B20" s="275">
        <v>13.413357114463</v>
      </c>
      <c r="C20" s="275">
        <v>0.41933999999999999</v>
      </c>
      <c r="D20" s="276">
        <v>-12.994017114463</v>
      </c>
      <c r="E20" s="277">
        <v>3.1262867037E-2</v>
      </c>
      <c r="F20" s="275">
        <v>13</v>
      </c>
      <c r="G20" s="276">
        <v>10.833333333333</v>
      </c>
      <c r="H20" s="278">
        <v>0.62922999999999996</v>
      </c>
      <c r="I20" s="275">
        <v>1.5864199999999999</v>
      </c>
      <c r="J20" s="276">
        <v>-9.2469133333329996</v>
      </c>
      <c r="K20" s="279">
        <v>0.12203230769200001</v>
      </c>
    </row>
    <row r="21" spans="1:11" ht="14.4" customHeight="1" thickBot="1" x14ac:dyDescent="0.35">
      <c r="A21" s="296" t="s">
        <v>195</v>
      </c>
      <c r="B21" s="280">
        <v>6.9999999999989999</v>
      </c>
      <c r="C21" s="280">
        <v>0.18032999999999999</v>
      </c>
      <c r="D21" s="281">
        <v>-6.8196699999990003</v>
      </c>
      <c r="E21" s="282">
        <v>2.5761428571E-2</v>
      </c>
      <c r="F21" s="280">
        <v>10.192185292417999</v>
      </c>
      <c r="G21" s="281">
        <v>8.4934877436819995</v>
      </c>
      <c r="H21" s="283">
        <v>0</v>
      </c>
      <c r="I21" s="280">
        <v>3.7898999999999998</v>
      </c>
      <c r="J21" s="281">
        <v>-4.7035877436820002</v>
      </c>
      <c r="K21" s="284">
        <v>0.37184371077099998</v>
      </c>
    </row>
    <row r="22" spans="1:11" ht="14.4" customHeight="1" thickBot="1" x14ac:dyDescent="0.35">
      <c r="A22" s="297" t="s">
        <v>196</v>
      </c>
      <c r="B22" s="275">
        <v>0</v>
      </c>
      <c r="C22" s="275">
        <v>0</v>
      </c>
      <c r="D22" s="276">
        <v>0</v>
      </c>
      <c r="E22" s="287" t="s">
        <v>178</v>
      </c>
      <c r="F22" s="275">
        <v>0</v>
      </c>
      <c r="G22" s="276">
        <v>0</v>
      </c>
      <c r="H22" s="278">
        <v>0</v>
      </c>
      <c r="I22" s="275">
        <v>3.7898999999999998</v>
      </c>
      <c r="J22" s="276">
        <v>3.7898999999999998</v>
      </c>
      <c r="K22" s="288" t="s">
        <v>197</v>
      </c>
    </row>
    <row r="23" spans="1:11" ht="14.4" customHeight="1" thickBot="1" x14ac:dyDescent="0.35">
      <c r="A23" s="297" t="s">
        <v>198</v>
      </c>
      <c r="B23" s="275">
        <v>6.9999999999989999</v>
      </c>
      <c r="C23" s="275">
        <v>0.18032999999999999</v>
      </c>
      <c r="D23" s="276">
        <v>-6.8196699999990003</v>
      </c>
      <c r="E23" s="277">
        <v>2.5761428571E-2</v>
      </c>
      <c r="F23" s="275">
        <v>10.192185292417999</v>
      </c>
      <c r="G23" s="276">
        <v>8.4934877436819995</v>
      </c>
      <c r="H23" s="278">
        <v>0</v>
      </c>
      <c r="I23" s="275">
        <v>0</v>
      </c>
      <c r="J23" s="276">
        <v>-8.4934877436819995</v>
      </c>
      <c r="K23" s="279">
        <v>0</v>
      </c>
    </row>
    <row r="24" spans="1:11" ht="14.4" customHeight="1" thickBot="1" x14ac:dyDescent="0.35">
      <c r="A24" s="296" t="s">
        <v>199</v>
      </c>
      <c r="B24" s="280">
        <v>0.55845532491500005</v>
      </c>
      <c r="C24" s="280">
        <v>0</v>
      </c>
      <c r="D24" s="281">
        <v>-0.55845532491500005</v>
      </c>
      <c r="E24" s="282">
        <v>0</v>
      </c>
      <c r="F24" s="280">
        <v>0</v>
      </c>
      <c r="G24" s="281">
        <v>0</v>
      </c>
      <c r="H24" s="283">
        <v>0</v>
      </c>
      <c r="I24" s="280">
        <v>0</v>
      </c>
      <c r="J24" s="281">
        <v>0</v>
      </c>
      <c r="K24" s="284">
        <v>0</v>
      </c>
    </row>
    <row r="25" spans="1:11" ht="14.4" customHeight="1" thickBot="1" x14ac:dyDescent="0.35">
      <c r="A25" s="297" t="s">
        <v>200</v>
      </c>
      <c r="B25" s="275">
        <v>0.55845532491500005</v>
      </c>
      <c r="C25" s="275">
        <v>0</v>
      </c>
      <c r="D25" s="276">
        <v>-0.55845532491500005</v>
      </c>
      <c r="E25" s="277">
        <v>0</v>
      </c>
      <c r="F25" s="275">
        <v>0</v>
      </c>
      <c r="G25" s="276">
        <v>0</v>
      </c>
      <c r="H25" s="278">
        <v>0</v>
      </c>
      <c r="I25" s="275">
        <v>0</v>
      </c>
      <c r="J25" s="276">
        <v>0</v>
      </c>
      <c r="K25" s="279">
        <v>0</v>
      </c>
    </row>
    <row r="26" spans="1:11" ht="14.4" customHeight="1" thickBot="1" x14ac:dyDescent="0.35">
      <c r="A26" s="296" t="s">
        <v>201</v>
      </c>
      <c r="B26" s="280">
        <v>0</v>
      </c>
      <c r="C26" s="280">
        <v>0</v>
      </c>
      <c r="D26" s="281">
        <v>0</v>
      </c>
      <c r="E26" s="282">
        <v>1</v>
      </c>
      <c r="F26" s="280">
        <v>0</v>
      </c>
      <c r="G26" s="281">
        <v>0</v>
      </c>
      <c r="H26" s="283">
        <v>0</v>
      </c>
      <c r="I26" s="280">
        <v>0.29899999999999999</v>
      </c>
      <c r="J26" s="281">
        <v>0.29899999999999999</v>
      </c>
      <c r="K26" s="286" t="s">
        <v>197</v>
      </c>
    </row>
    <row r="27" spans="1:11" ht="14.4" customHeight="1" thickBot="1" x14ac:dyDescent="0.35">
      <c r="A27" s="297" t="s">
        <v>202</v>
      </c>
      <c r="B27" s="275">
        <v>0</v>
      </c>
      <c r="C27" s="275">
        <v>0</v>
      </c>
      <c r="D27" s="276">
        <v>0</v>
      </c>
      <c r="E27" s="277">
        <v>1</v>
      </c>
      <c r="F27" s="275">
        <v>0</v>
      </c>
      <c r="G27" s="276">
        <v>0</v>
      </c>
      <c r="H27" s="278">
        <v>0</v>
      </c>
      <c r="I27" s="275">
        <v>0.29899999999999999</v>
      </c>
      <c r="J27" s="276">
        <v>0.29899999999999999</v>
      </c>
      <c r="K27" s="288" t="s">
        <v>197</v>
      </c>
    </row>
    <row r="28" spans="1:11" ht="14.4" customHeight="1" thickBot="1" x14ac:dyDescent="0.35">
      <c r="A28" s="295" t="s">
        <v>17</v>
      </c>
      <c r="B28" s="275">
        <v>24.328770313358</v>
      </c>
      <c r="C28" s="275">
        <v>22.495000000000001</v>
      </c>
      <c r="D28" s="276">
        <v>-1.8337703133579999</v>
      </c>
      <c r="E28" s="277">
        <v>0.92462544182299999</v>
      </c>
      <c r="F28" s="275">
        <v>24.328185293832</v>
      </c>
      <c r="G28" s="276">
        <v>20.273487744859999</v>
      </c>
      <c r="H28" s="278">
        <v>2.2360000000000002</v>
      </c>
      <c r="I28" s="275">
        <v>18.712</v>
      </c>
      <c r="J28" s="276">
        <v>-1.56148774486</v>
      </c>
      <c r="K28" s="279">
        <v>0.76914902505000005</v>
      </c>
    </row>
    <row r="29" spans="1:11" ht="14.4" customHeight="1" thickBot="1" x14ac:dyDescent="0.35">
      <c r="A29" s="296" t="s">
        <v>203</v>
      </c>
      <c r="B29" s="280">
        <v>24.328770313358</v>
      </c>
      <c r="C29" s="280">
        <v>22.495000000000001</v>
      </c>
      <c r="D29" s="281">
        <v>-1.8337703133579999</v>
      </c>
      <c r="E29" s="282">
        <v>0.92462544182299999</v>
      </c>
      <c r="F29" s="280">
        <v>24.328185293832</v>
      </c>
      <c r="G29" s="281">
        <v>20.273487744859999</v>
      </c>
      <c r="H29" s="283">
        <v>2.2360000000000002</v>
      </c>
      <c r="I29" s="280">
        <v>18.712</v>
      </c>
      <c r="J29" s="281">
        <v>-1.56148774486</v>
      </c>
      <c r="K29" s="284">
        <v>0.76914902505000005</v>
      </c>
    </row>
    <row r="30" spans="1:11" ht="14.4" customHeight="1" thickBot="1" x14ac:dyDescent="0.35">
      <c r="A30" s="297" t="s">
        <v>204</v>
      </c>
      <c r="B30" s="275">
        <v>6.0000406434329996</v>
      </c>
      <c r="C30" s="275">
        <v>5.492</v>
      </c>
      <c r="D30" s="276">
        <v>-0.50804064343300004</v>
      </c>
      <c r="E30" s="277">
        <v>0.91532713299299995</v>
      </c>
      <c r="F30" s="275">
        <v>6.3281858607880004</v>
      </c>
      <c r="G30" s="276">
        <v>5.2734882173240001</v>
      </c>
      <c r="H30" s="278">
        <v>0.48299999999999998</v>
      </c>
      <c r="I30" s="275">
        <v>4.5949999999999998</v>
      </c>
      <c r="J30" s="276">
        <v>-0.678488217324</v>
      </c>
      <c r="K30" s="279">
        <v>0.72611647335899998</v>
      </c>
    </row>
    <row r="31" spans="1:11" ht="14.4" customHeight="1" thickBot="1" x14ac:dyDescent="0.35">
      <c r="A31" s="297" t="s">
        <v>205</v>
      </c>
      <c r="B31" s="275">
        <v>18.328729669924002</v>
      </c>
      <c r="C31" s="275">
        <v>17.003</v>
      </c>
      <c r="D31" s="276">
        <v>-1.325729669924</v>
      </c>
      <c r="E31" s="277">
        <v>0.92766930966799999</v>
      </c>
      <c r="F31" s="275">
        <v>17.999999433043001</v>
      </c>
      <c r="G31" s="276">
        <v>14.999999527536</v>
      </c>
      <c r="H31" s="278">
        <v>1.7529999999999999</v>
      </c>
      <c r="I31" s="275">
        <v>14.117000000000001</v>
      </c>
      <c r="J31" s="276">
        <v>-0.88299952753599997</v>
      </c>
      <c r="K31" s="279">
        <v>0.78427780248000001</v>
      </c>
    </row>
    <row r="32" spans="1:11" ht="14.4" customHeight="1" thickBot="1" x14ac:dyDescent="0.35">
      <c r="A32" s="298" t="s">
        <v>206</v>
      </c>
      <c r="B32" s="280">
        <v>24.664966860865</v>
      </c>
      <c r="C32" s="280">
        <v>25.926269999999999</v>
      </c>
      <c r="D32" s="281">
        <v>1.2613031391339999</v>
      </c>
      <c r="E32" s="282">
        <v>1.05113743498</v>
      </c>
      <c r="F32" s="280">
        <v>30.899808146449001</v>
      </c>
      <c r="G32" s="281">
        <v>25.749840122039998</v>
      </c>
      <c r="H32" s="283">
        <v>23.989640000000001</v>
      </c>
      <c r="I32" s="280">
        <v>40.068890000000003</v>
      </c>
      <c r="J32" s="281">
        <v>14.319049877958999</v>
      </c>
      <c r="K32" s="284">
        <v>1.2967358829569999</v>
      </c>
    </row>
    <row r="33" spans="1:11" ht="14.4" customHeight="1" thickBot="1" x14ac:dyDescent="0.35">
      <c r="A33" s="295" t="s">
        <v>20</v>
      </c>
      <c r="B33" s="275">
        <v>16.636595958114999</v>
      </c>
      <c r="C33" s="275">
        <v>12.134</v>
      </c>
      <c r="D33" s="276">
        <v>-4.5025959581150001</v>
      </c>
      <c r="E33" s="277">
        <v>0.72935593498499995</v>
      </c>
      <c r="F33" s="275">
        <v>20</v>
      </c>
      <c r="G33" s="276">
        <v>16.666666666666</v>
      </c>
      <c r="H33" s="278">
        <v>22.896000000000001</v>
      </c>
      <c r="I33" s="275">
        <v>28.511520000000001</v>
      </c>
      <c r="J33" s="276">
        <v>11.844853333333001</v>
      </c>
      <c r="K33" s="279">
        <v>1.425576</v>
      </c>
    </row>
    <row r="34" spans="1:11" ht="14.4" customHeight="1" thickBot="1" x14ac:dyDescent="0.35">
      <c r="A34" s="299" t="s">
        <v>207</v>
      </c>
      <c r="B34" s="275">
        <v>16.636595958114999</v>
      </c>
      <c r="C34" s="275">
        <v>12.134</v>
      </c>
      <c r="D34" s="276">
        <v>-4.5025959581150001</v>
      </c>
      <c r="E34" s="277">
        <v>0.72935593498499995</v>
      </c>
      <c r="F34" s="275">
        <v>20</v>
      </c>
      <c r="G34" s="276">
        <v>16.666666666666</v>
      </c>
      <c r="H34" s="278">
        <v>22.896000000000001</v>
      </c>
      <c r="I34" s="275">
        <v>28.511520000000001</v>
      </c>
      <c r="J34" s="276">
        <v>11.844853333333001</v>
      </c>
      <c r="K34" s="279">
        <v>1.425576</v>
      </c>
    </row>
    <row r="35" spans="1:11" ht="14.4" customHeight="1" thickBot="1" x14ac:dyDescent="0.35">
      <c r="A35" s="297" t="s">
        <v>208</v>
      </c>
      <c r="B35" s="275">
        <v>1.1013497461920001</v>
      </c>
      <c r="C35" s="275">
        <v>0</v>
      </c>
      <c r="D35" s="276">
        <v>-1.1013497461920001</v>
      </c>
      <c r="E35" s="277">
        <v>0</v>
      </c>
      <c r="F35" s="275">
        <v>0</v>
      </c>
      <c r="G35" s="276">
        <v>0</v>
      </c>
      <c r="H35" s="278">
        <v>0</v>
      </c>
      <c r="I35" s="275">
        <v>2.4695200000000002</v>
      </c>
      <c r="J35" s="276">
        <v>2.4695200000000002</v>
      </c>
      <c r="K35" s="288" t="s">
        <v>197</v>
      </c>
    </row>
    <row r="36" spans="1:11" ht="14.4" customHeight="1" thickBot="1" x14ac:dyDescent="0.35">
      <c r="A36" s="297" t="s">
        <v>209</v>
      </c>
      <c r="B36" s="275">
        <v>0.53534624844000001</v>
      </c>
      <c r="C36" s="275">
        <v>0</v>
      </c>
      <c r="D36" s="276">
        <v>-0.53534624844000001</v>
      </c>
      <c r="E36" s="277">
        <v>0</v>
      </c>
      <c r="F36" s="275">
        <v>0</v>
      </c>
      <c r="G36" s="276">
        <v>0</v>
      </c>
      <c r="H36" s="278">
        <v>0</v>
      </c>
      <c r="I36" s="275">
        <v>0</v>
      </c>
      <c r="J36" s="276">
        <v>0</v>
      </c>
      <c r="K36" s="279">
        <v>0</v>
      </c>
    </row>
    <row r="37" spans="1:11" ht="14.4" customHeight="1" thickBot="1" x14ac:dyDescent="0.35">
      <c r="A37" s="297" t="s">
        <v>210</v>
      </c>
      <c r="B37" s="275">
        <v>14.999899963481999</v>
      </c>
      <c r="C37" s="275">
        <v>12.134</v>
      </c>
      <c r="D37" s="276">
        <v>-2.8658999634820002</v>
      </c>
      <c r="E37" s="277">
        <v>0.80893872822699997</v>
      </c>
      <c r="F37" s="275">
        <v>20</v>
      </c>
      <c r="G37" s="276">
        <v>16.666666666666</v>
      </c>
      <c r="H37" s="278">
        <v>22.896000000000001</v>
      </c>
      <c r="I37" s="275">
        <v>26.042000000000002</v>
      </c>
      <c r="J37" s="276">
        <v>9.3753333333329998</v>
      </c>
      <c r="K37" s="279">
        <v>1.3021</v>
      </c>
    </row>
    <row r="38" spans="1:11" ht="14.4" customHeight="1" thickBot="1" x14ac:dyDescent="0.35">
      <c r="A38" s="300" t="s">
        <v>21</v>
      </c>
      <c r="B38" s="280">
        <v>0</v>
      </c>
      <c r="C38" s="280">
        <v>5.1760000000000002</v>
      </c>
      <c r="D38" s="281">
        <v>5.1760000000000002</v>
      </c>
      <c r="E38" s="285" t="s">
        <v>178</v>
      </c>
      <c r="F38" s="280">
        <v>0</v>
      </c>
      <c r="G38" s="281">
        <v>0</v>
      </c>
      <c r="H38" s="283">
        <v>0.627</v>
      </c>
      <c r="I38" s="280">
        <v>6.6790000000000003</v>
      </c>
      <c r="J38" s="281">
        <v>6.6790000000000003</v>
      </c>
      <c r="K38" s="286" t="s">
        <v>178</v>
      </c>
    </row>
    <row r="39" spans="1:11" ht="14.4" customHeight="1" thickBot="1" x14ac:dyDescent="0.35">
      <c r="A39" s="296" t="s">
        <v>211</v>
      </c>
      <c r="B39" s="280">
        <v>0</v>
      </c>
      <c r="C39" s="280">
        <v>5.1760000000000002</v>
      </c>
      <c r="D39" s="281">
        <v>5.1760000000000002</v>
      </c>
      <c r="E39" s="285" t="s">
        <v>178</v>
      </c>
      <c r="F39" s="280">
        <v>0</v>
      </c>
      <c r="G39" s="281">
        <v>0</v>
      </c>
      <c r="H39" s="283">
        <v>0.627</v>
      </c>
      <c r="I39" s="280">
        <v>6.6790000000000003</v>
      </c>
      <c r="J39" s="281">
        <v>6.6790000000000003</v>
      </c>
      <c r="K39" s="286" t="s">
        <v>178</v>
      </c>
    </row>
    <row r="40" spans="1:11" ht="14.4" customHeight="1" thickBot="1" x14ac:dyDescent="0.35">
      <c r="A40" s="297" t="s">
        <v>212</v>
      </c>
      <c r="B40" s="275">
        <v>0</v>
      </c>
      <c r="C40" s="275">
        <v>5.1760000000000002</v>
      </c>
      <c r="D40" s="276">
        <v>5.1760000000000002</v>
      </c>
      <c r="E40" s="287" t="s">
        <v>178</v>
      </c>
      <c r="F40" s="275">
        <v>0</v>
      </c>
      <c r="G40" s="276">
        <v>0</v>
      </c>
      <c r="H40" s="278">
        <v>0.627</v>
      </c>
      <c r="I40" s="275">
        <v>6.6790000000000003</v>
      </c>
      <c r="J40" s="276">
        <v>6.6790000000000003</v>
      </c>
      <c r="K40" s="288" t="s">
        <v>178</v>
      </c>
    </row>
    <row r="41" spans="1:11" ht="14.4" customHeight="1" thickBot="1" x14ac:dyDescent="0.35">
      <c r="A41" s="295" t="s">
        <v>22</v>
      </c>
      <c r="B41" s="275">
        <v>8.0283709027499999</v>
      </c>
      <c r="C41" s="275">
        <v>8.6162700000000001</v>
      </c>
      <c r="D41" s="276">
        <v>0.58789909724900002</v>
      </c>
      <c r="E41" s="277">
        <v>1.073227695178</v>
      </c>
      <c r="F41" s="275">
        <v>10.899808146449001</v>
      </c>
      <c r="G41" s="276">
        <v>9.0831734553740002</v>
      </c>
      <c r="H41" s="278">
        <v>0.46664</v>
      </c>
      <c r="I41" s="275">
        <v>4.8783700000000003</v>
      </c>
      <c r="J41" s="276">
        <v>-4.2048034553739999</v>
      </c>
      <c r="K41" s="279">
        <v>0.44756475842999999</v>
      </c>
    </row>
    <row r="42" spans="1:11" ht="14.4" customHeight="1" thickBot="1" x14ac:dyDescent="0.35">
      <c r="A42" s="296" t="s">
        <v>213</v>
      </c>
      <c r="B42" s="280">
        <v>2.1033796328749998</v>
      </c>
      <c r="C42" s="280">
        <v>2.7695699999999999</v>
      </c>
      <c r="D42" s="281">
        <v>0.66619036712400004</v>
      </c>
      <c r="E42" s="282">
        <v>1.3167237890450001</v>
      </c>
      <c r="F42" s="280">
        <v>3.5118875280970001</v>
      </c>
      <c r="G42" s="281">
        <v>2.9265729400809999</v>
      </c>
      <c r="H42" s="283">
        <v>0.14088999999999999</v>
      </c>
      <c r="I42" s="280">
        <v>1.62087</v>
      </c>
      <c r="J42" s="281">
        <v>-1.3057029400810001</v>
      </c>
      <c r="K42" s="284">
        <v>0.46153812929100002</v>
      </c>
    </row>
    <row r="43" spans="1:11" ht="14.4" customHeight="1" thickBot="1" x14ac:dyDescent="0.35">
      <c r="A43" s="297" t="s">
        <v>214</v>
      </c>
      <c r="B43" s="275">
        <v>6.6084910312000006E-2</v>
      </c>
      <c r="C43" s="275">
        <v>7.4099999999999999E-2</v>
      </c>
      <c r="D43" s="276">
        <v>8.0150896869999998E-3</v>
      </c>
      <c r="E43" s="277">
        <v>1.121284717647</v>
      </c>
      <c r="F43" s="275">
        <v>7.2010478259000005E-2</v>
      </c>
      <c r="G43" s="276">
        <v>6.0008731883000002E-2</v>
      </c>
      <c r="H43" s="278">
        <v>0</v>
      </c>
      <c r="I43" s="275">
        <v>0</v>
      </c>
      <c r="J43" s="276">
        <v>-6.0008731883000002E-2</v>
      </c>
      <c r="K43" s="279">
        <v>0</v>
      </c>
    </row>
    <row r="44" spans="1:11" ht="14.4" customHeight="1" thickBot="1" x14ac:dyDescent="0.35">
      <c r="A44" s="297" t="s">
        <v>215</v>
      </c>
      <c r="B44" s="275">
        <v>2.0372947225629998</v>
      </c>
      <c r="C44" s="275">
        <v>2.6954699999999998</v>
      </c>
      <c r="D44" s="276">
        <v>0.65817527743600002</v>
      </c>
      <c r="E44" s="277">
        <v>1.323063359536</v>
      </c>
      <c r="F44" s="275">
        <v>3.439877049838</v>
      </c>
      <c r="G44" s="276">
        <v>2.8665642081980001</v>
      </c>
      <c r="H44" s="278">
        <v>0.14088999999999999</v>
      </c>
      <c r="I44" s="275">
        <v>1.62087</v>
      </c>
      <c r="J44" s="276">
        <v>-1.245694208198</v>
      </c>
      <c r="K44" s="279">
        <v>0.47119998084699999</v>
      </c>
    </row>
    <row r="45" spans="1:11" ht="14.4" customHeight="1" thickBot="1" x14ac:dyDescent="0.35">
      <c r="A45" s="296" t="s">
        <v>216</v>
      </c>
      <c r="B45" s="280">
        <v>0.139834423052</v>
      </c>
      <c r="C45" s="280">
        <v>0</v>
      </c>
      <c r="D45" s="281">
        <v>-0.139834423052</v>
      </c>
      <c r="E45" s="282">
        <v>0</v>
      </c>
      <c r="F45" s="280">
        <v>0.139834418648</v>
      </c>
      <c r="G45" s="281">
        <v>0.116528682206</v>
      </c>
      <c r="H45" s="283">
        <v>0</v>
      </c>
      <c r="I45" s="280">
        <v>0</v>
      </c>
      <c r="J45" s="281">
        <v>-0.116528682206</v>
      </c>
      <c r="K45" s="284">
        <v>0</v>
      </c>
    </row>
    <row r="46" spans="1:11" ht="14.4" customHeight="1" thickBot="1" x14ac:dyDescent="0.35">
      <c r="A46" s="297" t="s">
        <v>217</v>
      </c>
      <c r="B46" s="275">
        <v>0.139834423052</v>
      </c>
      <c r="C46" s="275">
        <v>0</v>
      </c>
      <c r="D46" s="276">
        <v>-0.139834423052</v>
      </c>
      <c r="E46" s="277">
        <v>0</v>
      </c>
      <c r="F46" s="275">
        <v>0.139834418648</v>
      </c>
      <c r="G46" s="276">
        <v>0.116528682206</v>
      </c>
      <c r="H46" s="278">
        <v>0</v>
      </c>
      <c r="I46" s="275">
        <v>0</v>
      </c>
      <c r="J46" s="276">
        <v>-0.116528682206</v>
      </c>
      <c r="K46" s="279">
        <v>0</v>
      </c>
    </row>
    <row r="47" spans="1:11" ht="14.4" customHeight="1" thickBot="1" x14ac:dyDescent="0.35">
      <c r="A47" s="296" t="s">
        <v>218</v>
      </c>
      <c r="B47" s="280">
        <v>5.7851568468219998</v>
      </c>
      <c r="C47" s="280">
        <v>5.8467000000000002</v>
      </c>
      <c r="D47" s="281">
        <v>6.1543153177000001E-2</v>
      </c>
      <c r="E47" s="282">
        <v>1.010638113158</v>
      </c>
      <c r="F47" s="280">
        <v>6.2480861997029997</v>
      </c>
      <c r="G47" s="281">
        <v>5.2067384997520003</v>
      </c>
      <c r="H47" s="283">
        <v>0.32574999999999998</v>
      </c>
      <c r="I47" s="280">
        <v>3.2574999999999998</v>
      </c>
      <c r="J47" s="281">
        <v>-1.949238499752</v>
      </c>
      <c r="K47" s="284">
        <v>0.52135964451799999</v>
      </c>
    </row>
    <row r="48" spans="1:11" ht="14.4" customHeight="1" thickBot="1" x14ac:dyDescent="0.35">
      <c r="A48" s="297" t="s">
        <v>219</v>
      </c>
      <c r="B48" s="275">
        <v>5.6404082075439996</v>
      </c>
      <c r="C48" s="275">
        <v>5.5087000000000002</v>
      </c>
      <c r="D48" s="276">
        <v>-0.13170820754400001</v>
      </c>
      <c r="E48" s="277">
        <v>0.97664917099899995</v>
      </c>
      <c r="F48" s="275">
        <v>5.9016605070079997</v>
      </c>
      <c r="G48" s="276">
        <v>4.918050422506</v>
      </c>
      <c r="H48" s="278">
        <v>0.32574999999999998</v>
      </c>
      <c r="I48" s="275">
        <v>3.2574999999999998</v>
      </c>
      <c r="J48" s="276">
        <v>-1.6605504225059999</v>
      </c>
      <c r="K48" s="279">
        <v>0.55196329848699999</v>
      </c>
    </row>
    <row r="49" spans="1:11" ht="14.4" customHeight="1" thickBot="1" x14ac:dyDescent="0.35">
      <c r="A49" s="297" t="s">
        <v>220</v>
      </c>
      <c r="B49" s="275">
        <v>0.14474863927699999</v>
      </c>
      <c r="C49" s="275">
        <v>0.33800000000000002</v>
      </c>
      <c r="D49" s="276">
        <v>0.193251360722</v>
      </c>
      <c r="E49" s="277">
        <v>2.3350824000000001</v>
      </c>
      <c r="F49" s="275">
        <v>0.34642569269399998</v>
      </c>
      <c r="G49" s="276">
        <v>0.28868807724500001</v>
      </c>
      <c r="H49" s="278">
        <v>0</v>
      </c>
      <c r="I49" s="275">
        <v>0</v>
      </c>
      <c r="J49" s="276">
        <v>-0.28868807724500001</v>
      </c>
      <c r="K49" s="279">
        <v>0</v>
      </c>
    </row>
    <row r="50" spans="1:11" ht="14.4" customHeight="1" thickBot="1" x14ac:dyDescent="0.35">
      <c r="A50" s="296" t="s">
        <v>221</v>
      </c>
      <c r="B50" s="280">
        <v>0</v>
      </c>
      <c r="C50" s="280">
        <v>0</v>
      </c>
      <c r="D50" s="281">
        <v>0</v>
      </c>
      <c r="E50" s="282">
        <v>1</v>
      </c>
      <c r="F50" s="280">
        <v>1</v>
      </c>
      <c r="G50" s="281">
        <v>0.83333333333299997</v>
      </c>
      <c r="H50" s="283">
        <v>0</v>
      </c>
      <c r="I50" s="280">
        <v>0</v>
      </c>
      <c r="J50" s="281">
        <v>-0.83333333333299997</v>
      </c>
      <c r="K50" s="284">
        <v>0</v>
      </c>
    </row>
    <row r="51" spans="1:11" ht="14.4" customHeight="1" thickBot="1" x14ac:dyDescent="0.35">
      <c r="A51" s="297" t="s">
        <v>222</v>
      </c>
      <c r="B51" s="275">
        <v>0</v>
      </c>
      <c r="C51" s="275">
        <v>0</v>
      </c>
      <c r="D51" s="276">
        <v>0</v>
      </c>
      <c r="E51" s="277">
        <v>1</v>
      </c>
      <c r="F51" s="275">
        <v>1</v>
      </c>
      <c r="G51" s="276">
        <v>0.83333333333299997</v>
      </c>
      <c r="H51" s="278">
        <v>0</v>
      </c>
      <c r="I51" s="275">
        <v>0</v>
      </c>
      <c r="J51" s="276">
        <v>-0.83333333333299997</v>
      </c>
      <c r="K51" s="279">
        <v>0</v>
      </c>
    </row>
    <row r="52" spans="1:11" ht="14.4" customHeight="1" thickBot="1" x14ac:dyDescent="0.35">
      <c r="A52" s="294" t="s">
        <v>23</v>
      </c>
      <c r="B52" s="275">
        <v>2354.0116772033798</v>
      </c>
      <c r="C52" s="275">
        <v>2336.4067700000001</v>
      </c>
      <c r="D52" s="276">
        <v>-17.604907203377</v>
      </c>
      <c r="E52" s="277">
        <v>0.99252131696099999</v>
      </c>
      <c r="F52" s="275">
        <v>3214.9998987352901</v>
      </c>
      <c r="G52" s="276">
        <v>2679.1665822794098</v>
      </c>
      <c r="H52" s="278">
        <v>212.17527999999999</v>
      </c>
      <c r="I52" s="275">
        <v>2164.1563299999998</v>
      </c>
      <c r="J52" s="276">
        <v>-515.01025227941</v>
      </c>
      <c r="K52" s="279">
        <v>0.673143514203</v>
      </c>
    </row>
    <row r="53" spans="1:11" ht="14.4" customHeight="1" thickBot="1" x14ac:dyDescent="0.35">
      <c r="A53" s="300" t="s">
        <v>223</v>
      </c>
      <c r="B53" s="280">
        <v>1744.99999999997</v>
      </c>
      <c r="C53" s="280">
        <v>1742.537</v>
      </c>
      <c r="D53" s="281">
        <v>-2.4629999999669998</v>
      </c>
      <c r="E53" s="282">
        <v>0.99858853868099995</v>
      </c>
      <c r="F53" s="280">
        <v>2549.99991968118</v>
      </c>
      <c r="G53" s="281">
        <v>2124.9999330676501</v>
      </c>
      <c r="H53" s="283">
        <v>159.76499999999999</v>
      </c>
      <c r="I53" s="280">
        <v>1608.731</v>
      </c>
      <c r="J53" s="281">
        <v>-516.26893306765101</v>
      </c>
      <c r="K53" s="284">
        <v>0.63087492183100002</v>
      </c>
    </row>
    <row r="54" spans="1:11" ht="14.4" customHeight="1" thickBot="1" x14ac:dyDescent="0.35">
      <c r="A54" s="296" t="s">
        <v>224</v>
      </c>
      <c r="B54" s="280">
        <v>1738.99999999997</v>
      </c>
      <c r="C54" s="280">
        <v>1742.537</v>
      </c>
      <c r="D54" s="281">
        <v>3.5370000000320001</v>
      </c>
      <c r="E54" s="282">
        <v>1.002033927544</v>
      </c>
      <c r="F54" s="280">
        <v>1899.9999401546099</v>
      </c>
      <c r="G54" s="281">
        <v>1583.3332834621699</v>
      </c>
      <c r="H54" s="283">
        <v>125.11499999999999</v>
      </c>
      <c r="I54" s="280">
        <v>1252.8510000000001</v>
      </c>
      <c r="J54" s="281">
        <v>-330.48228346217002</v>
      </c>
      <c r="K54" s="284">
        <v>0.65939528392699998</v>
      </c>
    </row>
    <row r="55" spans="1:11" ht="14.4" customHeight="1" thickBot="1" x14ac:dyDescent="0.35">
      <c r="A55" s="297" t="s">
        <v>225</v>
      </c>
      <c r="B55" s="275">
        <v>1738.99999999997</v>
      </c>
      <c r="C55" s="275">
        <v>1742.537</v>
      </c>
      <c r="D55" s="276">
        <v>3.5370000000320001</v>
      </c>
      <c r="E55" s="277">
        <v>1.002033927544</v>
      </c>
      <c r="F55" s="275">
        <v>1899.9999401546099</v>
      </c>
      <c r="G55" s="276">
        <v>1583.3332834621699</v>
      </c>
      <c r="H55" s="278">
        <v>125.11499999999999</v>
      </c>
      <c r="I55" s="275">
        <v>1252.8510000000001</v>
      </c>
      <c r="J55" s="276">
        <v>-330.48228346217002</v>
      </c>
      <c r="K55" s="279">
        <v>0.65939528392699998</v>
      </c>
    </row>
    <row r="56" spans="1:11" ht="14.4" customHeight="1" thickBot="1" x14ac:dyDescent="0.35">
      <c r="A56" s="296" t="s">
        <v>226</v>
      </c>
      <c r="B56" s="280">
        <v>0</v>
      </c>
      <c r="C56" s="280">
        <v>0</v>
      </c>
      <c r="D56" s="281">
        <v>0</v>
      </c>
      <c r="E56" s="285" t="s">
        <v>178</v>
      </c>
      <c r="F56" s="280">
        <v>643.99997971556104</v>
      </c>
      <c r="G56" s="281">
        <v>536.66664976296704</v>
      </c>
      <c r="H56" s="283">
        <v>34.65</v>
      </c>
      <c r="I56" s="280">
        <v>355.88</v>
      </c>
      <c r="J56" s="281">
        <v>-180.78664976296699</v>
      </c>
      <c r="K56" s="284">
        <v>0.55260871305799997</v>
      </c>
    </row>
    <row r="57" spans="1:11" ht="14.4" customHeight="1" thickBot="1" x14ac:dyDescent="0.35">
      <c r="A57" s="297" t="s">
        <v>227</v>
      </c>
      <c r="B57" s="275">
        <v>0</v>
      </c>
      <c r="C57" s="275">
        <v>0</v>
      </c>
      <c r="D57" s="276">
        <v>0</v>
      </c>
      <c r="E57" s="287" t="s">
        <v>178</v>
      </c>
      <c r="F57" s="275">
        <v>643.99997971556104</v>
      </c>
      <c r="G57" s="276">
        <v>536.66664976296704</v>
      </c>
      <c r="H57" s="278">
        <v>34.65</v>
      </c>
      <c r="I57" s="275">
        <v>355.88</v>
      </c>
      <c r="J57" s="276">
        <v>-180.78664976296699</v>
      </c>
      <c r="K57" s="279">
        <v>0.55260871305799997</v>
      </c>
    </row>
    <row r="58" spans="1:11" ht="14.4" customHeight="1" thickBot="1" x14ac:dyDescent="0.35">
      <c r="A58" s="296" t="s">
        <v>228</v>
      </c>
      <c r="B58" s="280">
        <v>5.9999999999989999</v>
      </c>
      <c r="C58" s="280">
        <v>0</v>
      </c>
      <c r="D58" s="281">
        <v>-5.9999999999989999</v>
      </c>
      <c r="E58" s="282">
        <v>0</v>
      </c>
      <c r="F58" s="280">
        <v>5.9999998110139998</v>
      </c>
      <c r="G58" s="281">
        <v>4.9999998425119996</v>
      </c>
      <c r="H58" s="283">
        <v>0</v>
      </c>
      <c r="I58" s="280">
        <v>0</v>
      </c>
      <c r="J58" s="281">
        <v>-4.9999998425119996</v>
      </c>
      <c r="K58" s="284">
        <v>0</v>
      </c>
    </row>
    <row r="59" spans="1:11" ht="14.4" customHeight="1" thickBot="1" x14ac:dyDescent="0.35">
      <c r="A59" s="297" t="s">
        <v>229</v>
      </c>
      <c r="B59" s="275">
        <v>5.9999999999989999</v>
      </c>
      <c r="C59" s="275">
        <v>0</v>
      </c>
      <c r="D59" s="276">
        <v>-5.9999999999989999</v>
      </c>
      <c r="E59" s="277">
        <v>0</v>
      </c>
      <c r="F59" s="275">
        <v>5.9999998110139998</v>
      </c>
      <c r="G59" s="276">
        <v>4.9999998425119996</v>
      </c>
      <c r="H59" s="278">
        <v>0</v>
      </c>
      <c r="I59" s="275">
        <v>0</v>
      </c>
      <c r="J59" s="276">
        <v>-4.9999998425119996</v>
      </c>
      <c r="K59" s="279">
        <v>0</v>
      </c>
    </row>
    <row r="60" spans="1:11" ht="14.4" customHeight="1" thickBot="1" x14ac:dyDescent="0.35">
      <c r="A60" s="295" t="s">
        <v>230</v>
      </c>
      <c r="B60" s="275">
        <v>592.01167720341004</v>
      </c>
      <c r="C60" s="275">
        <v>576.43679999999995</v>
      </c>
      <c r="D60" s="276">
        <v>-15.574877203409001</v>
      </c>
      <c r="E60" s="277">
        <v>0.97369160473799998</v>
      </c>
      <c r="F60" s="275">
        <v>645.99997965256603</v>
      </c>
      <c r="G60" s="276">
        <v>538.33331637713798</v>
      </c>
      <c r="H60" s="278">
        <v>51.15925</v>
      </c>
      <c r="I60" s="275">
        <v>542.89475000000004</v>
      </c>
      <c r="J60" s="276">
        <v>4.5614336228610002</v>
      </c>
      <c r="K60" s="279">
        <v>0.84039437631500002</v>
      </c>
    </row>
    <row r="61" spans="1:11" ht="14.4" customHeight="1" thickBot="1" x14ac:dyDescent="0.35">
      <c r="A61" s="296" t="s">
        <v>231</v>
      </c>
      <c r="B61" s="280">
        <v>157.011677203419</v>
      </c>
      <c r="C61" s="280">
        <v>156.83241000000001</v>
      </c>
      <c r="D61" s="281">
        <v>-0.17926720341800001</v>
      </c>
      <c r="E61" s="282">
        <v>0.99885825559800001</v>
      </c>
      <c r="F61" s="280">
        <v>170.999994613914</v>
      </c>
      <c r="G61" s="281">
        <v>142.49999551159499</v>
      </c>
      <c r="H61" s="283">
        <v>14.271000000000001</v>
      </c>
      <c r="I61" s="280">
        <v>143.76499999999999</v>
      </c>
      <c r="J61" s="281">
        <v>1.2650044884039999</v>
      </c>
      <c r="K61" s="284">
        <v>0.84073102063299998</v>
      </c>
    </row>
    <row r="62" spans="1:11" ht="14.4" customHeight="1" thickBot="1" x14ac:dyDescent="0.35">
      <c r="A62" s="297" t="s">
        <v>232</v>
      </c>
      <c r="B62" s="275">
        <v>157.011677203419</v>
      </c>
      <c r="C62" s="275">
        <v>156.83241000000001</v>
      </c>
      <c r="D62" s="276">
        <v>-0.17926720341800001</v>
      </c>
      <c r="E62" s="277">
        <v>0.99885825559800001</v>
      </c>
      <c r="F62" s="275">
        <v>170.999994613914</v>
      </c>
      <c r="G62" s="276">
        <v>142.49999551159499</v>
      </c>
      <c r="H62" s="278">
        <v>14.271000000000001</v>
      </c>
      <c r="I62" s="275">
        <v>143.76499999999999</v>
      </c>
      <c r="J62" s="276">
        <v>1.2650044884039999</v>
      </c>
      <c r="K62" s="279">
        <v>0.84073102063299998</v>
      </c>
    </row>
    <row r="63" spans="1:11" ht="14.4" customHeight="1" thickBot="1" x14ac:dyDescent="0.35">
      <c r="A63" s="296" t="s">
        <v>233</v>
      </c>
      <c r="B63" s="280">
        <v>434.99999999999102</v>
      </c>
      <c r="C63" s="280">
        <v>419.60439000000002</v>
      </c>
      <c r="D63" s="281">
        <v>-15.39560999999</v>
      </c>
      <c r="E63" s="282">
        <v>0.96460779310300004</v>
      </c>
      <c r="F63" s="280">
        <v>474.999985038651</v>
      </c>
      <c r="G63" s="281">
        <v>395.83332086554299</v>
      </c>
      <c r="H63" s="283">
        <v>36.888249999999999</v>
      </c>
      <c r="I63" s="280">
        <v>399.12975</v>
      </c>
      <c r="J63" s="281">
        <v>3.296429134457</v>
      </c>
      <c r="K63" s="284">
        <v>0.84027318436099996</v>
      </c>
    </row>
    <row r="64" spans="1:11" ht="14.4" customHeight="1" thickBot="1" x14ac:dyDescent="0.35">
      <c r="A64" s="297" t="s">
        <v>234</v>
      </c>
      <c r="B64" s="275">
        <v>434.99999999999102</v>
      </c>
      <c r="C64" s="275">
        <v>419.60439000000002</v>
      </c>
      <c r="D64" s="276">
        <v>-15.39560999999</v>
      </c>
      <c r="E64" s="277">
        <v>0.96460779310300004</v>
      </c>
      <c r="F64" s="275">
        <v>474.999985038651</v>
      </c>
      <c r="G64" s="276">
        <v>395.83332086554299</v>
      </c>
      <c r="H64" s="278">
        <v>36.888249999999999</v>
      </c>
      <c r="I64" s="275">
        <v>399.12975</v>
      </c>
      <c r="J64" s="276">
        <v>3.296429134457</v>
      </c>
      <c r="K64" s="279">
        <v>0.84027318436099996</v>
      </c>
    </row>
    <row r="65" spans="1:11" ht="14.4" customHeight="1" thickBot="1" x14ac:dyDescent="0.35">
      <c r="A65" s="295" t="s">
        <v>235</v>
      </c>
      <c r="B65" s="275">
        <v>16.999999999999002</v>
      </c>
      <c r="C65" s="275">
        <v>17.432970000000001</v>
      </c>
      <c r="D65" s="276">
        <v>0.43297000000000002</v>
      </c>
      <c r="E65" s="277">
        <v>1.0254688235289999</v>
      </c>
      <c r="F65" s="275">
        <v>18.999999401545999</v>
      </c>
      <c r="G65" s="276">
        <v>15.833332834621</v>
      </c>
      <c r="H65" s="278">
        <v>1.2510300000000001</v>
      </c>
      <c r="I65" s="275">
        <v>12.53058</v>
      </c>
      <c r="J65" s="276">
        <v>-3.3027528346210002</v>
      </c>
      <c r="K65" s="279">
        <v>0.65950423129900004</v>
      </c>
    </row>
    <row r="66" spans="1:11" ht="14.4" customHeight="1" thickBot="1" x14ac:dyDescent="0.35">
      <c r="A66" s="296" t="s">
        <v>236</v>
      </c>
      <c r="B66" s="280">
        <v>16.999999999999002</v>
      </c>
      <c r="C66" s="280">
        <v>17.432970000000001</v>
      </c>
      <c r="D66" s="281">
        <v>0.43297000000000002</v>
      </c>
      <c r="E66" s="282">
        <v>1.0254688235289999</v>
      </c>
      <c r="F66" s="280">
        <v>18.999999401545999</v>
      </c>
      <c r="G66" s="281">
        <v>15.833332834621</v>
      </c>
      <c r="H66" s="283">
        <v>1.2510300000000001</v>
      </c>
      <c r="I66" s="280">
        <v>12.53058</v>
      </c>
      <c r="J66" s="281">
        <v>-3.3027528346210002</v>
      </c>
      <c r="K66" s="284">
        <v>0.65950423129900004</v>
      </c>
    </row>
    <row r="67" spans="1:11" ht="14.4" customHeight="1" thickBot="1" x14ac:dyDescent="0.35">
      <c r="A67" s="297" t="s">
        <v>237</v>
      </c>
      <c r="B67" s="275">
        <v>16.999999999999002</v>
      </c>
      <c r="C67" s="275">
        <v>17.432970000000001</v>
      </c>
      <c r="D67" s="276">
        <v>0.43297000000000002</v>
      </c>
      <c r="E67" s="277">
        <v>1.0254688235289999</v>
      </c>
      <c r="F67" s="275">
        <v>18.999999401545999</v>
      </c>
      <c r="G67" s="276">
        <v>15.833332834621</v>
      </c>
      <c r="H67" s="278">
        <v>1.2510300000000001</v>
      </c>
      <c r="I67" s="275">
        <v>12.53058</v>
      </c>
      <c r="J67" s="276">
        <v>-3.3027528346210002</v>
      </c>
      <c r="K67" s="279">
        <v>0.65950423129900004</v>
      </c>
    </row>
    <row r="68" spans="1:11" ht="14.4" customHeight="1" thickBot="1" x14ac:dyDescent="0.35">
      <c r="A68" s="294" t="s">
        <v>238</v>
      </c>
      <c r="B68" s="275">
        <v>1.4740566037730001</v>
      </c>
      <c r="C68" s="275">
        <v>2.85</v>
      </c>
      <c r="D68" s="276">
        <v>1.3759433962259999</v>
      </c>
      <c r="E68" s="277">
        <v>1.93344</v>
      </c>
      <c r="F68" s="275">
        <v>1.4613710448020001</v>
      </c>
      <c r="G68" s="276">
        <v>1.2178092040020001</v>
      </c>
      <c r="H68" s="278">
        <v>0</v>
      </c>
      <c r="I68" s="275">
        <v>2.85</v>
      </c>
      <c r="J68" s="276">
        <v>1.6321907959969999</v>
      </c>
      <c r="K68" s="279">
        <v>1.9502233947600001</v>
      </c>
    </row>
    <row r="69" spans="1:11" ht="14.4" customHeight="1" thickBot="1" x14ac:dyDescent="0.35">
      <c r="A69" s="295" t="s">
        <v>239</v>
      </c>
      <c r="B69" s="275">
        <v>0</v>
      </c>
      <c r="C69" s="275">
        <v>1.35</v>
      </c>
      <c r="D69" s="276">
        <v>1.35</v>
      </c>
      <c r="E69" s="287" t="s">
        <v>178</v>
      </c>
      <c r="F69" s="275">
        <v>0</v>
      </c>
      <c r="G69" s="276">
        <v>0</v>
      </c>
      <c r="H69" s="278">
        <v>0</v>
      </c>
      <c r="I69" s="275">
        <v>1.35</v>
      </c>
      <c r="J69" s="276">
        <v>1.35</v>
      </c>
      <c r="K69" s="288" t="s">
        <v>178</v>
      </c>
    </row>
    <row r="70" spans="1:11" ht="14.4" customHeight="1" thickBot="1" x14ac:dyDescent="0.35">
      <c r="A70" s="296" t="s">
        <v>240</v>
      </c>
      <c r="B70" s="280">
        <v>0</v>
      </c>
      <c r="C70" s="280">
        <v>1.35</v>
      </c>
      <c r="D70" s="281">
        <v>1.35</v>
      </c>
      <c r="E70" s="285" t="s">
        <v>178</v>
      </c>
      <c r="F70" s="280">
        <v>0</v>
      </c>
      <c r="G70" s="281">
        <v>0</v>
      </c>
      <c r="H70" s="283">
        <v>0</v>
      </c>
      <c r="I70" s="280">
        <v>1.35</v>
      </c>
      <c r="J70" s="281">
        <v>1.35</v>
      </c>
      <c r="K70" s="286" t="s">
        <v>178</v>
      </c>
    </row>
    <row r="71" spans="1:11" ht="14.4" customHeight="1" thickBot="1" x14ac:dyDescent="0.35">
      <c r="A71" s="297" t="s">
        <v>241</v>
      </c>
      <c r="B71" s="275">
        <v>0</v>
      </c>
      <c r="C71" s="275">
        <v>1.35</v>
      </c>
      <c r="D71" s="276">
        <v>1.35</v>
      </c>
      <c r="E71" s="287" t="s">
        <v>178</v>
      </c>
      <c r="F71" s="275">
        <v>0</v>
      </c>
      <c r="G71" s="276">
        <v>0</v>
      </c>
      <c r="H71" s="278">
        <v>0</v>
      </c>
      <c r="I71" s="275">
        <v>1.35</v>
      </c>
      <c r="J71" s="276">
        <v>1.35</v>
      </c>
      <c r="K71" s="288" t="s">
        <v>178</v>
      </c>
    </row>
    <row r="72" spans="1:11" ht="14.4" customHeight="1" thickBot="1" x14ac:dyDescent="0.35">
      <c r="A72" s="295" t="s">
        <v>242</v>
      </c>
      <c r="B72" s="275">
        <v>1.4740566037730001</v>
      </c>
      <c r="C72" s="275">
        <v>1.5</v>
      </c>
      <c r="D72" s="276">
        <v>2.5943396226E-2</v>
      </c>
      <c r="E72" s="277">
        <v>1.0176000000000001</v>
      </c>
      <c r="F72" s="275">
        <v>1.4613710448020001</v>
      </c>
      <c r="G72" s="276">
        <v>1.2178092040020001</v>
      </c>
      <c r="H72" s="278">
        <v>0</v>
      </c>
      <c r="I72" s="275">
        <v>1.5</v>
      </c>
      <c r="J72" s="276">
        <v>0.28219079599699998</v>
      </c>
      <c r="K72" s="279">
        <v>1.026433365663</v>
      </c>
    </row>
    <row r="73" spans="1:11" ht="14.4" customHeight="1" thickBot="1" x14ac:dyDescent="0.35">
      <c r="A73" s="296" t="s">
        <v>243</v>
      </c>
      <c r="B73" s="280">
        <v>1.4740566037730001</v>
      </c>
      <c r="C73" s="280">
        <v>1.5</v>
      </c>
      <c r="D73" s="281">
        <v>2.5943396226E-2</v>
      </c>
      <c r="E73" s="282">
        <v>1.0176000000000001</v>
      </c>
      <c r="F73" s="280">
        <v>1.4613710448020001</v>
      </c>
      <c r="G73" s="281">
        <v>1.2178092040020001</v>
      </c>
      <c r="H73" s="283">
        <v>0</v>
      </c>
      <c r="I73" s="280">
        <v>1.5</v>
      </c>
      <c r="J73" s="281">
        <v>0.28219079599699998</v>
      </c>
      <c r="K73" s="284">
        <v>1.026433365663</v>
      </c>
    </row>
    <row r="74" spans="1:11" ht="14.4" customHeight="1" thickBot="1" x14ac:dyDescent="0.35">
      <c r="A74" s="297" t="s">
        <v>244</v>
      </c>
      <c r="B74" s="275">
        <v>1.4740566037730001</v>
      </c>
      <c r="C74" s="275">
        <v>1.5</v>
      </c>
      <c r="D74" s="276">
        <v>2.5943396226E-2</v>
      </c>
      <c r="E74" s="277">
        <v>1.0176000000000001</v>
      </c>
      <c r="F74" s="275">
        <v>1.4613710448020001</v>
      </c>
      <c r="G74" s="276">
        <v>1.2178092040020001</v>
      </c>
      <c r="H74" s="278">
        <v>0</v>
      </c>
      <c r="I74" s="275">
        <v>1.5</v>
      </c>
      <c r="J74" s="276">
        <v>0.28219079599699998</v>
      </c>
      <c r="K74" s="279">
        <v>1.026433365663</v>
      </c>
    </row>
    <row r="75" spans="1:11" ht="14.4" customHeight="1" thickBot="1" x14ac:dyDescent="0.35">
      <c r="A75" s="294" t="s">
        <v>245</v>
      </c>
      <c r="B75" s="275">
        <v>10.499999999999</v>
      </c>
      <c r="C75" s="275">
        <v>5.6623299999999999</v>
      </c>
      <c r="D75" s="276">
        <v>-4.837669999999</v>
      </c>
      <c r="E75" s="277">
        <v>0.53926952380899995</v>
      </c>
      <c r="F75" s="275">
        <v>10</v>
      </c>
      <c r="G75" s="276">
        <v>8.333333333333</v>
      </c>
      <c r="H75" s="278">
        <v>2.5299999999999998</v>
      </c>
      <c r="I75" s="275">
        <v>7.79</v>
      </c>
      <c r="J75" s="276">
        <v>-0.54333333333300005</v>
      </c>
      <c r="K75" s="279">
        <v>0.77900000000000003</v>
      </c>
    </row>
    <row r="76" spans="1:11" ht="14.4" customHeight="1" thickBot="1" x14ac:dyDescent="0.35">
      <c r="A76" s="295" t="s">
        <v>246</v>
      </c>
      <c r="B76" s="275">
        <v>10.499999999999</v>
      </c>
      <c r="C76" s="275">
        <v>5.6623299999999999</v>
      </c>
      <c r="D76" s="276">
        <v>-4.837669999999</v>
      </c>
      <c r="E76" s="277">
        <v>0.53926952380899995</v>
      </c>
      <c r="F76" s="275">
        <v>10</v>
      </c>
      <c r="G76" s="276">
        <v>8.333333333333</v>
      </c>
      <c r="H76" s="278">
        <v>2.5299999999999998</v>
      </c>
      <c r="I76" s="275">
        <v>7.79</v>
      </c>
      <c r="J76" s="276">
        <v>-0.54333333333300005</v>
      </c>
      <c r="K76" s="279">
        <v>0.77900000000000003</v>
      </c>
    </row>
    <row r="77" spans="1:11" ht="14.4" customHeight="1" thickBot="1" x14ac:dyDescent="0.35">
      <c r="A77" s="296" t="s">
        <v>247</v>
      </c>
      <c r="B77" s="280">
        <v>0</v>
      </c>
      <c r="C77" s="280">
        <v>5.72525</v>
      </c>
      <c r="D77" s="281">
        <v>5.72525</v>
      </c>
      <c r="E77" s="285" t="s">
        <v>178</v>
      </c>
      <c r="F77" s="280">
        <v>0</v>
      </c>
      <c r="G77" s="281">
        <v>0</v>
      </c>
      <c r="H77" s="283">
        <v>0</v>
      </c>
      <c r="I77" s="280">
        <v>0.2</v>
      </c>
      <c r="J77" s="281">
        <v>0.2</v>
      </c>
      <c r="K77" s="286" t="s">
        <v>178</v>
      </c>
    </row>
    <row r="78" spans="1:11" ht="14.4" customHeight="1" thickBot="1" x14ac:dyDescent="0.35">
      <c r="A78" s="297" t="s">
        <v>248</v>
      </c>
      <c r="B78" s="275">
        <v>0</v>
      </c>
      <c r="C78" s="275">
        <v>0.22525000000000001</v>
      </c>
      <c r="D78" s="276">
        <v>0.22525000000000001</v>
      </c>
      <c r="E78" s="287" t="s">
        <v>197</v>
      </c>
      <c r="F78" s="275">
        <v>0</v>
      </c>
      <c r="G78" s="276">
        <v>0</v>
      </c>
      <c r="H78" s="278">
        <v>0</v>
      </c>
      <c r="I78" s="275">
        <v>0</v>
      </c>
      <c r="J78" s="276">
        <v>0</v>
      </c>
      <c r="K78" s="288" t="s">
        <v>178</v>
      </c>
    </row>
    <row r="79" spans="1:11" ht="14.4" customHeight="1" thickBot="1" x14ac:dyDescent="0.35">
      <c r="A79" s="297" t="s">
        <v>249</v>
      </c>
      <c r="B79" s="275">
        <v>0</v>
      </c>
      <c r="C79" s="275">
        <v>5.3</v>
      </c>
      <c r="D79" s="276">
        <v>5.3</v>
      </c>
      <c r="E79" s="287" t="s">
        <v>197</v>
      </c>
      <c r="F79" s="275">
        <v>0</v>
      </c>
      <c r="G79" s="276">
        <v>0</v>
      </c>
      <c r="H79" s="278">
        <v>0</v>
      </c>
      <c r="I79" s="275">
        <v>0</v>
      </c>
      <c r="J79" s="276">
        <v>0</v>
      </c>
      <c r="K79" s="279">
        <v>0</v>
      </c>
    </row>
    <row r="80" spans="1:11" ht="14.4" customHeight="1" thickBot="1" x14ac:dyDescent="0.35">
      <c r="A80" s="297" t="s">
        <v>250</v>
      </c>
      <c r="B80" s="275">
        <v>0</v>
      </c>
      <c r="C80" s="275">
        <v>0.2</v>
      </c>
      <c r="D80" s="276">
        <v>0.2</v>
      </c>
      <c r="E80" s="287" t="s">
        <v>178</v>
      </c>
      <c r="F80" s="275">
        <v>0</v>
      </c>
      <c r="G80" s="276">
        <v>0</v>
      </c>
      <c r="H80" s="278">
        <v>0</v>
      </c>
      <c r="I80" s="275">
        <v>0.2</v>
      </c>
      <c r="J80" s="276">
        <v>0.2</v>
      </c>
      <c r="K80" s="288" t="s">
        <v>178</v>
      </c>
    </row>
    <row r="81" spans="1:11" ht="14.4" customHeight="1" thickBot="1" x14ac:dyDescent="0.35">
      <c r="A81" s="296" t="s">
        <v>251</v>
      </c>
      <c r="B81" s="280">
        <v>10.499999999999</v>
      </c>
      <c r="C81" s="280">
        <v>0</v>
      </c>
      <c r="D81" s="281">
        <v>-10.499999999999</v>
      </c>
      <c r="E81" s="282">
        <v>0</v>
      </c>
      <c r="F81" s="280">
        <v>10</v>
      </c>
      <c r="G81" s="281">
        <v>8.333333333333</v>
      </c>
      <c r="H81" s="283">
        <v>2.5299999999999998</v>
      </c>
      <c r="I81" s="280">
        <v>7.59</v>
      </c>
      <c r="J81" s="281">
        <v>-0.743333333333</v>
      </c>
      <c r="K81" s="284">
        <v>0.75900000000000001</v>
      </c>
    </row>
    <row r="82" spans="1:11" ht="14.4" customHeight="1" thickBot="1" x14ac:dyDescent="0.35">
      <c r="A82" s="297" t="s">
        <v>252</v>
      </c>
      <c r="B82" s="275">
        <v>10.499999999999</v>
      </c>
      <c r="C82" s="275">
        <v>0</v>
      </c>
      <c r="D82" s="276">
        <v>-10.499999999999</v>
      </c>
      <c r="E82" s="277">
        <v>0</v>
      </c>
      <c r="F82" s="275">
        <v>10</v>
      </c>
      <c r="G82" s="276">
        <v>8.333333333333</v>
      </c>
      <c r="H82" s="278">
        <v>2.5299999999999998</v>
      </c>
      <c r="I82" s="275">
        <v>7.59</v>
      </c>
      <c r="J82" s="276">
        <v>-0.743333333333</v>
      </c>
      <c r="K82" s="279">
        <v>0.75900000000000001</v>
      </c>
    </row>
    <row r="83" spans="1:11" ht="14.4" customHeight="1" thickBot="1" x14ac:dyDescent="0.35">
      <c r="A83" s="296" t="s">
        <v>253</v>
      </c>
      <c r="B83" s="280">
        <v>0</v>
      </c>
      <c r="C83" s="280">
        <v>-6.2920000000000004E-2</v>
      </c>
      <c r="D83" s="281">
        <v>-6.2920000000000004E-2</v>
      </c>
      <c r="E83" s="285" t="s">
        <v>197</v>
      </c>
      <c r="F83" s="280">
        <v>0</v>
      </c>
      <c r="G83" s="281">
        <v>0</v>
      </c>
      <c r="H83" s="283">
        <v>0</v>
      </c>
      <c r="I83" s="280">
        <v>0</v>
      </c>
      <c r="J83" s="281">
        <v>0</v>
      </c>
      <c r="K83" s="286" t="s">
        <v>178</v>
      </c>
    </row>
    <row r="84" spans="1:11" ht="14.4" customHeight="1" thickBot="1" x14ac:dyDescent="0.35">
      <c r="A84" s="297" t="s">
        <v>254</v>
      </c>
      <c r="B84" s="275">
        <v>0</v>
      </c>
      <c r="C84" s="275">
        <v>-6.2920000000000004E-2</v>
      </c>
      <c r="D84" s="276">
        <v>-6.2920000000000004E-2</v>
      </c>
      <c r="E84" s="287" t="s">
        <v>197</v>
      </c>
      <c r="F84" s="275">
        <v>0</v>
      </c>
      <c r="G84" s="276">
        <v>0</v>
      </c>
      <c r="H84" s="278">
        <v>0</v>
      </c>
      <c r="I84" s="275">
        <v>0</v>
      </c>
      <c r="J84" s="276">
        <v>0</v>
      </c>
      <c r="K84" s="288" t="s">
        <v>178</v>
      </c>
    </row>
    <row r="85" spans="1:11" ht="14.4" customHeight="1" thickBot="1" x14ac:dyDescent="0.35">
      <c r="A85" s="294" t="s">
        <v>255</v>
      </c>
      <c r="B85" s="275">
        <v>48.999810612946</v>
      </c>
      <c r="C85" s="275">
        <v>47.796999999999997</v>
      </c>
      <c r="D85" s="276">
        <v>-1.2028106129459999</v>
      </c>
      <c r="E85" s="277">
        <v>0.97545274975700003</v>
      </c>
      <c r="F85" s="275">
        <v>48.999928258902003</v>
      </c>
      <c r="G85" s="276">
        <v>40.833273549085</v>
      </c>
      <c r="H85" s="278">
        <v>15.954000000000001</v>
      </c>
      <c r="I85" s="275">
        <v>118.9166</v>
      </c>
      <c r="J85" s="276">
        <v>78.083326450914001</v>
      </c>
      <c r="K85" s="279">
        <v>2.426872940949</v>
      </c>
    </row>
    <row r="86" spans="1:11" ht="14.4" customHeight="1" thickBot="1" x14ac:dyDescent="0.35">
      <c r="A86" s="295" t="s">
        <v>256</v>
      </c>
      <c r="B86" s="275">
        <v>48.999810612946</v>
      </c>
      <c r="C86" s="275">
        <v>47.796999999999997</v>
      </c>
      <c r="D86" s="276">
        <v>-1.2028106129459999</v>
      </c>
      <c r="E86" s="277">
        <v>0.97545274975700003</v>
      </c>
      <c r="F86" s="275">
        <v>48.999928258902003</v>
      </c>
      <c r="G86" s="276">
        <v>40.833273549085</v>
      </c>
      <c r="H86" s="278">
        <v>3.984</v>
      </c>
      <c r="I86" s="275">
        <v>39.840000000000003</v>
      </c>
      <c r="J86" s="276">
        <v>-0.99327354908499998</v>
      </c>
      <c r="K86" s="279">
        <v>0.81306241489700004</v>
      </c>
    </row>
    <row r="87" spans="1:11" ht="14.4" customHeight="1" thickBot="1" x14ac:dyDescent="0.35">
      <c r="A87" s="296" t="s">
        <v>257</v>
      </c>
      <c r="B87" s="280">
        <v>48.999810612946</v>
      </c>
      <c r="C87" s="280">
        <v>47.796999999999997</v>
      </c>
      <c r="D87" s="281">
        <v>-1.2028106129459999</v>
      </c>
      <c r="E87" s="282">
        <v>0.97545274975700003</v>
      </c>
      <c r="F87" s="280">
        <v>48.999928258902003</v>
      </c>
      <c r="G87" s="281">
        <v>40.833273549085</v>
      </c>
      <c r="H87" s="283">
        <v>3.984</v>
      </c>
      <c r="I87" s="280">
        <v>39.840000000000003</v>
      </c>
      <c r="J87" s="281">
        <v>-0.99327354908499998</v>
      </c>
      <c r="K87" s="284">
        <v>0.81306241489700004</v>
      </c>
    </row>
    <row r="88" spans="1:11" ht="14.4" customHeight="1" thickBot="1" x14ac:dyDescent="0.35">
      <c r="A88" s="297" t="s">
        <v>258</v>
      </c>
      <c r="B88" s="275">
        <v>2.999880810664</v>
      </c>
      <c r="C88" s="275">
        <v>2.641</v>
      </c>
      <c r="D88" s="276">
        <v>-0.35888081066400002</v>
      </c>
      <c r="E88" s="277">
        <v>0.88036831017100003</v>
      </c>
      <c r="F88" s="275">
        <v>2.9999999055069999</v>
      </c>
      <c r="G88" s="276">
        <v>2.4999999212559998</v>
      </c>
      <c r="H88" s="278">
        <v>0.221</v>
      </c>
      <c r="I88" s="275">
        <v>2.21</v>
      </c>
      <c r="J88" s="276">
        <v>-0.28999992125599999</v>
      </c>
      <c r="K88" s="279">
        <v>0.73666668986899997</v>
      </c>
    </row>
    <row r="89" spans="1:11" ht="14.4" customHeight="1" thickBot="1" x14ac:dyDescent="0.35">
      <c r="A89" s="297" t="s">
        <v>259</v>
      </c>
      <c r="B89" s="275">
        <v>24.00020079498</v>
      </c>
      <c r="C89" s="275">
        <v>23.603999999999999</v>
      </c>
      <c r="D89" s="276">
        <v>-0.39620079497999999</v>
      </c>
      <c r="E89" s="277">
        <v>0.98349177165699997</v>
      </c>
      <c r="F89" s="275">
        <v>24.000200039031</v>
      </c>
      <c r="G89" s="276">
        <v>20.000166699192999</v>
      </c>
      <c r="H89" s="278">
        <v>1.9670000000000001</v>
      </c>
      <c r="I89" s="275">
        <v>19.670000000000002</v>
      </c>
      <c r="J89" s="276">
        <v>-0.33016669919300001</v>
      </c>
      <c r="K89" s="279">
        <v>0.81957650219599998</v>
      </c>
    </row>
    <row r="90" spans="1:11" ht="14.4" customHeight="1" thickBot="1" x14ac:dyDescent="0.35">
      <c r="A90" s="297" t="s">
        <v>260</v>
      </c>
      <c r="B90" s="275">
        <v>21.999729007300999</v>
      </c>
      <c r="C90" s="275">
        <v>21.552</v>
      </c>
      <c r="D90" s="276">
        <v>-0.44772900730100001</v>
      </c>
      <c r="E90" s="277">
        <v>0.97964843079800001</v>
      </c>
      <c r="F90" s="275">
        <v>21.999728314363001</v>
      </c>
      <c r="G90" s="276">
        <v>18.333106928635999</v>
      </c>
      <c r="H90" s="278">
        <v>1.796</v>
      </c>
      <c r="I90" s="275">
        <v>17.96</v>
      </c>
      <c r="J90" s="276">
        <v>-0.373106928635</v>
      </c>
      <c r="K90" s="279">
        <v>0.81637371804600001</v>
      </c>
    </row>
    <row r="91" spans="1:11" ht="14.4" customHeight="1" thickBot="1" x14ac:dyDescent="0.35">
      <c r="A91" s="295" t="s">
        <v>261</v>
      </c>
      <c r="B91" s="275">
        <v>0</v>
      </c>
      <c r="C91" s="275">
        <v>0</v>
      </c>
      <c r="D91" s="276">
        <v>0</v>
      </c>
      <c r="E91" s="287" t="s">
        <v>178</v>
      </c>
      <c r="F91" s="275">
        <v>0</v>
      </c>
      <c r="G91" s="276">
        <v>0</v>
      </c>
      <c r="H91" s="278">
        <v>11.97</v>
      </c>
      <c r="I91" s="275">
        <v>79.076599999999999</v>
      </c>
      <c r="J91" s="276">
        <v>79.076599999999999</v>
      </c>
      <c r="K91" s="288" t="s">
        <v>197</v>
      </c>
    </row>
    <row r="92" spans="1:11" ht="14.4" customHeight="1" thickBot="1" x14ac:dyDescent="0.35">
      <c r="A92" s="296" t="s">
        <v>262</v>
      </c>
      <c r="B92" s="280">
        <v>0</v>
      </c>
      <c r="C92" s="280">
        <v>0</v>
      </c>
      <c r="D92" s="281">
        <v>0</v>
      </c>
      <c r="E92" s="282">
        <v>1</v>
      </c>
      <c r="F92" s="280">
        <v>0</v>
      </c>
      <c r="G92" s="281">
        <v>0</v>
      </c>
      <c r="H92" s="283">
        <v>11.97</v>
      </c>
      <c r="I92" s="280">
        <v>11.97</v>
      </c>
      <c r="J92" s="281">
        <v>11.97</v>
      </c>
      <c r="K92" s="286" t="s">
        <v>197</v>
      </c>
    </row>
    <row r="93" spans="1:11" ht="14.4" customHeight="1" thickBot="1" x14ac:dyDescent="0.35">
      <c r="A93" s="297" t="s">
        <v>263</v>
      </c>
      <c r="B93" s="275">
        <v>0</v>
      </c>
      <c r="C93" s="275">
        <v>0</v>
      </c>
      <c r="D93" s="276">
        <v>0</v>
      </c>
      <c r="E93" s="277">
        <v>1</v>
      </c>
      <c r="F93" s="275">
        <v>0</v>
      </c>
      <c r="G93" s="276">
        <v>0</v>
      </c>
      <c r="H93" s="278">
        <v>11.97</v>
      </c>
      <c r="I93" s="275">
        <v>11.97</v>
      </c>
      <c r="J93" s="276">
        <v>11.97</v>
      </c>
      <c r="K93" s="288" t="s">
        <v>197</v>
      </c>
    </row>
    <row r="94" spans="1:11" ht="14.4" customHeight="1" thickBot="1" x14ac:dyDescent="0.35">
      <c r="A94" s="296" t="s">
        <v>264</v>
      </c>
      <c r="B94" s="280">
        <v>0</v>
      </c>
      <c r="C94" s="280">
        <v>0</v>
      </c>
      <c r="D94" s="281">
        <v>0</v>
      </c>
      <c r="E94" s="282">
        <v>1</v>
      </c>
      <c r="F94" s="280">
        <v>0</v>
      </c>
      <c r="G94" s="281">
        <v>0</v>
      </c>
      <c r="H94" s="283">
        <v>0</v>
      </c>
      <c r="I94" s="280">
        <v>3.0249999999999999</v>
      </c>
      <c r="J94" s="281">
        <v>3.0249999999999999</v>
      </c>
      <c r="K94" s="286" t="s">
        <v>197</v>
      </c>
    </row>
    <row r="95" spans="1:11" ht="14.4" customHeight="1" thickBot="1" x14ac:dyDescent="0.35">
      <c r="A95" s="297" t="s">
        <v>265</v>
      </c>
      <c r="B95" s="275">
        <v>0</v>
      </c>
      <c r="C95" s="275">
        <v>0</v>
      </c>
      <c r="D95" s="276">
        <v>0</v>
      </c>
      <c r="E95" s="277">
        <v>1</v>
      </c>
      <c r="F95" s="275">
        <v>0</v>
      </c>
      <c r="G95" s="276">
        <v>0</v>
      </c>
      <c r="H95" s="278">
        <v>0</v>
      </c>
      <c r="I95" s="275">
        <v>3.0249999999999999</v>
      </c>
      <c r="J95" s="276">
        <v>3.0249999999999999</v>
      </c>
      <c r="K95" s="288" t="s">
        <v>197</v>
      </c>
    </row>
    <row r="96" spans="1:11" ht="14.4" customHeight="1" thickBot="1" x14ac:dyDescent="0.35">
      <c r="A96" s="296" t="s">
        <v>266</v>
      </c>
      <c r="B96" s="280">
        <v>0</v>
      </c>
      <c r="C96" s="280">
        <v>0</v>
      </c>
      <c r="D96" s="281">
        <v>0</v>
      </c>
      <c r="E96" s="282">
        <v>1</v>
      </c>
      <c r="F96" s="280">
        <v>0</v>
      </c>
      <c r="G96" s="281">
        <v>0</v>
      </c>
      <c r="H96" s="283">
        <v>0</v>
      </c>
      <c r="I96" s="280">
        <v>64.081599999999995</v>
      </c>
      <c r="J96" s="281">
        <v>64.081599999999995</v>
      </c>
      <c r="K96" s="286" t="s">
        <v>197</v>
      </c>
    </row>
    <row r="97" spans="1:11" ht="14.4" customHeight="1" thickBot="1" x14ac:dyDescent="0.35">
      <c r="A97" s="297" t="s">
        <v>267</v>
      </c>
      <c r="B97" s="275">
        <v>0</v>
      </c>
      <c r="C97" s="275">
        <v>0</v>
      </c>
      <c r="D97" s="276">
        <v>0</v>
      </c>
      <c r="E97" s="277">
        <v>1</v>
      </c>
      <c r="F97" s="275">
        <v>0</v>
      </c>
      <c r="G97" s="276">
        <v>0</v>
      </c>
      <c r="H97" s="278">
        <v>0</v>
      </c>
      <c r="I97" s="275">
        <v>64.081599999999995</v>
      </c>
      <c r="J97" s="276">
        <v>64.081599999999995</v>
      </c>
      <c r="K97" s="288" t="s">
        <v>197</v>
      </c>
    </row>
    <row r="98" spans="1:11" ht="14.4" customHeight="1" thickBot="1" x14ac:dyDescent="0.35">
      <c r="A98" s="293" t="s">
        <v>268</v>
      </c>
      <c r="B98" s="275">
        <v>0</v>
      </c>
      <c r="C98" s="275">
        <v>0</v>
      </c>
      <c r="D98" s="276">
        <v>0</v>
      </c>
      <c r="E98" s="287" t="s">
        <v>178</v>
      </c>
      <c r="F98" s="275">
        <v>0</v>
      </c>
      <c r="G98" s="276">
        <v>0</v>
      </c>
      <c r="H98" s="278">
        <v>11.97</v>
      </c>
      <c r="I98" s="275">
        <v>12.269</v>
      </c>
      <c r="J98" s="276">
        <v>12.269</v>
      </c>
      <c r="K98" s="288" t="s">
        <v>178</v>
      </c>
    </row>
    <row r="99" spans="1:11" ht="14.4" customHeight="1" thickBot="1" x14ac:dyDescent="0.35">
      <c r="A99" s="294" t="s">
        <v>269</v>
      </c>
      <c r="B99" s="275">
        <v>0</v>
      </c>
      <c r="C99" s="275">
        <v>0</v>
      </c>
      <c r="D99" s="276">
        <v>0</v>
      </c>
      <c r="E99" s="287" t="s">
        <v>178</v>
      </c>
      <c r="F99" s="275">
        <v>0</v>
      </c>
      <c r="G99" s="276">
        <v>0</v>
      </c>
      <c r="H99" s="278">
        <v>11.97</v>
      </c>
      <c r="I99" s="275">
        <v>12.269</v>
      </c>
      <c r="J99" s="276">
        <v>12.269</v>
      </c>
      <c r="K99" s="288" t="s">
        <v>178</v>
      </c>
    </row>
    <row r="100" spans="1:11" ht="14.4" customHeight="1" thickBot="1" x14ac:dyDescent="0.35">
      <c r="A100" s="295" t="s">
        <v>270</v>
      </c>
      <c r="B100" s="275">
        <v>0</v>
      </c>
      <c r="C100" s="275">
        <v>0</v>
      </c>
      <c r="D100" s="276">
        <v>0</v>
      </c>
      <c r="E100" s="287" t="s">
        <v>178</v>
      </c>
      <c r="F100" s="275">
        <v>0</v>
      </c>
      <c r="G100" s="276">
        <v>0</v>
      </c>
      <c r="H100" s="278">
        <v>11.97</v>
      </c>
      <c r="I100" s="275">
        <v>12.269</v>
      </c>
      <c r="J100" s="276">
        <v>12.269</v>
      </c>
      <c r="K100" s="288" t="s">
        <v>197</v>
      </c>
    </row>
    <row r="101" spans="1:11" ht="14.4" customHeight="1" thickBot="1" x14ac:dyDescent="0.35">
      <c r="A101" s="296" t="s">
        <v>271</v>
      </c>
      <c r="B101" s="280">
        <v>0</v>
      </c>
      <c r="C101" s="280">
        <v>0</v>
      </c>
      <c r="D101" s="281">
        <v>0</v>
      </c>
      <c r="E101" s="282">
        <v>1</v>
      </c>
      <c r="F101" s="280">
        <v>0</v>
      </c>
      <c r="G101" s="281">
        <v>0</v>
      </c>
      <c r="H101" s="283">
        <v>11.97</v>
      </c>
      <c r="I101" s="280">
        <v>12.269</v>
      </c>
      <c r="J101" s="281">
        <v>12.269</v>
      </c>
      <c r="K101" s="286" t="s">
        <v>197</v>
      </c>
    </row>
    <row r="102" spans="1:11" ht="14.4" customHeight="1" thickBot="1" x14ac:dyDescent="0.35">
      <c r="A102" s="297" t="s">
        <v>272</v>
      </c>
      <c r="B102" s="275">
        <v>0</v>
      </c>
      <c r="C102" s="275">
        <v>0</v>
      </c>
      <c r="D102" s="276">
        <v>0</v>
      </c>
      <c r="E102" s="277">
        <v>1</v>
      </c>
      <c r="F102" s="275">
        <v>0</v>
      </c>
      <c r="G102" s="276">
        <v>0</v>
      </c>
      <c r="H102" s="278">
        <v>11.97</v>
      </c>
      <c r="I102" s="275">
        <v>12.269</v>
      </c>
      <c r="J102" s="276">
        <v>12.269</v>
      </c>
      <c r="K102" s="288" t="s">
        <v>197</v>
      </c>
    </row>
    <row r="103" spans="1:11" ht="14.4" customHeight="1" thickBot="1" x14ac:dyDescent="0.35">
      <c r="A103" s="293" t="s">
        <v>273</v>
      </c>
      <c r="B103" s="275">
        <v>47.000567054153002</v>
      </c>
      <c r="C103" s="275">
        <v>96.355119999999999</v>
      </c>
      <c r="D103" s="276">
        <v>49.354552945846002</v>
      </c>
      <c r="E103" s="277">
        <v>2.0500842019409999</v>
      </c>
      <c r="F103" s="275">
        <v>63</v>
      </c>
      <c r="G103" s="276">
        <v>52.5</v>
      </c>
      <c r="H103" s="278">
        <v>4.3827999999999996</v>
      </c>
      <c r="I103" s="275">
        <v>207.13532000000001</v>
      </c>
      <c r="J103" s="276">
        <v>154.63532000000001</v>
      </c>
      <c r="K103" s="279">
        <v>3.287862222222</v>
      </c>
    </row>
    <row r="104" spans="1:11" ht="14.4" customHeight="1" thickBot="1" x14ac:dyDescent="0.35">
      <c r="A104" s="298" t="s">
        <v>274</v>
      </c>
      <c r="B104" s="280">
        <v>47.000567054153002</v>
      </c>
      <c r="C104" s="280">
        <v>96.355119999999999</v>
      </c>
      <c r="D104" s="281">
        <v>49.354552945846002</v>
      </c>
      <c r="E104" s="282">
        <v>2.0500842019409999</v>
      </c>
      <c r="F104" s="280">
        <v>63</v>
      </c>
      <c r="G104" s="281">
        <v>52.5</v>
      </c>
      <c r="H104" s="283">
        <v>4.3827999999999996</v>
      </c>
      <c r="I104" s="280">
        <v>207.13532000000001</v>
      </c>
      <c r="J104" s="281">
        <v>154.63532000000001</v>
      </c>
      <c r="K104" s="284">
        <v>3.287862222222</v>
      </c>
    </row>
    <row r="105" spans="1:11" ht="14.4" customHeight="1" thickBot="1" x14ac:dyDescent="0.35">
      <c r="A105" s="300" t="s">
        <v>29</v>
      </c>
      <c r="B105" s="280">
        <v>47.000567054153002</v>
      </c>
      <c r="C105" s="280">
        <v>96.355119999999999</v>
      </c>
      <c r="D105" s="281">
        <v>49.354552945846002</v>
      </c>
      <c r="E105" s="282">
        <v>2.0500842019409999</v>
      </c>
      <c r="F105" s="280">
        <v>63</v>
      </c>
      <c r="G105" s="281">
        <v>52.5</v>
      </c>
      <c r="H105" s="283">
        <v>4.3827999999999996</v>
      </c>
      <c r="I105" s="280">
        <v>207.13532000000001</v>
      </c>
      <c r="J105" s="281">
        <v>154.63532000000001</v>
      </c>
      <c r="K105" s="284">
        <v>3.287862222222</v>
      </c>
    </row>
    <row r="106" spans="1:11" ht="14.4" customHeight="1" thickBot="1" x14ac:dyDescent="0.35">
      <c r="A106" s="296" t="s">
        <v>275</v>
      </c>
      <c r="B106" s="280">
        <v>4.0005670541529996</v>
      </c>
      <c r="C106" s="280">
        <v>0.44350000000000001</v>
      </c>
      <c r="D106" s="281">
        <v>-3.5570670541529998</v>
      </c>
      <c r="E106" s="282">
        <v>0.110859284195</v>
      </c>
      <c r="F106" s="280">
        <v>0</v>
      </c>
      <c r="G106" s="281">
        <v>0</v>
      </c>
      <c r="H106" s="283">
        <v>7.3499999999999996E-2</v>
      </c>
      <c r="I106" s="280">
        <v>2.5792999999999999</v>
      </c>
      <c r="J106" s="281">
        <v>2.5792999999999999</v>
      </c>
      <c r="K106" s="286" t="s">
        <v>178</v>
      </c>
    </row>
    <row r="107" spans="1:11" ht="14.4" customHeight="1" thickBot="1" x14ac:dyDescent="0.35">
      <c r="A107" s="297" t="s">
        <v>276</v>
      </c>
      <c r="B107" s="275">
        <v>4.0005670541529996</v>
      </c>
      <c r="C107" s="275">
        <v>0.44350000000000001</v>
      </c>
      <c r="D107" s="276">
        <v>-3.5570670541529998</v>
      </c>
      <c r="E107" s="277">
        <v>0.110859284195</v>
      </c>
      <c r="F107" s="275">
        <v>0</v>
      </c>
      <c r="G107" s="276">
        <v>0</v>
      </c>
      <c r="H107" s="278">
        <v>0</v>
      </c>
      <c r="I107" s="275">
        <v>0</v>
      </c>
      <c r="J107" s="276">
        <v>0</v>
      </c>
      <c r="K107" s="288" t="s">
        <v>178</v>
      </c>
    </row>
    <row r="108" spans="1:11" ht="14.4" customHeight="1" thickBot="1" x14ac:dyDescent="0.35">
      <c r="A108" s="297" t="s">
        <v>277</v>
      </c>
      <c r="B108" s="275">
        <v>0</v>
      </c>
      <c r="C108" s="275">
        <v>0</v>
      </c>
      <c r="D108" s="276">
        <v>0</v>
      </c>
      <c r="E108" s="277">
        <v>1</v>
      </c>
      <c r="F108" s="275">
        <v>0</v>
      </c>
      <c r="G108" s="276">
        <v>0</v>
      </c>
      <c r="H108" s="278">
        <v>0</v>
      </c>
      <c r="I108" s="275">
        <v>2.5057999999999998</v>
      </c>
      <c r="J108" s="276">
        <v>2.5057999999999998</v>
      </c>
      <c r="K108" s="288" t="s">
        <v>178</v>
      </c>
    </row>
    <row r="109" spans="1:11" ht="14.4" customHeight="1" thickBot="1" x14ac:dyDescent="0.35">
      <c r="A109" s="297" t="s">
        <v>278</v>
      </c>
      <c r="B109" s="275">
        <v>0</v>
      </c>
      <c r="C109" s="275">
        <v>0</v>
      </c>
      <c r="D109" s="276">
        <v>0</v>
      </c>
      <c r="E109" s="277">
        <v>1</v>
      </c>
      <c r="F109" s="275">
        <v>0</v>
      </c>
      <c r="G109" s="276">
        <v>0</v>
      </c>
      <c r="H109" s="278">
        <v>7.3499999999999996E-2</v>
      </c>
      <c r="I109" s="275">
        <v>7.3499999999999996E-2</v>
      </c>
      <c r="J109" s="276">
        <v>7.3499999999999996E-2</v>
      </c>
      <c r="K109" s="288" t="s">
        <v>197</v>
      </c>
    </row>
    <row r="110" spans="1:11" ht="14.4" customHeight="1" thickBot="1" x14ac:dyDescent="0.35">
      <c r="A110" s="296" t="s">
        <v>279</v>
      </c>
      <c r="B110" s="280">
        <v>43</v>
      </c>
      <c r="C110" s="280">
        <v>37.584719999999997</v>
      </c>
      <c r="D110" s="281">
        <v>-5.4152800000000001</v>
      </c>
      <c r="E110" s="282">
        <v>0.87406325581300004</v>
      </c>
      <c r="F110" s="280">
        <v>63</v>
      </c>
      <c r="G110" s="281">
        <v>52.5</v>
      </c>
      <c r="H110" s="283">
        <v>4.3093000000000004</v>
      </c>
      <c r="I110" s="280">
        <v>44.074779999999997</v>
      </c>
      <c r="J110" s="281">
        <v>-8.4252199999989994</v>
      </c>
      <c r="K110" s="284">
        <v>0.69959968253899996</v>
      </c>
    </row>
    <row r="111" spans="1:11" ht="14.4" customHeight="1" thickBot="1" x14ac:dyDescent="0.35">
      <c r="A111" s="297" t="s">
        <v>280</v>
      </c>
      <c r="B111" s="275">
        <v>43</v>
      </c>
      <c r="C111" s="275">
        <v>37.584719999999997</v>
      </c>
      <c r="D111" s="276">
        <v>-5.4152800000000001</v>
      </c>
      <c r="E111" s="277">
        <v>0.87406325581300004</v>
      </c>
      <c r="F111" s="275">
        <v>63</v>
      </c>
      <c r="G111" s="276">
        <v>52.5</v>
      </c>
      <c r="H111" s="278">
        <v>4.3093000000000004</v>
      </c>
      <c r="I111" s="275">
        <v>44.074779999999997</v>
      </c>
      <c r="J111" s="276">
        <v>-8.4252199999989994</v>
      </c>
      <c r="K111" s="279">
        <v>0.69959968253899996</v>
      </c>
    </row>
    <row r="112" spans="1:11" ht="14.4" customHeight="1" thickBot="1" x14ac:dyDescent="0.35">
      <c r="A112" s="296" t="s">
        <v>281</v>
      </c>
      <c r="B112" s="280">
        <v>0</v>
      </c>
      <c r="C112" s="280">
        <v>58.326900000000002</v>
      </c>
      <c r="D112" s="281">
        <v>58.326900000000002</v>
      </c>
      <c r="E112" s="285" t="s">
        <v>197</v>
      </c>
      <c r="F112" s="280">
        <v>0</v>
      </c>
      <c r="G112" s="281">
        <v>0</v>
      </c>
      <c r="H112" s="283">
        <v>0</v>
      </c>
      <c r="I112" s="280">
        <v>160.48124000000001</v>
      </c>
      <c r="J112" s="281">
        <v>160.48124000000001</v>
      </c>
      <c r="K112" s="286" t="s">
        <v>178</v>
      </c>
    </row>
    <row r="113" spans="1:11" ht="14.4" customHeight="1" thickBot="1" x14ac:dyDescent="0.35">
      <c r="A113" s="297" t="s">
        <v>282</v>
      </c>
      <c r="B113" s="275">
        <v>0</v>
      </c>
      <c r="C113" s="275">
        <v>58.326900000000002</v>
      </c>
      <c r="D113" s="276">
        <v>58.326900000000002</v>
      </c>
      <c r="E113" s="287" t="s">
        <v>197</v>
      </c>
      <c r="F113" s="275">
        <v>0</v>
      </c>
      <c r="G113" s="276">
        <v>0</v>
      </c>
      <c r="H113" s="278">
        <v>0</v>
      </c>
      <c r="I113" s="275">
        <v>160.48124000000001</v>
      </c>
      <c r="J113" s="276">
        <v>160.48124000000001</v>
      </c>
      <c r="K113" s="288" t="s">
        <v>178</v>
      </c>
    </row>
    <row r="114" spans="1:11" ht="14.4" customHeight="1" thickBot="1" x14ac:dyDescent="0.35">
      <c r="A114" s="301" t="s">
        <v>283</v>
      </c>
      <c r="B114" s="280">
        <v>2659.2460000000001</v>
      </c>
      <c r="C114" s="280">
        <v>2631.8418700000002</v>
      </c>
      <c r="D114" s="281">
        <v>-27.404129999999</v>
      </c>
      <c r="E114" s="282">
        <v>0.98969477438300002</v>
      </c>
      <c r="F114" s="280">
        <v>3546</v>
      </c>
      <c r="G114" s="281">
        <v>2955</v>
      </c>
      <c r="H114" s="283">
        <v>250.97941</v>
      </c>
      <c r="I114" s="280">
        <v>2566.1152299999999</v>
      </c>
      <c r="J114" s="281">
        <v>-388.88477</v>
      </c>
      <c r="K114" s="284">
        <v>0.72366475747299996</v>
      </c>
    </row>
    <row r="115" spans="1:11" ht="14.4" customHeight="1" thickBot="1" x14ac:dyDescent="0.35">
      <c r="A115" s="298" t="s">
        <v>284</v>
      </c>
      <c r="B115" s="280">
        <v>2659.2460000000001</v>
      </c>
      <c r="C115" s="280">
        <v>2631.8418700000002</v>
      </c>
      <c r="D115" s="281">
        <v>-27.404129999999</v>
      </c>
      <c r="E115" s="282">
        <v>0.98969477438300002</v>
      </c>
      <c r="F115" s="280">
        <v>3546</v>
      </c>
      <c r="G115" s="281">
        <v>2955</v>
      </c>
      <c r="H115" s="283">
        <v>250.97941</v>
      </c>
      <c r="I115" s="280">
        <v>2566.1152299999999</v>
      </c>
      <c r="J115" s="281">
        <v>-388.88477</v>
      </c>
      <c r="K115" s="284">
        <v>0.72366475747299996</v>
      </c>
    </row>
    <row r="116" spans="1:11" ht="14.4" customHeight="1" thickBot="1" x14ac:dyDescent="0.35">
      <c r="A116" s="300" t="s">
        <v>285</v>
      </c>
      <c r="B116" s="280">
        <v>2659.2460000000001</v>
      </c>
      <c r="C116" s="280">
        <v>2631.8418700000002</v>
      </c>
      <c r="D116" s="281">
        <v>-27.404129999999</v>
      </c>
      <c r="E116" s="282">
        <v>0.98969477438300002</v>
      </c>
      <c r="F116" s="280">
        <v>3546</v>
      </c>
      <c r="G116" s="281">
        <v>2955</v>
      </c>
      <c r="H116" s="283">
        <v>250.97941</v>
      </c>
      <c r="I116" s="280">
        <v>2566.1152299999999</v>
      </c>
      <c r="J116" s="281">
        <v>-388.88477</v>
      </c>
      <c r="K116" s="284">
        <v>0.72366475747299996</v>
      </c>
    </row>
    <row r="117" spans="1:11" ht="14.4" customHeight="1" thickBot="1" x14ac:dyDescent="0.35">
      <c r="A117" s="296" t="s">
        <v>286</v>
      </c>
      <c r="B117" s="280">
        <v>2659.2460000000001</v>
      </c>
      <c r="C117" s="280">
        <v>2631.8418700000002</v>
      </c>
      <c r="D117" s="281">
        <v>-27.404129999999</v>
      </c>
      <c r="E117" s="282">
        <v>0.98969477438300002</v>
      </c>
      <c r="F117" s="280">
        <v>3546</v>
      </c>
      <c r="G117" s="281">
        <v>2955</v>
      </c>
      <c r="H117" s="283">
        <v>250.97941</v>
      </c>
      <c r="I117" s="280">
        <v>2566.1152299999999</v>
      </c>
      <c r="J117" s="281">
        <v>-388.88477</v>
      </c>
      <c r="K117" s="284">
        <v>0.72366475747299996</v>
      </c>
    </row>
    <row r="118" spans="1:11" ht="14.4" customHeight="1" thickBot="1" x14ac:dyDescent="0.35">
      <c r="A118" s="297" t="s">
        <v>287</v>
      </c>
      <c r="B118" s="275">
        <v>2659.2460000000001</v>
      </c>
      <c r="C118" s="275">
        <v>2631.8418700000002</v>
      </c>
      <c r="D118" s="276">
        <v>-27.404129999999</v>
      </c>
      <c r="E118" s="277">
        <v>0.98969477438300002</v>
      </c>
      <c r="F118" s="275">
        <v>3546</v>
      </c>
      <c r="G118" s="276">
        <v>2955</v>
      </c>
      <c r="H118" s="278">
        <v>250.97941</v>
      </c>
      <c r="I118" s="275">
        <v>2566.1152299999999</v>
      </c>
      <c r="J118" s="276">
        <v>-388.88477</v>
      </c>
      <c r="K118" s="279">
        <v>0.72366475747299996</v>
      </c>
    </row>
    <row r="119" spans="1:11" ht="14.4" customHeight="1" thickBot="1" x14ac:dyDescent="0.35">
      <c r="A119" s="302"/>
      <c r="B119" s="275">
        <v>-3.5579181699999998E-4</v>
      </c>
      <c r="C119" s="275">
        <v>-30.361930000000001</v>
      </c>
      <c r="D119" s="276">
        <v>-30.361574208183001</v>
      </c>
      <c r="E119" s="277">
        <v>85336.2233180732</v>
      </c>
      <c r="F119" s="275">
        <v>-0.413938869323</v>
      </c>
      <c r="G119" s="276">
        <v>-0.34494905776899998</v>
      </c>
      <c r="H119" s="278">
        <v>1E-3</v>
      </c>
      <c r="I119" s="275">
        <v>9.9999999900000002E-4</v>
      </c>
      <c r="J119" s="276">
        <v>0.34594905776899998</v>
      </c>
      <c r="K119" s="279">
        <v>-2.415815652E-3</v>
      </c>
    </row>
    <row r="120" spans="1:11" ht="14.4" customHeight="1" thickBot="1" x14ac:dyDescent="0.35">
      <c r="A120" s="303" t="s">
        <v>41</v>
      </c>
      <c r="B120" s="289">
        <v>-3.5579181699999998E-4</v>
      </c>
      <c r="C120" s="289">
        <v>-30.361930000000001</v>
      </c>
      <c r="D120" s="290">
        <v>-30.361574208183001</v>
      </c>
      <c r="E120" s="291" t="s">
        <v>178</v>
      </c>
      <c r="F120" s="289">
        <v>-0.413938869323</v>
      </c>
      <c r="G120" s="290">
        <v>-0.34494905776899998</v>
      </c>
      <c r="H120" s="289">
        <v>1E-3</v>
      </c>
      <c r="I120" s="289">
        <v>9.9999999900000002E-4</v>
      </c>
      <c r="J120" s="290">
        <v>0.345949057768</v>
      </c>
      <c r="K120" s="292">
        <v>-2.415815651E-3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59" customWidth="1"/>
    <col min="2" max="2" width="61.109375" style="159" customWidth="1"/>
    <col min="3" max="3" width="9.5546875" style="93" customWidth="1"/>
    <col min="4" max="4" width="9.5546875" style="160" customWidth="1"/>
    <col min="5" max="5" width="2.21875" style="160" customWidth="1"/>
    <col min="6" max="6" width="9.5546875" style="161" customWidth="1"/>
    <col min="7" max="7" width="9.5546875" style="158" customWidth="1"/>
    <col min="8" max="9" width="9.5546875" style="93" customWidth="1"/>
    <col min="10" max="10" width="0" style="93" hidden="1" customWidth="1"/>
    <col min="11" max="16384" width="8.88671875" style="93"/>
  </cols>
  <sheetData>
    <row r="1" spans="1:10" ht="18.600000000000001" customHeight="1" thickBot="1" x14ac:dyDescent="0.4">
      <c r="A1" s="269" t="s">
        <v>63</v>
      </c>
      <c r="B1" s="270"/>
      <c r="C1" s="270"/>
      <c r="D1" s="270"/>
      <c r="E1" s="270"/>
      <c r="F1" s="270"/>
      <c r="G1" s="241"/>
      <c r="H1" s="271"/>
      <c r="I1" s="271"/>
    </row>
    <row r="2" spans="1:10" ht="14.4" customHeight="1" thickBot="1" x14ac:dyDescent="0.35">
      <c r="A2" s="166" t="s">
        <v>177</v>
      </c>
      <c r="B2" s="157"/>
      <c r="C2" s="157"/>
      <c r="D2" s="157"/>
      <c r="E2" s="157"/>
      <c r="F2" s="157"/>
    </row>
    <row r="3" spans="1:10" ht="14.4" customHeight="1" thickBot="1" x14ac:dyDescent="0.35">
      <c r="A3" s="166"/>
      <c r="B3" s="157"/>
      <c r="C3" s="224">
        <v>2013</v>
      </c>
      <c r="D3" s="225">
        <v>2014</v>
      </c>
      <c r="E3" s="7"/>
      <c r="F3" s="264">
        <v>2015</v>
      </c>
      <c r="G3" s="265"/>
      <c r="H3" s="265"/>
      <c r="I3" s="266"/>
    </row>
    <row r="4" spans="1:10" ht="14.4" customHeight="1" thickBot="1" x14ac:dyDescent="0.35">
      <c r="A4" s="229" t="s">
        <v>0</v>
      </c>
      <c r="B4" s="230" t="s">
        <v>153</v>
      </c>
      <c r="C4" s="267" t="s">
        <v>45</v>
      </c>
      <c r="D4" s="268"/>
      <c r="E4" s="231"/>
      <c r="F4" s="226" t="s">
        <v>45</v>
      </c>
      <c r="G4" s="227" t="s">
        <v>46</v>
      </c>
      <c r="H4" s="227" t="s">
        <v>43</v>
      </c>
      <c r="I4" s="228" t="s">
        <v>47</v>
      </c>
    </row>
    <row r="5" spans="1:10" ht="14.4" customHeight="1" x14ac:dyDescent="0.3">
      <c r="A5" s="304" t="s">
        <v>288</v>
      </c>
      <c r="B5" s="305" t="s">
        <v>289</v>
      </c>
      <c r="C5" s="306" t="s">
        <v>290</v>
      </c>
      <c r="D5" s="306" t="s">
        <v>290</v>
      </c>
      <c r="E5" s="306"/>
      <c r="F5" s="306" t="s">
        <v>290</v>
      </c>
      <c r="G5" s="306" t="s">
        <v>290</v>
      </c>
      <c r="H5" s="306" t="s">
        <v>290</v>
      </c>
      <c r="I5" s="307" t="s">
        <v>290</v>
      </c>
      <c r="J5" s="308" t="s">
        <v>44</v>
      </c>
    </row>
    <row r="6" spans="1:10" ht="14.4" customHeight="1" x14ac:dyDescent="0.3">
      <c r="A6" s="304" t="s">
        <v>288</v>
      </c>
      <c r="B6" s="305" t="s">
        <v>291</v>
      </c>
      <c r="C6" s="306">
        <v>103.776</v>
      </c>
      <c r="D6" s="306" t="s">
        <v>290</v>
      </c>
      <c r="E6" s="306"/>
      <c r="F6" s="306" t="s">
        <v>290</v>
      </c>
      <c r="G6" s="306" t="s">
        <v>290</v>
      </c>
      <c r="H6" s="306" t="s">
        <v>290</v>
      </c>
      <c r="I6" s="307" t="s">
        <v>290</v>
      </c>
      <c r="J6" s="308" t="s">
        <v>1</v>
      </c>
    </row>
    <row r="7" spans="1:10" ht="14.4" customHeight="1" x14ac:dyDescent="0.3">
      <c r="A7" s="304" t="s">
        <v>288</v>
      </c>
      <c r="B7" s="305" t="s">
        <v>186</v>
      </c>
      <c r="C7" s="306" t="s">
        <v>290</v>
      </c>
      <c r="D7" s="306">
        <v>103.58110000000001</v>
      </c>
      <c r="E7" s="306"/>
      <c r="F7" s="306">
        <v>0</v>
      </c>
      <c r="G7" s="306">
        <v>87.499997243961673</v>
      </c>
      <c r="H7" s="306">
        <v>-87.499997243961673</v>
      </c>
      <c r="I7" s="307">
        <v>0</v>
      </c>
      <c r="J7" s="308" t="s">
        <v>1</v>
      </c>
    </row>
    <row r="8" spans="1:10" ht="14.4" customHeight="1" x14ac:dyDescent="0.3">
      <c r="A8" s="304" t="s">
        <v>288</v>
      </c>
      <c r="B8" s="305" t="s">
        <v>292</v>
      </c>
      <c r="C8" s="306">
        <v>103.776</v>
      </c>
      <c r="D8" s="306">
        <v>103.58110000000001</v>
      </c>
      <c r="E8" s="306"/>
      <c r="F8" s="306">
        <v>0</v>
      </c>
      <c r="G8" s="306">
        <v>87.499997243961673</v>
      </c>
      <c r="H8" s="306">
        <v>-87.499997243961673</v>
      </c>
      <c r="I8" s="307">
        <v>0</v>
      </c>
      <c r="J8" s="308" t="s">
        <v>293</v>
      </c>
    </row>
    <row r="10" spans="1:10" ht="14.4" customHeight="1" x14ac:dyDescent="0.3">
      <c r="A10" s="304" t="s">
        <v>288</v>
      </c>
      <c r="B10" s="305" t="s">
        <v>289</v>
      </c>
      <c r="C10" s="306" t="s">
        <v>290</v>
      </c>
      <c r="D10" s="306" t="s">
        <v>290</v>
      </c>
      <c r="E10" s="306"/>
      <c r="F10" s="306" t="s">
        <v>290</v>
      </c>
      <c r="G10" s="306" t="s">
        <v>290</v>
      </c>
      <c r="H10" s="306" t="s">
        <v>290</v>
      </c>
      <c r="I10" s="307" t="s">
        <v>290</v>
      </c>
      <c r="J10" s="308" t="s">
        <v>44</v>
      </c>
    </row>
    <row r="11" spans="1:10" ht="14.4" customHeight="1" x14ac:dyDescent="0.3">
      <c r="A11" s="304" t="s">
        <v>294</v>
      </c>
      <c r="B11" s="305" t="s">
        <v>295</v>
      </c>
      <c r="C11" s="306" t="s">
        <v>290</v>
      </c>
      <c r="D11" s="306" t="s">
        <v>290</v>
      </c>
      <c r="E11" s="306"/>
      <c r="F11" s="306" t="s">
        <v>290</v>
      </c>
      <c r="G11" s="306" t="s">
        <v>290</v>
      </c>
      <c r="H11" s="306" t="s">
        <v>290</v>
      </c>
      <c r="I11" s="307" t="s">
        <v>290</v>
      </c>
      <c r="J11" s="308" t="s">
        <v>0</v>
      </c>
    </row>
    <row r="12" spans="1:10" ht="14.4" customHeight="1" x14ac:dyDescent="0.3">
      <c r="A12" s="304" t="s">
        <v>294</v>
      </c>
      <c r="B12" s="305" t="s">
        <v>291</v>
      </c>
      <c r="C12" s="306">
        <v>103.776</v>
      </c>
      <c r="D12" s="306" t="s">
        <v>290</v>
      </c>
      <c r="E12" s="306"/>
      <c r="F12" s="306" t="s">
        <v>290</v>
      </c>
      <c r="G12" s="306" t="s">
        <v>290</v>
      </c>
      <c r="H12" s="306" t="s">
        <v>290</v>
      </c>
      <c r="I12" s="307" t="s">
        <v>290</v>
      </c>
      <c r="J12" s="308" t="s">
        <v>1</v>
      </c>
    </row>
    <row r="13" spans="1:10" ht="14.4" customHeight="1" x14ac:dyDescent="0.3">
      <c r="A13" s="304" t="s">
        <v>294</v>
      </c>
      <c r="B13" s="305" t="s">
        <v>186</v>
      </c>
      <c r="C13" s="306" t="s">
        <v>290</v>
      </c>
      <c r="D13" s="306">
        <v>103.58110000000001</v>
      </c>
      <c r="E13" s="306"/>
      <c r="F13" s="306">
        <v>0</v>
      </c>
      <c r="G13" s="306">
        <v>87.499997243961673</v>
      </c>
      <c r="H13" s="306">
        <v>-87.499997243961673</v>
      </c>
      <c r="I13" s="307">
        <v>0</v>
      </c>
      <c r="J13" s="308" t="s">
        <v>1</v>
      </c>
    </row>
    <row r="14" spans="1:10" ht="14.4" customHeight="1" x14ac:dyDescent="0.3">
      <c r="A14" s="304" t="s">
        <v>294</v>
      </c>
      <c r="B14" s="305" t="s">
        <v>296</v>
      </c>
      <c r="C14" s="306">
        <v>103.776</v>
      </c>
      <c r="D14" s="306">
        <v>103.58110000000001</v>
      </c>
      <c r="E14" s="306"/>
      <c r="F14" s="306">
        <v>0</v>
      </c>
      <c r="G14" s="306">
        <v>87.499997243961673</v>
      </c>
      <c r="H14" s="306">
        <v>-87.499997243961673</v>
      </c>
      <c r="I14" s="307">
        <v>0</v>
      </c>
      <c r="J14" s="308" t="s">
        <v>297</v>
      </c>
    </row>
    <row r="15" spans="1:10" ht="14.4" customHeight="1" x14ac:dyDescent="0.3">
      <c r="A15" s="304" t="s">
        <v>290</v>
      </c>
      <c r="B15" s="305" t="s">
        <v>290</v>
      </c>
      <c r="C15" s="306" t="s">
        <v>290</v>
      </c>
      <c r="D15" s="306" t="s">
        <v>290</v>
      </c>
      <c r="E15" s="306"/>
      <c r="F15" s="306" t="s">
        <v>290</v>
      </c>
      <c r="G15" s="306" t="s">
        <v>290</v>
      </c>
      <c r="H15" s="306" t="s">
        <v>290</v>
      </c>
      <c r="I15" s="307" t="s">
        <v>290</v>
      </c>
      <c r="J15" s="308" t="s">
        <v>298</v>
      </c>
    </row>
    <row r="16" spans="1:10" ht="14.4" customHeight="1" x14ac:dyDescent="0.3">
      <c r="A16" s="304" t="s">
        <v>288</v>
      </c>
      <c r="B16" s="305" t="s">
        <v>292</v>
      </c>
      <c r="C16" s="306">
        <v>103.776</v>
      </c>
      <c r="D16" s="306">
        <v>103.58110000000001</v>
      </c>
      <c r="E16" s="306"/>
      <c r="F16" s="306">
        <v>0</v>
      </c>
      <c r="G16" s="306">
        <v>87.499997243961673</v>
      </c>
      <c r="H16" s="306">
        <v>-87.499997243961673</v>
      </c>
      <c r="I16" s="307">
        <v>0</v>
      </c>
      <c r="J16" s="308" t="s">
        <v>293</v>
      </c>
    </row>
  </sheetData>
  <mergeCells count="3">
    <mergeCell ref="A1:I1"/>
    <mergeCell ref="F3:I3"/>
    <mergeCell ref="C4:D4"/>
  </mergeCells>
  <conditionalFormatting sqref="F9 F17:F65537">
    <cfRule type="cellIs" dxfId="19" priority="18" stopIfTrue="1" operator="greaterThan">
      <formula>1</formula>
    </cfRule>
  </conditionalFormatting>
  <conditionalFormatting sqref="H5:H8">
    <cfRule type="expression" dxfId="18" priority="14">
      <formula>$H5&gt;0</formula>
    </cfRule>
  </conditionalFormatting>
  <conditionalFormatting sqref="I5:I8">
    <cfRule type="expression" dxfId="17" priority="15">
      <formula>$I5&gt;1</formula>
    </cfRule>
  </conditionalFormatting>
  <conditionalFormatting sqref="B5:B8">
    <cfRule type="expression" dxfId="16" priority="11">
      <formula>OR($J5="NS",$J5="SumaNS",$J5="Účet")</formula>
    </cfRule>
  </conditionalFormatting>
  <conditionalFormatting sqref="F5:I8 B5:D8">
    <cfRule type="expression" dxfId="15" priority="17">
      <formula>AND($J5&lt;&gt;"",$J5&lt;&gt;"mezeraKL")</formula>
    </cfRule>
  </conditionalFormatting>
  <conditionalFormatting sqref="B5:D8 F5:I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8 F5:I8">
    <cfRule type="expression" dxfId="13" priority="13">
      <formula>OR($J5="SumaNS",$J5="NS")</formula>
    </cfRule>
  </conditionalFormatting>
  <conditionalFormatting sqref="A5:A8">
    <cfRule type="expression" dxfId="12" priority="9">
      <formula>AND($J5&lt;&gt;"mezeraKL",$J5&lt;&gt;"")</formula>
    </cfRule>
  </conditionalFormatting>
  <conditionalFormatting sqref="A5:A8">
    <cfRule type="expression" dxfId="11" priority="10">
      <formula>AND($J5&lt;&gt;"",$J5&lt;&gt;"mezeraKL")</formula>
    </cfRule>
  </conditionalFormatting>
  <conditionalFormatting sqref="H10:H16">
    <cfRule type="expression" dxfId="10" priority="5">
      <formula>$H10&gt;0</formula>
    </cfRule>
  </conditionalFormatting>
  <conditionalFormatting sqref="A10:A16">
    <cfRule type="expression" dxfId="9" priority="2">
      <formula>AND($J10&lt;&gt;"mezeraKL",$J10&lt;&gt;"")</formula>
    </cfRule>
  </conditionalFormatting>
  <conditionalFormatting sqref="I10:I16">
    <cfRule type="expression" dxfId="8" priority="6">
      <formula>$I10&gt;1</formula>
    </cfRule>
  </conditionalFormatting>
  <conditionalFormatting sqref="B10:B16">
    <cfRule type="expression" dxfId="7" priority="1">
      <formula>OR($J10="NS",$J10="SumaNS",$J10="Účet")</formula>
    </cfRule>
  </conditionalFormatting>
  <conditionalFormatting sqref="A10:D16 F10:I16">
    <cfRule type="expression" dxfId="6" priority="8">
      <formula>AND($J10&lt;&gt;"",$J10&lt;&gt;"mezeraKL")</formula>
    </cfRule>
  </conditionalFormatting>
  <conditionalFormatting sqref="B10:D16 F10:I16">
    <cfRule type="expression" dxfId="5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4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33" width="13.109375" hidden="1" customWidth="1"/>
    <col min="34" max="34" width="13.109375" customWidth="1"/>
  </cols>
  <sheetData>
    <row r="1" spans="1:35" ht="18.600000000000001" thickBot="1" x14ac:dyDescent="0.4">
      <c r="A1" s="272" t="s">
        <v>51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</row>
    <row r="2" spans="1:35" ht="15" thickBot="1" x14ac:dyDescent="0.35">
      <c r="A2" s="166" t="s">
        <v>177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</row>
    <row r="3" spans="1:35" x14ac:dyDescent="0.3">
      <c r="A3" s="185" t="s">
        <v>114</v>
      </c>
      <c r="B3" s="273" t="s">
        <v>95</v>
      </c>
      <c r="C3" s="168">
        <v>0</v>
      </c>
      <c r="D3" s="169">
        <v>101</v>
      </c>
      <c r="E3" s="169">
        <v>102</v>
      </c>
      <c r="F3" s="188">
        <v>305</v>
      </c>
      <c r="G3" s="188">
        <v>306</v>
      </c>
      <c r="H3" s="188">
        <v>407</v>
      </c>
      <c r="I3" s="188">
        <v>408</v>
      </c>
      <c r="J3" s="188">
        <v>409</v>
      </c>
      <c r="K3" s="188">
        <v>410</v>
      </c>
      <c r="L3" s="188">
        <v>415</v>
      </c>
      <c r="M3" s="188">
        <v>416</v>
      </c>
      <c r="N3" s="188">
        <v>418</v>
      </c>
      <c r="O3" s="188">
        <v>419</v>
      </c>
      <c r="P3" s="188">
        <v>420</v>
      </c>
      <c r="Q3" s="188">
        <v>421</v>
      </c>
      <c r="R3" s="188">
        <v>522</v>
      </c>
      <c r="S3" s="188">
        <v>523</v>
      </c>
      <c r="T3" s="188">
        <v>524</v>
      </c>
      <c r="U3" s="188">
        <v>525</v>
      </c>
      <c r="V3" s="188">
        <v>526</v>
      </c>
      <c r="W3" s="188">
        <v>527</v>
      </c>
      <c r="X3" s="188">
        <v>528</v>
      </c>
      <c r="Y3" s="188">
        <v>629</v>
      </c>
      <c r="Z3" s="188">
        <v>630</v>
      </c>
      <c r="AA3" s="188">
        <v>636</v>
      </c>
      <c r="AB3" s="188">
        <v>637</v>
      </c>
      <c r="AC3" s="188">
        <v>640</v>
      </c>
      <c r="AD3" s="188">
        <v>642</v>
      </c>
      <c r="AE3" s="188">
        <v>743</v>
      </c>
      <c r="AF3" s="169">
        <v>745</v>
      </c>
      <c r="AG3" s="169">
        <v>746</v>
      </c>
      <c r="AH3" s="318">
        <v>930</v>
      </c>
      <c r="AI3" s="334"/>
    </row>
    <row r="4" spans="1:35" ht="36.6" outlineLevel="1" thickBot="1" x14ac:dyDescent="0.35">
      <c r="A4" s="186">
        <v>2015</v>
      </c>
      <c r="B4" s="274"/>
      <c r="C4" s="170" t="s">
        <v>96</v>
      </c>
      <c r="D4" s="171" t="s">
        <v>97</v>
      </c>
      <c r="E4" s="171" t="s">
        <v>98</v>
      </c>
      <c r="F4" s="189" t="s">
        <v>126</v>
      </c>
      <c r="G4" s="189" t="s">
        <v>127</v>
      </c>
      <c r="H4" s="189" t="s">
        <v>176</v>
      </c>
      <c r="I4" s="189" t="s">
        <v>128</v>
      </c>
      <c r="J4" s="189" t="s">
        <v>129</v>
      </c>
      <c r="K4" s="189" t="s">
        <v>130</v>
      </c>
      <c r="L4" s="189" t="s">
        <v>131</v>
      </c>
      <c r="M4" s="189" t="s">
        <v>132</v>
      </c>
      <c r="N4" s="189" t="s">
        <v>133</v>
      </c>
      <c r="O4" s="189" t="s">
        <v>134</v>
      </c>
      <c r="P4" s="189" t="s">
        <v>135</v>
      </c>
      <c r="Q4" s="189" t="s">
        <v>136</v>
      </c>
      <c r="R4" s="189" t="s">
        <v>137</v>
      </c>
      <c r="S4" s="189" t="s">
        <v>138</v>
      </c>
      <c r="T4" s="189" t="s">
        <v>139</v>
      </c>
      <c r="U4" s="189" t="s">
        <v>140</v>
      </c>
      <c r="V4" s="189" t="s">
        <v>141</v>
      </c>
      <c r="W4" s="189" t="s">
        <v>142</v>
      </c>
      <c r="X4" s="189" t="s">
        <v>151</v>
      </c>
      <c r="Y4" s="189" t="s">
        <v>143</v>
      </c>
      <c r="Z4" s="189" t="s">
        <v>152</v>
      </c>
      <c r="AA4" s="189" t="s">
        <v>144</v>
      </c>
      <c r="AB4" s="189" t="s">
        <v>145</v>
      </c>
      <c r="AC4" s="189" t="s">
        <v>146</v>
      </c>
      <c r="AD4" s="189" t="s">
        <v>147</v>
      </c>
      <c r="AE4" s="189" t="s">
        <v>148</v>
      </c>
      <c r="AF4" s="171" t="s">
        <v>149</v>
      </c>
      <c r="AG4" s="171" t="s">
        <v>150</v>
      </c>
      <c r="AH4" s="319" t="s">
        <v>116</v>
      </c>
      <c r="AI4" s="334"/>
    </row>
    <row r="5" spans="1:35" x14ac:dyDescent="0.3">
      <c r="A5" s="172" t="s">
        <v>99</v>
      </c>
      <c r="B5" s="208"/>
      <c r="C5" s="209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320"/>
      <c r="AI5" s="334"/>
    </row>
    <row r="6" spans="1:35" ht="15" collapsed="1" thickBot="1" x14ac:dyDescent="0.35">
      <c r="A6" s="173" t="s">
        <v>45</v>
      </c>
      <c r="B6" s="211">
        <f xml:space="preserve">
TRUNC(IF($A$4&lt;=12,SUMIFS('ON Data'!F:F,'ON Data'!$D:$D,$A$4,'ON Data'!$E:$E,1),SUMIFS('ON Data'!F:F,'ON Data'!$E:$E,1)/'ON Data'!$D$3),1)</f>
        <v>2</v>
      </c>
      <c r="C6" s="212">
        <f xml:space="preserve">
TRUNC(IF($A$4&lt;=12,SUMIFS('ON Data'!G:G,'ON Data'!$D:$D,$A$4,'ON Data'!$E:$E,1),SUMIFS('ON Data'!G:G,'ON Data'!$E:$E,1)/'ON Data'!$D$3),1)</f>
        <v>0</v>
      </c>
      <c r="D6" s="213">
        <f xml:space="preserve">
TRUNC(IF($A$4&lt;=12,SUMIFS('ON Data'!H:H,'ON Data'!$D:$D,$A$4,'ON Data'!$E:$E,1),SUMIFS('ON Data'!H:H,'ON Data'!$E:$E,1)/'ON Data'!$D$3),1)</f>
        <v>1</v>
      </c>
      <c r="E6" s="213">
        <f xml:space="preserve">
TRUNC(IF($A$4&lt;=12,SUMIFS('ON Data'!I:I,'ON Data'!$D:$D,$A$4,'ON Data'!$E:$E,1),SUMIFS('ON Data'!I:I,'ON Data'!$E:$E,1)/'ON Data'!$D$3),1)</f>
        <v>0</v>
      </c>
      <c r="F6" s="213">
        <f xml:space="preserve">
TRUNC(IF($A$4&lt;=12,SUMIFS('ON Data'!K:K,'ON Data'!$D:$D,$A$4,'ON Data'!$E:$E,1),SUMIFS('ON Data'!K:K,'ON Data'!$E:$E,1)/'ON Data'!$D$3),1)</f>
        <v>0</v>
      </c>
      <c r="G6" s="213">
        <f xml:space="preserve">
TRUNC(IF($A$4&lt;=12,SUMIFS('ON Data'!L:L,'ON Data'!$D:$D,$A$4,'ON Data'!$E:$E,1),SUMIFS('ON Data'!L:L,'ON Data'!$E:$E,1)/'ON Data'!$D$3),1)</f>
        <v>0</v>
      </c>
      <c r="H6" s="213">
        <f xml:space="preserve">
TRUNC(IF($A$4&lt;=12,SUMIFS('ON Data'!M:M,'ON Data'!$D:$D,$A$4,'ON Data'!$E:$E,1),SUMIFS('ON Data'!M:M,'ON Data'!$E:$E,1)/'ON Data'!$D$3),1)</f>
        <v>0</v>
      </c>
      <c r="I6" s="213">
        <f xml:space="preserve">
TRUNC(IF($A$4&lt;=12,SUMIFS('ON Data'!N:N,'ON Data'!$D:$D,$A$4,'ON Data'!$E:$E,1),SUMIFS('ON Data'!N:N,'ON Data'!$E:$E,1)/'ON Data'!$D$3),1)</f>
        <v>0</v>
      </c>
      <c r="J6" s="213">
        <f xml:space="preserve">
TRUNC(IF($A$4&lt;=12,SUMIFS('ON Data'!O:O,'ON Data'!$D:$D,$A$4,'ON Data'!$E:$E,1),SUMIFS('ON Data'!O:O,'ON Data'!$E:$E,1)/'ON Data'!$D$3),1)</f>
        <v>0</v>
      </c>
      <c r="K6" s="213">
        <f xml:space="preserve">
TRUNC(IF($A$4&lt;=12,SUMIFS('ON Data'!P:P,'ON Data'!$D:$D,$A$4,'ON Data'!$E:$E,1),SUMIFS('ON Data'!P:P,'ON Data'!$E:$E,1)/'ON Data'!$D$3),1)</f>
        <v>0</v>
      </c>
      <c r="L6" s="213">
        <f xml:space="preserve">
TRUNC(IF($A$4&lt;=12,SUMIFS('ON Data'!Q:Q,'ON Data'!$D:$D,$A$4,'ON Data'!$E:$E,1),SUMIFS('ON Data'!Q:Q,'ON Data'!$E:$E,1)/'ON Data'!$D$3),1)</f>
        <v>0</v>
      </c>
      <c r="M6" s="213">
        <f xml:space="preserve">
TRUNC(IF($A$4&lt;=12,SUMIFS('ON Data'!R:R,'ON Data'!$D:$D,$A$4,'ON Data'!$E:$E,1),SUMIFS('ON Data'!R:R,'ON Data'!$E:$E,1)/'ON Data'!$D$3),1)</f>
        <v>0</v>
      </c>
      <c r="N6" s="213">
        <f xml:space="preserve">
TRUNC(IF($A$4&lt;=12,SUMIFS('ON Data'!S:S,'ON Data'!$D:$D,$A$4,'ON Data'!$E:$E,1),SUMIFS('ON Data'!S:S,'ON Data'!$E:$E,1)/'ON Data'!$D$3),1)</f>
        <v>0</v>
      </c>
      <c r="O6" s="213">
        <f xml:space="preserve">
TRUNC(IF($A$4&lt;=12,SUMIFS('ON Data'!T:T,'ON Data'!$D:$D,$A$4,'ON Data'!$E:$E,1),SUMIFS('ON Data'!T:T,'ON Data'!$E:$E,1)/'ON Data'!$D$3),1)</f>
        <v>0</v>
      </c>
      <c r="P6" s="213">
        <f xml:space="preserve">
TRUNC(IF($A$4&lt;=12,SUMIFS('ON Data'!U:U,'ON Data'!$D:$D,$A$4,'ON Data'!$E:$E,1),SUMIFS('ON Data'!U:U,'ON Data'!$E:$E,1)/'ON Data'!$D$3),1)</f>
        <v>0</v>
      </c>
      <c r="Q6" s="213">
        <f xml:space="preserve">
TRUNC(IF($A$4&lt;=12,SUMIFS('ON Data'!V:V,'ON Data'!$D:$D,$A$4,'ON Data'!$E:$E,1),SUMIFS('ON Data'!V:V,'ON Data'!$E:$E,1)/'ON Data'!$D$3),1)</f>
        <v>0</v>
      </c>
      <c r="R6" s="213">
        <f xml:space="preserve">
TRUNC(IF($A$4&lt;=12,SUMIFS('ON Data'!W:W,'ON Data'!$D:$D,$A$4,'ON Data'!$E:$E,1),SUMIFS('ON Data'!W:W,'ON Data'!$E:$E,1)/'ON Data'!$D$3),1)</f>
        <v>0</v>
      </c>
      <c r="S6" s="213">
        <f xml:space="preserve">
TRUNC(IF($A$4&lt;=12,SUMIFS('ON Data'!X:X,'ON Data'!$D:$D,$A$4,'ON Data'!$E:$E,1),SUMIFS('ON Data'!X:X,'ON Data'!$E:$E,1)/'ON Data'!$D$3),1)</f>
        <v>0</v>
      </c>
      <c r="T6" s="213">
        <f xml:space="preserve">
TRUNC(IF($A$4&lt;=12,SUMIFS('ON Data'!Y:Y,'ON Data'!$D:$D,$A$4,'ON Data'!$E:$E,1),SUMIFS('ON Data'!Y:Y,'ON Data'!$E:$E,1)/'ON Data'!$D$3),1)</f>
        <v>0</v>
      </c>
      <c r="U6" s="213">
        <f xml:space="preserve">
TRUNC(IF($A$4&lt;=12,SUMIFS('ON Data'!Z:Z,'ON Data'!$D:$D,$A$4,'ON Data'!$E:$E,1),SUMIFS('ON Data'!Z:Z,'ON Data'!$E:$E,1)/'ON Data'!$D$3),1)</f>
        <v>0</v>
      </c>
      <c r="V6" s="213">
        <f xml:space="preserve">
TRUNC(IF($A$4&lt;=12,SUMIFS('ON Data'!AA:AA,'ON Data'!$D:$D,$A$4,'ON Data'!$E:$E,1),SUMIFS('ON Data'!AA:AA,'ON Data'!$E:$E,1)/'ON Data'!$D$3),1)</f>
        <v>0</v>
      </c>
      <c r="W6" s="213">
        <f xml:space="preserve">
TRUNC(IF($A$4&lt;=12,SUMIFS('ON Data'!AB:AB,'ON Data'!$D:$D,$A$4,'ON Data'!$E:$E,1),SUMIFS('ON Data'!AB:AB,'ON Data'!$E:$E,1)/'ON Data'!$D$3),1)</f>
        <v>0</v>
      </c>
      <c r="X6" s="213">
        <f xml:space="preserve">
TRUNC(IF($A$4&lt;=12,SUMIFS('ON Data'!AC:AC,'ON Data'!$D:$D,$A$4,'ON Data'!$E:$E,1),SUMIFS('ON Data'!AC:AC,'ON Data'!$E:$E,1)/'ON Data'!$D$3),1)</f>
        <v>0</v>
      </c>
      <c r="Y6" s="213">
        <f xml:space="preserve">
TRUNC(IF($A$4&lt;=12,SUMIFS('ON Data'!AD:AD,'ON Data'!$D:$D,$A$4,'ON Data'!$E:$E,1),SUMIFS('ON Data'!AD:AD,'ON Data'!$E:$E,1)/'ON Data'!$D$3),1)</f>
        <v>0</v>
      </c>
      <c r="Z6" s="213">
        <f xml:space="preserve">
TRUNC(IF($A$4&lt;=12,SUMIFS('ON Data'!AE:AE,'ON Data'!$D:$D,$A$4,'ON Data'!$E:$E,1),SUMIFS('ON Data'!AE:AE,'ON Data'!$E:$E,1)/'ON Data'!$D$3),1)</f>
        <v>0</v>
      </c>
      <c r="AA6" s="213">
        <f xml:space="preserve">
TRUNC(IF($A$4&lt;=12,SUMIFS('ON Data'!AF:AF,'ON Data'!$D:$D,$A$4,'ON Data'!$E:$E,1),SUMIFS('ON Data'!AF:AF,'ON Data'!$E:$E,1)/'ON Data'!$D$3),1)</f>
        <v>0</v>
      </c>
      <c r="AB6" s="213">
        <f xml:space="preserve">
TRUNC(IF($A$4&lt;=12,SUMIFS('ON Data'!AG:AG,'ON Data'!$D:$D,$A$4,'ON Data'!$E:$E,1),SUMIFS('ON Data'!AG:AG,'ON Data'!$E:$E,1)/'ON Data'!$D$3),1)</f>
        <v>0</v>
      </c>
      <c r="AC6" s="213">
        <f xml:space="preserve">
TRUNC(IF($A$4&lt;=12,SUMIFS('ON Data'!AH:AH,'ON Data'!$D:$D,$A$4,'ON Data'!$E:$E,1),SUMIFS('ON Data'!AH:AH,'ON Data'!$E:$E,1)/'ON Data'!$D$3),1)</f>
        <v>0</v>
      </c>
      <c r="AD6" s="213">
        <f xml:space="preserve">
TRUNC(IF($A$4&lt;=12,SUMIFS('ON Data'!AI:AI,'ON Data'!$D:$D,$A$4,'ON Data'!$E:$E,1),SUMIFS('ON Data'!AI:AI,'ON Data'!$E:$E,1)/'ON Data'!$D$3),1)</f>
        <v>0</v>
      </c>
      <c r="AE6" s="213">
        <f xml:space="preserve">
TRUNC(IF($A$4&lt;=12,SUMIFS('ON Data'!AJ:AJ,'ON Data'!$D:$D,$A$4,'ON Data'!$E:$E,1),SUMIFS('ON Data'!AJ:AJ,'ON Data'!$E:$E,1)/'ON Data'!$D$3),1)</f>
        <v>0</v>
      </c>
      <c r="AF6" s="213">
        <f xml:space="preserve">
TRUNC(IF($A$4&lt;=12,SUMIFS('ON Data'!AK:AK,'ON Data'!$D:$D,$A$4,'ON Data'!$E:$E,1),SUMIFS('ON Data'!AK:AK,'ON Data'!$E:$E,1)/'ON Data'!$D$3),1)</f>
        <v>0</v>
      </c>
      <c r="AG6" s="213">
        <f xml:space="preserve">
TRUNC(IF($A$4&lt;=12,SUMIFS('ON Data'!AL:AL,'ON Data'!$D:$D,$A$4,'ON Data'!$E:$E,1),SUMIFS('ON Data'!AL:AL,'ON Data'!$E:$E,1)/'ON Data'!$D$3),1)</f>
        <v>0</v>
      </c>
      <c r="AH6" s="321">
        <f xml:space="preserve">
TRUNC(IF($A$4&lt;=12,SUMIFS('ON Data'!AN:AN,'ON Data'!$D:$D,$A$4,'ON Data'!$E:$E,1),SUMIFS('ON Data'!AN:AN,'ON Data'!$E:$E,1)/'ON Data'!$D$3),1)</f>
        <v>1</v>
      </c>
      <c r="AI6" s="334"/>
    </row>
    <row r="7" spans="1:35" ht="15" hidden="1" outlineLevel="1" thickBot="1" x14ac:dyDescent="0.35">
      <c r="A7" s="173" t="s">
        <v>52</v>
      </c>
      <c r="B7" s="211"/>
      <c r="C7" s="214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321"/>
      <c r="AI7" s="334"/>
    </row>
    <row r="8" spans="1:35" ht="15" hidden="1" outlineLevel="1" thickBot="1" x14ac:dyDescent="0.35">
      <c r="A8" s="173" t="s">
        <v>47</v>
      </c>
      <c r="B8" s="211"/>
      <c r="C8" s="214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321"/>
      <c r="AI8" s="334"/>
    </row>
    <row r="9" spans="1:35" ht="15" hidden="1" outlineLevel="1" thickBot="1" x14ac:dyDescent="0.35">
      <c r="A9" s="174" t="s">
        <v>43</v>
      </c>
      <c r="B9" s="215"/>
      <c r="C9" s="216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322"/>
      <c r="AI9" s="334"/>
    </row>
    <row r="10" spans="1:35" x14ac:dyDescent="0.3">
      <c r="A10" s="175" t="s">
        <v>100</v>
      </c>
      <c r="B10" s="190"/>
      <c r="C10" s="191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323"/>
      <c r="AI10" s="334"/>
    </row>
    <row r="11" spans="1:35" x14ac:dyDescent="0.3">
      <c r="A11" s="176" t="s">
        <v>101</v>
      </c>
      <c r="B11" s="193">
        <f xml:space="preserve">
IF($A$4&lt;=12,SUMIFS('ON Data'!F:F,'ON Data'!$D:$D,$A$4,'ON Data'!$E:$E,2),SUMIFS('ON Data'!F:F,'ON Data'!$E:$E,2))</f>
        <v>3128</v>
      </c>
      <c r="C11" s="194">
        <f xml:space="preserve">
IF($A$4&lt;=12,SUMIFS('ON Data'!G:G,'ON Data'!$D:$D,$A$4,'ON Data'!$E:$E,2),SUMIFS('ON Data'!G:G,'ON Data'!$E:$E,2))</f>
        <v>0</v>
      </c>
      <c r="D11" s="195">
        <f xml:space="preserve">
IF($A$4&lt;=12,SUMIFS('ON Data'!H:H,'ON Data'!$D:$D,$A$4,'ON Data'!$E:$E,2),SUMIFS('ON Data'!H:H,'ON Data'!$E:$E,2))</f>
        <v>1560</v>
      </c>
      <c r="E11" s="195">
        <f xml:space="preserve">
IF($A$4&lt;=12,SUMIFS('ON Data'!I:I,'ON Data'!$D:$D,$A$4,'ON Data'!$E:$E,2),SUMIFS('ON Data'!I:I,'ON Data'!$E:$E,2))</f>
        <v>0</v>
      </c>
      <c r="F11" s="195">
        <f xml:space="preserve">
IF($A$4&lt;=12,SUMIFS('ON Data'!K:K,'ON Data'!$D:$D,$A$4,'ON Data'!$E:$E,2),SUMIFS('ON Data'!K:K,'ON Data'!$E:$E,2))</f>
        <v>0</v>
      </c>
      <c r="G11" s="195">
        <f xml:space="preserve">
IF($A$4&lt;=12,SUMIFS('ON Data'!L:L,'ON Data'!$D:$D,$A$4,'ON Data'!$E:$E,2),SUMIFS('ON Data'!L:L,'ON Data'!$E:$E,2))</f>
        <v>0</v>
      </c>
      <c r="H11" s="195">
        <f xml:space="preserve">
IF($A$4&lt;=12,SUMIFS('ON Data'!M:M,'ON Data'!$D:$D,$A$4,'ON Data'!$E:$E,2),SUMIFS('ON Data'!M:M,'ON Data'!$E:$E,2))</f>
        <v>0</v>
      </c>
      <c r="I11" s="195">
        <f xml:space="preserve">
IF($A$4&lt;=12,SUMIFS('ON Data'!N:N,'ON Data'!$D:$D,$A$4,'ON Data'!$E:$E,2),SUMIFS('ON Data'!N:N,'ON Data'!$E:$E,2))</f>
        <v>0</v>
      </c>
      <c r="J11" s="195">
        <f xml:space="preserve">
IF($A$4&lt;=12,SUMIFS('ON Data'!O:O,'ON Data'!$D:$D,$A$4,'ON Data'!$E:$E,2),SUMIFS('ON Data'!O:O,'ON Data'!$E:$E,2))</f>
        <v>0</v>
      </c>
      <c r="K11" s="195">
        <f xml:space="preserve">
IF($A$4&lt;=12,SUMIFS('ON Data'!P:P,'ON Data'!$D:$D,$A$4,'ON Data'!$E:$E,2),SUMIFS('ON Data'!P:P,'ON Data'!$E:$E,2))</f>
        <v>0</v>
      </c>
      <c r="L11" s="195">
        <f xml:space="preserve">
IF($A$4&lt;=12,SUMIFS('ON Data'!Q:Q,'ON Data'!$D:$D,$A$4,'ON Data'!$E:$E,2),SUMIFS('ON Data'!Q:Q,'ON Data'!$E:$E,2))</f>
        <v>0</v>
      </c>
      <c r="M11" s="195">
        <f xml:space="preserve">
IF($A$4&lt;=12,SUMIFS('ON Data'!R:R,'ON Data'!$D:$D,$A$4,'ON Data'!$E:$E,2),SUMIFS('ON Data'!R:R,'ON Data'!$E:$E,2))</f>
        <v>0</v>
      </c>
      <c r="N11" s="195">
        <f xml:space="preserve">
IF($A$4&lt;=12,SUMIFS('ON Data'!S:S,'ON Data'!$D:$D,$A$4,'ON Data'!$E:$E,2),SUMIFS('ON Data'!S:S,'ON Data'!$E:$E,2))</f>
        <v>0</v>
      </c>
      <c r="O11" s="195">
        <f xml:space="preserve">
IF($A$4&lt;=12,SUMIFS('ON Data'!T:T,'ON Data'!$D:$D,$A$4,'ON Data'!$E:$E,2),SUMIFS('ON Data'!T:T,'ON Data'!$E:$E,2))</f>
        <v>0</v>
      </c>
      <c r="P11" s="195">
        <f xml:space="preserve">
IF($A$4&lt;=12,SUMIFS('ON Data'!U:U,'ON Data'!$D:$D,$A$4,'ON Data'!$E:$E,2),SUMIFS('ON Data'!U:U,'ON Data'!$E:$E,2))</f>
        <v>0</v>
      </c>
      <c r="Q11" s="195">
        <f xml:space="preserve">
IF($A$4&lt;=12,SUMIFS('ON Data'!V:V,'ON Data'!$D:$D,$A$4,'ON Data'!$E:$E,2),SUMIFS('ON Data'!V:V,'ON Data'!$E:$E,2))</f>
        <v>0</v>
      </c>
      <c r="R11" s="195">
        <f xml:space="preserve">
IF($A$4&lt;=12,SUMIFS('ON Data'!W:W,'ON Data'!$D:$D,$A$4,'ON Data'!$E:$E,2),SUMIFS('ON Data'!W:W,'ON Data'!$E:$E,2))</f>
        <v>0</v>
      </c>
      <c r="S11" s="195">
        <f xml:space="preserve">
IF($A$4&lt;=12,SUMIFS('ON Data'!X:X,'ON Data'!$D:$D,$A$4,'ON Data'!$E:$E,2),SUMIFS('ON Data'!X:X,'ON Data'!$E:$E,2))</f>
        <v>0</v>
      </c>
      <c r="T11" s="195">
        <f xml:space="preserve">
IF($A$4&lt;=12,SUMIFS('ON Data'!Y:Y,'ON Data'!$D:$D,$A$4,'ON Data'!$E:$E,2),SUMIFS('ON Data'!Y:Y,'ON Data'!$E:$E,2))</f>
        <v>0</v>
      </c>
      <c r="U11" s="195">
        <f xml:space="preserve">
IF($A$4&lt;=12,SUMIFS('ON Data'!Z:Z,'ON Data'!$D:$D,$A$4,'ON Data'!$E:$E,2),SUMIFS('ON Data'!Z:Z,'ON Data'!$E:$E,2))</f>
        <v>0</v>
      </c>
      <c r="V11" s="195">
        <f xml:space="preserve">
IF($A$4&lt;=12,SUMIFS('ON Data'!AA:AA,'ON Data'!$D:$D,$A$4,'ON Data'!$E:$E,2),SUMIFS('ON Data'!AA:AA,'ON Data'!$E:$E,2))</f>
        <v>0</v>
      </c>
      <c r="W11" s="195">
        <f xml:space="preserve">
IF($A$4&lt;=12,SUMIFS('ON Data'!AB:AB,'ON Data'!$D:$D,$A$4,'ON Data'!$E:$E,2),SUMIFS('ON Data'!AB:AB,'ON Data'!$E:$E,2))</f>
        <v>0</v>
      </c>
      <c r="X11" s="195">
        <f xml:space="preserve">
IF($A$4&lt;=12,SUMIFS('ON Data'!AC:AC,'ON Data'!$D:$D,$A$4,'ON Data'!$E:$E,2),SUMIFS('ON Data'!AC:AC,'ON Data'!$E:$E,2))</f>
        <v>0</v>
      </c>
      <c r="Y11" s="195">
        <f xml:space="preserve">
IF($A$4&lt;=12,SUMIFS('ON Data'!AD:AD,'ON Data'!$D:$D,$A$4,'ON Data'!$E:$E,2),SUMIFS('ON Data'!AD:AD,'ON Data'!$E:$E,2))</f>
        <v>0</v>
      </c>
      <c r="Z11" s="195">
        <f xml:space="preserve">
IF($A$4&lt;=12,SUMIFS('ON Data'!AE:AE,'ON Data'!$D:$D,$A$4,'ON Data'!$E:$E,2),SUMIFS('ON Data'!AE:AE,'ON Data'!$E:$E,2))</f>
        <v>0</v>
      </c>
      <c r="AA11" s="195">
        <f xml:space="preserve">
IF($A$4&lt;=12,SUMIFS('ON Data'!AF:AF,'ON Data'!$D:$D,$A$4,'ON Data'!$E:$E,2),SUMIFS('ON Data'!AF:AF,'ON Data'!$E:$E,2))</f>
        <v>0</v>
      </c>
      <c r="AB11" s="195">
        <f xml:space="preserve">
IF($A$4&lt;=12,SUMIFS('ON Data'!AG:AG,'ON Data'!$D:$D,$A$4,'ON Data'!$E:$E,2),SUMIFS('ON Data'!AG:AG,'ON Data'!$E:$E,2))</f>
        <v>0</v>
      </c>
      <c r="AC11" s="195">
        <f xml:space="preserve">
IF($A$4&lt;=12,SUMIFS('ON Data'!AH:AH,'ON Data'!$D:$D,$A$4,'ON Data'!$E:$E,2),SUMIFS('ON Data'!AH:AH,'ON Data'!$E:$E,2))</f>
        <v>0</v>
      </c>
      <c r="AD11" s="195">
        <f xml:space="preserve">
IF($A$4&lt;=12,SUMIFS('ON Data'!AI:AI,'ON Data'!$D:$D,$A$4,'ON Data'!$E:$E,2),SUMIFS('ON Data'!AI:AI,'ON Data'!$E:$E,2))</f>
        <v>0</v>
      </c>
      <c r="AE11" s="195">
        <f xml:space="preserve">
IF($A$4&lt;=12,SUMIFS('ON Data'!AJ:AJ,'ON Data'!$D:$D,$A$4,'ON Data'!$E:$E,2),SUMIFS('ON Data'!AJ:AJ,'ON Data'!$E:$E,2))</f>
        <v>0</v>
      </c>
      <c r="AF11" s="195">
        <f xml:space="preserve">
IF($A$4&lt;=12,SUMIFS('ON Data'!AK:AK,'ON Data'!$D:$D,$A$4,'ON Data'!$E:$E,2),SUMIFS('ON Data'!AK:AK,'ON Data'!$E:$E,2))</f>
        <v>0</v>
      </c>
      <c r="AG11" s="195">
        <f xml:space="preserve">
IF($A$4&lt;=12,SUMIFS('ON Data'!AL:AL,'ON Data'!$D:$D,$A$4,'ON Data'!$E:$E,2),SUMIFS('ON Data'!AL:AL,'ON Data'!$E:$E,2))</f>
        <v>0</v>
      </c>
      <c r="AH11" s="324">
        <f xml:space="preserve">
IF($A$4&lt;=12,SUMIFS('ON Data'!AN:AN,'ON Data'!$D:$D,$A$4,'ON Data'!$E:$E,2),SUMIFS('ON Data'!AN:AN,'ON Data'!$E:$E,2))</f>
        <v>1568</v>
      </c>
      <c r="AI11" s="334"/>
    </row>
    <row r="12" spans="1:35" x14ac:dyDescent="0.3">
      <c r="A12" s="176" t="s">
        <v>102</v>
      </c>
      <c r="B12" s="193">
        <f xml:space="preserve">
IF($A$4&lt;=12,SUMIFS('ON Data'!F:F,'ON Data'!$D:$D,$A$4,'ON Data'!$E:$E,3),SUMIFS('ON Data'!F:F,'ON Data'!$E:$E,3))</f>
        <v>0</v>
      </c>
      <c r="C12" s="194">
        <f xml:space="preserve">
IF($A$4&lt;=12,SUMIFS('ON Data'!G:G,'ON Data'!$D:$D,$A$4,'ON Data'!$E:$E,3),SUMIFS('ON Data'!G:G,'ON Data'!$E:$E,3))</f>
        <v>0</v>
      </c>
      <c r="D12" s="195">
        <f xml:space="preserve">
IF($A$4&lt;=12,SUMIFS('ON Data'!H:H,'ON Data'!$D:$D,$A$4,'ON Data'!$E:$E,3),SUMIFS('ON Data'!H:H,'ON Data'!$E:$E,3))</f>
        <v>0</v>
      </c>
      <c r="E12" s="195">
        <f xml:space="preserve">
IF($A$4&lt;=12,SUMIFS('ON Data'!I:I,'ON Data'!$D:$D,$A$4,'ON Data'!$E:$E,3),SUMIFS('ON Data'!I:I,'ON Data'!$E:$E,3))</f>
        <v>0</v>
      </c>
      <c r="F12" s="195">
        <f xml:space="preserve">
IF($A$4&lt;=12,SUMIFS('ON Data'!K:K,'ON Data'!$D:$D,$A$4,'ON Data'!$E:$E,3),SUMIFS('ON Data'!K:K,'ON Data'!$E:$E,3))</f>
        <v>0</v>
      </c>
      <c r="G12" s="195">
        <f xml:space="preserve">
IF($A$4&lt;=12,SUMIFS('ON Data'!L:L,'ON Data'!$D:$D,$A$4,'ON Data'!$E:$E,3),SUMIFS('ON Data'!L:L,'ON Data'!$E:$E,3))</f>
        <v>0</v>
      </c>
      <c r="H12" s="195">
        <f xml:space="preserve">
IF($A$4&lt;=12,SUMIFS('ON Data'!M:M,'ON Data'!$D:$D,$A$4,'ON Data'!$E:$E,3),SUMIFS('ON Data'!M:M,'ON Data'!$E:$E,3))</f>
        <v>0</v>
      </c>
      <c r="I12" s="195">
        <f xml:space="preserve">
IF($A$4&lt;=12,SUMIFS('ON Data'!N:N,'ON Data'!$D:$D,$A$4,'ON Data'!$E:$E,3),SUMIFS('ON Data'!N:N,'ON Data'!$E:$E,3))</f>
        <v>0</v>
      </c>
      <c r="J12" s="195">
        <f xml:space="preserve">
IF($A$4&lt;=12,SUMIFS('ON Data'!O:O,'ON Data'!$D:$D,$A$4,'ON Data'!$E:$E,3),SUMIFS('ON Data'!O:O,'ON Data'!$E:$E,3))</f>
        <v>0</v>
      </c>
      <c r="K12" s="195">
        <f xml:space="preserve">
IF($A$4&lt;=12,SUMIFS('ON Data'!P:P,'ON Data'!$D:$D,$A$4,'ON Data'!$E:$E,3),SUMIFS('ON Data'!P:P,'ON Data'!$E:$E,3))</f>
        <v>0</v>
      </c>
      <c r="L12" s="195">
        <f xml:space="preserve">
IF($A$4&lt;=12,SUMIFS('ON Data'!Q:Q,'ON Data'!$D:$D,$A$4,'ON Data'!$E:$E,3),SUMIFS('ON Data'!Q:Q,'ON Data'!$E:$E,3))</f>
        <v>0</v>
      </c>
      <c r="M12" s="195">
        <f xml:space="preserve">
IF($A$4&lt;=12,SUMIFS('ON Data'!R:R,'ON Data'!$D:$D,$A$4,'ON Data'!$E:$E,3),SUMIFS('ON Data'!R:R,'ON Data'!$E:$E,3))</f>
        <v>0</v>
      </c>
      <c r="N12" s="195">
        <f xml:space="preserve">
IF($A$4&lt;=12,SUMIFS('ON Data'!S:S,'ON Data'!$D:$D,$A$4,'ON Data'!$E:$E,3),SUMIFS('ON Data'!S:S,'ON Data'!$E:$E,3))</f>
        <v>0</v>
      </c>
      <c r="O12" s="195">
        <f xml:space="preserve">
IF($A$4&lt;=12,SUMIFS('ON Data'!T:T,'ON Data'!$D:$D,$A$4,'ON Data'!$E:$E,3),SUMIFS('ON Data'!T:T,'ON Data'!$E:$E,3))</f>
        <v>0</v>
      </c>
      <c r="P12" s="195">
        <f xml:space="preserve">
IF($A$4&lt;=12,SUMIFS('ON Data'!U:U,'ON Data'!$D:$D,$A$4,'ON Data'!$E:$E,3),SUMIFS('ON Data'!U:U,'ON Data'!$E:$E,3))</f>
        <v>0</v>
      </c>
      <c r="Q12" s="195">
        <f xml:space="preserve">
IF($A$4&lt;=12,SUMIFS('ON Data'!V:V,'ON Data'!$D:$D,$A$4,'ON Data'!$E:$E,3),SUMIFS('ON Data'!V:V,'ON Data'!$E:$E,3))</f>
        <v>0</v>
      </c>
      <c r="R12" s="195">
        <f xml:space="preserve">
IF($A$4&lt;=12,SUMIFS('ON Data'!W:W,'ON Data'!$D:$D,$A$4,'ON Data'!$E:$E,3),SUMIFS('ON Data'!W:W,'ON Data'!$E:$E,3))</f>
        <v>0</v>
      </c>
      <c r="S12" s="195">
        <f xml:space="preserve">
IF($A$4&lt;=12,SUMIFS('ON Data'!X:X,'ON Data'!$D:$D,$A$4,'ON Data'!$E:$E,3),SUMIFS('ON Data'!X:X,'ON Data'!$E:$E,3))</f>
        <v>0</v>
      </c>
      <c r="T12" s="195">
        <f xml:space="preserve">
IF($A$4&lt;=12,SUMIFS('ON Data'!Y:Y,'ON Data'!$D:$D,$A$4,'ON Data'!$E:$E,3),SUMIFS('ON Data'!Y:Y,'ON Data'!$E:$E,3))</f>
        <v>0</v>
      </c>
      <c r="U12" s="195">
        <f xml:space="preserve">
IF($A$4&lt;=12,SUMIFS('ON Data'!Z:Z,'ON Data'!$D:$D,$A$4,'ON Data'!$E:$E,3),SUMIFS('ON Data'!Z:Z,'ON Data'!$E:$E,3))</f>
        <v>0</v>
      </c>
      <c r="V12" s="195">
        <f xml:space="preserve">
IF($A$4&lt;=12,SUMIFS('ON Data'!AA:AA,'ON Data'!$D:$D,$A$4,'ON Data'!$E:$E,3),SUMIFS('ON Data'!AA:AA,'ON Data'!$E:$E,3))</f>
        <v>0</v>
      </c>
      <c r="W12" s="195">
        <f xml:space="preserve">
IF($A$4&lt;=12,SUMIFS('ON Data'!AB:AB,'ON Data'!$D:$D,$A$4,'ON Data'!$E:$E,3),SUMIFS('ON Data'!AB:AB,'ON Data'!$E:$E,3))</f>
        <v>0</v>
      </c>
      <c r="X12" s="195">
        <f xml:space="preserve">
IF($A$4&lt;=12,SUMIFS('ON Data'!AC:AC,'ON Data'!$D:$D,$A$4,'ON Data'!$E:$E,3),SUMIFS('ON Data'!AC:AC,'ON Data'!$E:$E,3))</f>
        <v>0</v>
      </c>
      <c r="Y12" s="195">
        <f xml:space="preserve">
IF($A$4&lt;=12,SUMIFS('ON Data'!AD:AD,'ON Data'!$D:$D,$A$4,'ON Data'!$E:$E,3),SUMIFS('ON Data'!AD:AD,'ON Data'!$E:$E,3))</f>
        <v>0</v>
      </c>
      <c r="Z12" s="195">
        <f xml:space="preserve">
IF($A$4&lt;=12,SUMIFS('ON Data'!AE:AE,'ON Data'!$D:$D,$A$4,'ON Data'!$E:$E,3),SUMIFS('ON Data'!AE:AE,'ON Data'!$E:$E,3))</f>
        <v>0</v>
      </c>
      <c r="AA12" s="195">
        <f xml:space="preserve">
IF($A$4&lt;=12,SUMIFS('ON Data'!AF:AF,'ON Data'!$D:$D,$A$4,'ON Data'!$E:$E,3),SUMIFS('ON Data'!AF:AF,'ON Data'!$E:$E,3))</f>
        <v>0</v>
      </c>
      <c r="AB12" s="195">
        <f xml:space="preserve">
IF($A$4&lt;=12,SUMIFS('ON Data'!AG:AG,'ON Data'!$D:$D,$A$4,'ON Data'!$E:$E,3),SUMIFS('ON Data'!AG:AG,'ON Data'!$E:$E,3))</f>
        <v>0</v>
      </c>
      <c r="AC12" s="195">
        <f xml:space="preserve">
IF($A$4&lt;=12,SUMIFS('ON Data'!AH:AH,'ON Data'!$D:$D,$A$4,'ON Data'!$E:$E,3),SUMIFS('ON Data'!AH:AH,'ON Data'!$E:$E,3))</f>
        <v>0</v>
      </c>
      <c r="AD12" s="195">
        <f xml:space="preserve">
IF($A$4&lt;=12,SUMIFS('ON Data'!AI:AI,'ON Data'!$D:$D,$A$4,'ON Data'!$E:$E,3),SUMIFS('ON Data'!AI:AI,'ON Data'!$E:$E,3))</f>
        <v>0</v>
      </c>
      <c r="AE12" s="195">
        <f xml:space="preserve">
IF($A$4&lt;=12,SUMIFS('ON Data'!AJ:AJ,'ON Data'!$D:$D,$A$4,'ON Data'!$E:$E,3),SUMIFS('ON Data'!AJ:AJ,'ON Data'!$E:$E,3))</f>
        <v>0</v>
      </c>
      <c r="AF12" s="195">
        <f xml:space="preserve">
IF($A$4&lt;=12,SUMIFS('ON Data'!AK:AK,'ON Data'!$D:$D,$A$4,'ON Data'!$E:$E,3),SUMIFS('ON Data'!AK:AK,'ON Data'!$E:$E,3))</f>
        <v>0</v>
      </c>
      <c r="AG12" s="195">
        <f xml:space="preserve">
IF($A$4&lt;=12,SUMIFS('ON Data'!AL:AL,'ON Data'!$D:$D,$A$4,'ON Data'!$E:$E,3),SUMIFS('ON Data'!AL:AL,'ON Data'!$E:$E,3))</f>
        <v>0</v>
      </c>
      <c r="AH12" s="324">
        <f xml:space="preserve">
IF($A$4&lt;=12,SUMIFS('ON Data'!AN:AN,'ON Data'!$D:$D,$A$4,'ON Data'!$E:$E,3),SUMIFS('ON Data'!AN:AN,'ON Data'!$E:$E,3))</f>
        <v>0</v>
      </c>
      <c r="AI12" s="334"/>
    </row>
    <row r="13" spans="1:35" x14ac:dyDescent="0.3">
      <c r="A13" s="176" t="s">
        <v>109</v>
      </c>
      <c r="B13" s="193">
        <f xml:space="preserve">
IF($A$4&lt;=12,SUMIFS('ON Data'!F:F,'ON Data'!$D:$D,$A$4,'ON Data'!$E:$E,4),SUMIFS('ON Data'!F:F,'ON Data'!$E:$E,4))</f>
        <v>340</v>
      </c>
      <c r="C13" s="194">
        <f xml:space="preserve">
IF($A$4&lt;=12,SUMIFS('ON Data'!G:G,'ON Data'!$D:$D,$A$4,'ON Data'!$E:$E,4),SUMIFS('ON Data'!G:G,'ON Data'!$E:$E,4))</f>
        <v>0</v>
      </c>
      <c r="D13" s="195">
        <f xml:space="preserve">
IF($A$4&lt;=12,SUMIFS('ON Data'!H:H,'ON Data'!$D:$D,$A$4,'ON Data'!$E:$E,4),SUMIFS('ON Data'!H:H,'ON Data'!$E:$E,4))</f>
        <v>340</v>
      </c>
      <c r="E13" s="195">
        <f xml:space="preserve">
IF($A$4&lt;=12,SUMIFS('ON Data'!I:I,'ON Data'!$D:$D,$A$4,'ON Data'!$E:$E,4),SUMIFS('ON Data'!I:I,'ON Data'!$E:$E,4))</f>
        <v>0</v>
      </c>
      <c r="F13" s="195">
        <f xml:space="preserve">
IF($A$4&lt;=12,SUMIFS('ON Data'!K:K,'ON Data'!$D:$D,$A$4,'ON Data'!$E:$E,4),SUMIFS('ON Data'!K:K,'ON Data'!$E:$E,4))</f>
        <v>0</v>
      </c>
      <c r="G13" s="195">
        <f xml:space="preserve">
IF($A$4&lt;=12,SUMIFS('ON Data'!L:L,'ON Data'!$D:$D,$A$4,'ON Data'!$E:$E,4),SUMIFS('ON Data'!L:L,'ON Data'!$E:$E,4))</f>
        <v>0</v>
      </c>
      <c r="H13" s="195">
        <f xml:space="preserve">
IF($A$4&lt;=12,SUMIFS('ON Data'!M:M,'ON Data'!$D:$D,$A$4,'ON Data'!$E:$E,4),SUMIFS('ON Data'!M:M,'ON Data'!$E:$E,4))</f>
        <v>0</v>
      </c>
      <c r="I13" s="195">
        <f xml:space="preserve">
IF($A$4&lt;=12,SUMIFS('ON Data'!N:N,'ON Data'!$D:$D,$A$4,'ON Data'!$E:$E,4),SUMIFS('ON Data'!N:N,'ON Data'!$E:$E,4))</f>
        <v>0</v>
      </c>
      <c r="J13" s="195">
        <f xml:space="preserve">
IF($A$4&lt;=12,SUMIFS('ON Data'!O:O,'ON Data'!$D:$D,$A$4,'ON Data'!$E:$E,4),SUMIFS('ON Data'!O:O,'ON Data'!$E:$E,4))</f>
        <v>0</v>
      </c>
      <c r="K13" s="195">
        <f xml:space="preserve">
IF($A$4&lt;=12,SUMIFS('ON Data'!P:P,'ON Data'!$D:$D,$A$4,'ON Data'!$E:$E,4),SUMIFS('ON Data'!P:P,'ON Data'!$E:$E,4))</f>
        <v>0</v>
      </c>
      <c r="L13" s="195">
        <f xml:space="preserve">
IF($A$4&lt;=12,SUMIFS('ON Data'!Q:Q,'ON Data'!$D:$D,$A$4,'ON Data'!$E:$E,4),SUMIFS('ON Data'!Q:Q,'ON Data'!$E:$E,4))</f>
        <v>0</v>
      </c>
      <c r="M13" s="195">
        <f xml:space="preserve">
IF($A$4&lt;=12,SUMIFS('ON Data'!R:R,'ON Data'!$D:$D,$A$4,'ON Data'!$E:$E,4),SUMIFS('ON Data'!R:R,'ON Data'!$E:$E,4))</f>
        <v>0</v>
      </c>
      <c r="N13" s="195">
        <f xml:space="preserve">
IF($A$4&lt;=12,SUMIFS('ON Data'!S:S,'ON Data'!$D:$D,$A$4,'ON Data'!$E:$E,4),SUMIFS('ON Data'!S:S,'ON Data'!$E:$E,4))</f>
        <v>0</v>
      </c>
      <c r="O13" s="195">
        <f xml:space="preserve">
IF($A$4&lt;=12,SUMIFS('ON Data'!T:T,'ON Data'!$D:$D,$A$4,'ON Data'!$E:$E,4),SUMIFS('ON Data'!T:T,'ON Data'!$E:$E,4))</f>
        <v>0</v>
      </c>
      <c r="P13" s="195">
        <f xml:space="preserve">
IF($A$4&lt;=12,SUMIFS('ON Data'!U:U,'ON Data'!$D:$D,$A$4,'ON Data'!$E:$E,4),SUMIFS('ON Data'!U:U,'ON Data'!$E:$E,4))</f>
        <v>0</v>
      </c>
      <c r="Q13" s="195">
        <f xml:space="preserve">
IF($A$4&lt;=12,SUMIFS('ON Data'!V:V,'ON Data'!$D:$D,$A$4,'ON Data'!$E:$E,4),SUMIFS('ON Data'!V:V,'ON Data'!$E:$E,4))</f>
        <v>0</v>
      </c>
      <c r="R13" s="195">
        <f xml:space="preserve">
IF($A$4&lt;=12,SUMIFS('ON Data'!W:W,'ON Data'!$D:$D,$A$4,'ON Data'!$E:$E,4),SUMIFS('ON Data'!W:W,'ON Data'!$E:$E,4))</f>
        <v>0</v>
      </c>
      <c r="S13" s="195">
        <f xml:space="preserve">
IF($A$4&lt;=12,SUMIFS('ON Data'!X:X,'ON Data'!$D:$D,$A$4,'ON Data'!$E:$E,4),SUMIFS('ON Data'!X:X,'ON Data'!$E:$E,4))</f>
        <v>0</v>
      </c>
      <c r="T13" s="195">
        <f xml:space="preserve">
IF($A$4&lt;=12,SUMIFS('ON Data'!Y:Y,'ON Data'!$D:$D,$A$4,'ON Data'!$E:$E,4),SUMIFS('ON Data'!Y:Y,'ON Data'!$E:$E,4))</f>
        <v>0</v>
      </c>
      <c r="U13" s="195">
        <f xml:space="preserve">
IF($A$4&lt;=12,SUMIFS('ON Data'!Z:Z,'ON Data'!$D:$D,$A$4,'ON Data'!$E:$E,4),SUMIFS('ON Data'!Z:Z,'ON Data'!$E:$E,4))</f>
        <v>0</v>
      </c>
      <c r="V13" s="195">
        <f xml:space="preserve">
IF($A$4&lt;=12,SUMIFS('ON Data'!AA:AA,'ON Data'!$D:$D,$A$4,'ON Data'!$E:$E,4),SUMIFS('ON Data'!AA:AA,'ON Data'!$E:$E,4))</f>
        <v>0</v>
      </c>
      <c r="W13" s="195">
        <f xml:space="preserve">
IF($A$4&lt;=12,SUMIFS('ON Data'!AB:AB,'ON Data'!$D:$D,$A$4,'ON Data'!$E:$E,4),SUMIFS('ON Data'!AB:AB,'ON Data'!$E:$E,4))</f>
        <v>0</v>
      </c>
      <c r="X13" s="195">
        <f xml:space="preserve">
IF($A$4&lt;=12,SUMIFS('ON Data'!AC:AC,'ON Data'!$D:$D,$A$4,'ON Data'!$E:$E,4),SUMIFS('ON Data'!AC:AC,'ON Data'!$E:$E,4))</f>
        <v>0</v>
      </c>
      <c r="Y13" s="195">
        <f xml:space="preserve">
IF($A$4&lt;=12,SUMIFS('ON Data'!AD:AD,'ON Data'!$D:$D,$A$4,'ON Data'!$E:$E,4),SUMIFS('ON Data'!AD:AD,'ON Data'!$E:$E,4))</f>
        <v>0</v>
      </c>
      <c r="Z13" s="195">
        <f xml:space="preserve">
IF($A$4&lt;=12,SUMIFS('ON Data'!AE:AE,'ON Data'!$D:$D,$A$4,'ON Data'!$E:$E,4),SUMIFS('ON Data'!AE:AE,'ON Data'!$E:$E,4))</f>
        <v>0</v>
      </c>
      <c r="AA13" s="195">
        <f xml:space="preserve">
IF($A$4&lt;=12,SUMIFS('ON Data'!AF:AF,'ON Data'!$D:$D,$A$4,'ON Data'!$E:$E,4),SUMIFS('ON Data'!AF:AF,'ON Data'!$E:$E,4))</f>
        <v>0</v>
      </c>
      <c r="AB13" s="195">
        <f xml:space="preserve">
IF($A$4&lt;=12,SUMIFS('ON Data'!AG:AG,'ON Data'!$D:$D,$A$4,'ON Data'!$E:$E,4),SUMIFS('ON Data'!AG:AG,'ON Data'!$E:$E,4))</f>
        <v>0</v>
      </c>
      <c r="AC13" s="195">
        <f xml:space="preserve">
IF($A$4&lt;=12,SUMIFS('ON Data'!AH:AH,'ON Data'!$D:$D,$A$4,'ON Data'!$E:$E,4),SUMIFS('ON Data'!AH:AH,'ON Data'!$E:$E,4))</f>
        <v>0</v>
      </c>
      <c r="AD13" s="195">
        <f xml:space="preserve">
IF($A$4&lt;=12,SUMIFS('ON Data'!AI:AI,'ON Data'!$D:$D,$A$4,'ON Data'!$E:$E,4),SUMIFS('ON Data'!AI:AI,'ON Data'!$E:$E,4))</f>
        <v>0</v>
      </c>
      <c r="AE13" s="195">
        <f xml:space="preserve">
IF($A$4&lt;=12,SUMIFS('ON Data'!AJ:AJ,'ON Data'!$D:$D,$A$4,'ON Data'!$E:$E,4),SUMIFS('ON Data'!AJ:AJ,'ON Data'!$E:$E,4))</f>
        <v>0</v>
      </c>
      <c r="AF13" s="195">
        <f xml:space="preserve">
IF($A$4&lt;=12,SUMIFS('ON Data'!AK:AK,'ON Data'!$D:$D,$A$4,'ON Data'!$E:$E,4),SUMIFS('ON Data'!AK:AK,'ON Data'!$E:$E,4))</f>
        <v>0</v>
      </c>
      <c r="AG13" s="195">
        <f xml:space="preserve">
IF($A$4&lt;=12,SUMIFS('ON Data'!AL:AL,'ON Data'!$D:$D,$A$4,'ON Data'!$E:$E,4),SUMIFS('ON Data'!AL:AL,'ON Data'!$E:$E,4))</f>
        <v>0</v>
      </c>
      <c r="AH13" s="324">
        <f xml:space="preserve">
IF($A$4&lt;=12,SUMIFS('ON Data'!AN:AN,'ON Data'!$D:$D,$A$4,'ON Data'!$E:$E,4),SUMIFS('ON Data'!AN:AN,'ON Data'!$E:$E,4))</f>
        <v>0</v>
      </c>
      <c r="AI13" s="334"/>
    </row>
    <row r="14" spans="1:35" ht="15" thickBot="1" x14ac:dyDescent="0.35">
      <c r="A14" s="177" t="s">
        <v>103</v>
      </c>
      <c r="B14" s="196">
        <f xml:space="preserve">
IF($A$4&lt;=12,SUMIFS('ON Data'!F:F,'ON Data'!$D:$D,$A$4,'ON Data'!$E:$E,5),SUMIFS('ON Data'!F:F,'ON Data'!$E:$E,5))</f>
        <v>4382</v>
      </c>
      <c r="C14" s="197">
        <f xml:space="preserve">
IF($A$4&lt;=12,SUMIFS('ON Data'!G:G,'ON Data'!$D:$D,$A$4,'ON Data'!$E:$E,5),SUMIFS('ON Data'!G:G,'ON Data'!$E:$E,5))</f>
        <v>4382</v>
      </c>
      <c r="D14" s="198">
        <f xml:space="preserve">
IF($A$4&lt;=12,SUMIFS('ON Data'!H:H,'ON Data'!$D:$D,$A$4,'ON Data'!$E:$E,5),SUMIFS('ON Data'!H:H,'ON Data'!$E:$E,5))</f>
        <v>0</v>
      </c>
      <c r="E14" s="198">
        <f xml:space="preserve">
IF($A$4&lt;=12,SUMIFS('ON Data'!I:I,'ON Data'!$D:$D,$A$4,'ON Data'!$E:$E,5),SUMIFS('ON Data'!I:I,'ON Data'!$E:$E,5))</f>
        <v>0</v>
      </c>
      <c r="F14" s="198">
        <f xml:space="preserve">
IF($A$4&lt;=12,SUMIFS('ON Data'!K:K,'ON Data'!$D:$D,$A$4,'ON Data'!$E:$E,5),SUMIFS('ON Data'!K:K,'ON Data'!$E:$E,5))</f>
        <v>0</v>
      </c>
      <c r="G14" s="198">
        <f xml:space="preserve">
IF($A$4&lt;=12,SUMIFS('ON Data'!L:L,'ON Data'!$D:$D,$A$4,'ON Data'!$E:$E,5),SUMIFS('ON Data'!L:L,'ON Data'!$E:$E,5))</f>
        <v>0</v>
      </c>
      <c r="H14" s="198">
        <f xml:space="preserve">
IF($A$4&lt;=12,SUMIFS('ON Data'!M:M,'ON Data'!$D:$D,$A$4,'ON Data'!$E:$E,5),SUMIFS('ON Data'!M:M,'ON Data'!$E:$E,5))</f>
        <v>0</v>
      </c>
      <c r="I14" s="198">
        <f xml:space="preserve">
IF($A$4&lt;=12,SUMIFS('ON Data'!N:N,'ON Data'!$D:$D,$A$4,'ON Data'!$E:$E,5),SUMIFS('ON Data'!N:N,'ON Data'!$E:$E,5))</f>
        <v>0</v>
      </c>
      <c r="J14" s="198">
        <f xml:space="preserve">
IF($A$4&lt;=12,SUMIFS('ON Data'!O:O,'ON Data'!$D:$D,$A$4,'ON Data'!$E:$E,5),SUMIFS('ON Data'!O:O,'ON Data'!$E:$E,5))</f>
        <v>0</v>
      </c>
      <c r="K14" s="198">
        <f xml:space="preserve">
IF($A$4&lt;=12,SUMIFS('ON Data'!P:P,'ON Data'!$D:$D,$A$4,'ON Data'!$E:$E,5),SUMIFS('ON Data'!P:P,'ON Data'!$E:$E,5))</f>
        <v>0</v>
      </c>
      <c r="L14" s="198">
        <f xml:space="preserve">
IF($A$4&lt;=12,SUMIFS('ON Data'!Q:Q,'ON Data'!$D:$D,$A$4,'ON Data'!$E:$E,5),SUMIFS('ON Data'!Q:Q,'ON Data'!$E:$E,5))</f>
        <v>0</v>
      </c>
      <c r="M14" s="198">
        <f xml:space="preserve">
IF($A$4&lt;=12,SUMIFS('ON Data'!R:R,'ON Data'!$D:$D,$A$4,'ON Data'!$E:$E,5),SUMIFS('ON Data'!R:R,'ON Data'!$E:$E,5))</f>
        <v>0</v>
      </c>
      <c r="N14" s="198">
        <f xml:space="preserve">
IF($A$4&lt;=12,SUMIFS('ON Data'!S:S,'ON Data'!$D:$D,$A$4,'ON Data'!$E:$E,5),SUMIFS('ON Data'!S:S,'ON Data'!$E:$E,5))</f>
        <v>0</v>
      </c>
      <c r="O14" s="198">
        <f xml:space="preserve">
IF($A$4&lt;=12,SUMIFS('ON Data'!T:T,'ON Data'!$D:$D,$A$4,'ON Data'!$E:$E,5),SUMIFS('ON Data'!T:T,'ON Data'!$E:$E,5))</f>
        <v>0</v>
      </c>
      <c r="P14" s="198">
        <f xml:space="preserve">
IF($A$4&lt;=12,SUMIFS('ON Data'!U:U,'ON Data'!$D:$D,$A$4,'ON Data'!$E:$E,5),SUMIFS('ON Data'!U:U,'ON Data'!$E:$E,5))</f>
        <v>0</v>
      </c>
      <c r="Q14" s="198">
        <f xml:space="preserve">
IF($A$4&lt;=12,SUMIFS('ON Data'!V:V,'ON Data'!$D:$D,$A$4,'ON Data'!$E:$E,5),SUMIFS('ON Data'!V:V,'ON Data'!$E:$E,5))</f>
        <v>0</v>
      </c>
      <c r="R14" s="198">
        <f xml:space="preserve">
IF($A$4&lt;=12,SUMIFS('ON Data'!W:W,'ON Data'!$D:$D,$A$4,'ON Data'!$E:$E,5),SUMIFS('ON Data'!W:W,'ON Data'!$E:$E,5))</f>
        <v>0</v>
      </c>
      <c r="S14" s="198">
        <f xml:space="preserve">
IF($A$4&lt;=12,SUMIFS('ON Data'!X:X,'ON Data'!$D:$D,$A$4,'ON Data'!$E:$E,5),SUMIFS('ON Data'!X:X,'ON Data'!$E:$E,5))</f>
        <v>0</v>
      </c>
      <c r="T14" s="198">
        <f xml:space="preserve">
IF($A$4&lt;=12,SUMIFS('ON Data'!Y:Y,'ON Data'!$D:$D,$A$4,'ON Data'!$E:$E,5),SUMIFS('ON Data'!Y:Y,'ON Data'!$E:$E,5))</f>
        <v>0</v>
      </c>
      <c r="U14" s="198">
        <f xml:space="preserve">
IF($A$4&lt;=12,SUMIFS('ON Data'!Z:Z,'ON Data'!$D:$D,$A$4,'ON Data'!$E:$E,5),SUMIFS('ON Data'!Z:Z,'ON Data'!$E:$E,5))</f>
        <v>0</v>
      </c>
      <c r="V14" s="198">
        <f xml:space="preserve">
IF($A$4&lt;=12,SUMIFS('ON Data'!AA:AA,'ON Data'!$D:$D,$A$4,'ON Data'!$E:$E,5),SUMIFS('ON Data'!AA:AA,'ON Data'!$E:$E,5))</f>
        <v>0</v>
      </c>
      <c r="W14" s="198">
        <f xml:space="preserve">
IF($A$4&lt;=12,SUMIFS('ON Data'!AB:AB,'ON Data'!$D:$D,$A$4,'ON Data'!$E:$E,5),SUMIFS('ON Data'!AB:AB,'ON Data'!$E:$E,5))</f>
        <v>0</v>
      </c>
      <c r="X14" s="198">
        <f xml:space="preserve">
IF($A$4&lt;=12,SUMIFS('ON Data'!AC:AC,'ON Data'!$D:$D,$A$4,'ON Data'!$E:$E,5),SUMIFS('ON Data'!AC:AC,'ON Data'!$E:$E,5))</f>
        <v>0</v>
      </c>
      <c r="Y14" s="198">
        <f xml:space="preserve">
IF($A$4&lt;=12,SUMIFS('ON Data'!AD:AD,'ON Data'!$D:$D,$A$4,'ON Data'!$E:$E,5),SUMIFS('ON Data'!AD:AD,'ON Data'!$E:$E,5))</f>
        <v>0</v>
      </c>
      <c r="Z14" s="198">
        <f xml:space="preserve">
IF($A$4&lt;=12,SUMIFS('ON Data'!AE:AE,'ON Data'!$D:$D,$A$4,'ON Data'!$E:$E,5),SUMIFS('ON Data'!AE:AE,'ON Data'!$E:$E,5))</f>
        <v>0</v>
      </c>
      <c r="AA14" s="198">
        <f xml:space="preserve">
IF($A$4&lt;=12,SUMIFS('ON Data'!AF:AF,'ON Data'!$D:$D,$A$4,'ON Data'!$E:$E,5),SUMIFS('ON Data'!AF:AF,'ON Data'!$E:$E,5))</f>
        <v>0</v>
      </c>
      <c r="AB14" s="198">
        <f xml:space="preserve">
IF($A$4&lt;=12,SUMIFS('ON Data'!AG:AG,'ON Data'!$D:$D,$A$4,'ON Data'!$E:$E,5),SUMIFS('ON Data'!AG:AG,'ON Data'!$E:$E,5))</f>
        <v>0</v>
      </c>
      <c r="AC14" s="198">
        <f xml:space="preserve">
IF($A$4&lt;=12,SUMIFS('ON Data'!AH:AH,'ON Data'!$D:$D,$A$4,'ON Data'!$E:$E,5),SUMIFS('ON Data'!AH:AH,'ON Data'!$E:$E,5))</f>
        <v>0</v>
      </c>
      <c r="AD14" s="198">
        <f xml:space="preserve">
IF($A$4&lt;=12,SUMIFS('ON Data'!AI:AI,'ON Data'!$D:$D,$A$4,'ON Data'!$E:$E,5),SUMIFS('ON Data'!AI:AI,'ON Data'!$E:$E,5))</f>
        <v>0</v>
      </c>
      <c r="AE14" s="198">
        <f xml:space="preserve">
IF($A$4&lt;=12,SUMIFS('ON Data'!AJ:AJ,'ON Data'!$D:$D,$A$4,'ON Data'!$E:$E,5),SUMIFS('ON Data'!AJ:AJ,'ON Data'!$E:$E,5))</f>
        <v>0</v>
      </c>
      <c r="AF14" s="198">
        <f xml:space="preserve">
IF($A$4&lt;=12,SUMIFS('ON Data'!AK:AK,'ON Data'!$D:$D,$A$4,'ON Data'!$E:$E,5),SUMIFS('ON Data'!AK:AK,'ON Data'!$E:$E,5))</f>
        <v>0</v>
      </c>
      <c r="AG14" s="198">
        <f xml:space="preserve">
IF($A$4&lt;=12,SUMIFS('ON Data'!AL:AL,'ON Data'!$D:$D,$A$4,'ON Data'!$E:$E,5),SUMIFS('ON Data'!AL:AL,'ON Data'!$E:$E,5))</f>
        <v>0</v>
      </c>
      <c r="AH14" s="325">
        <f xml:space="preserve">
IF($A$4&lt;=12,SUMIFS('ON Data'!AN:AN,'ON Data'!$D:$D,$A$4,'ON Data'!$E:$E,5),SUMIFS('ON Data'!AN:AN,'ON Data'!$E:$E,5))</f>
        <v>0</v>
      </c>
      <c r="AI14" s="334"/>
    </row>
    <row r="15" spans="1:35" x14ac:dyDescent="0.3">
      <c r="A15" s="122" t="s">
        <v>113</v>
      </c>
      <c r="B15" s="199"/>
      <c r="C15" s="200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326"/>
      <c r="AI15" s="334"/>
    </row>
    <row r="16" spans="1:35" x14ac:dyDescent="0.3">
      <c r="A16" s="178" t="s">
        <v>104</v>
      </c>
      <c r="B16" s="193">
        <f xml:space="preserve">
IF($A$4&lt;=12,SUMIFS('ON Data'!F:F,'ON Data'!$D:$D,$A$4,'ON Data'!$E:$E,7),SUMIFS('ON Data'!F:F,'ON Data'!$E:$E,7))</f>
        <v>0</v>
      </c>
      <c r="C16" s="194">
        <f xml:space="preserve">
IF($A$4&lt;=12,SUMIFS('ON Data'!G:G,'ON Data'!$D:$D,$A$4,'ON Data'!$E:$E,7),SUMIFS('ON Data'!G:G,'ON Data'!$E:$E,7))</f>
        <v>0</v>
      </c>
      <c r="D16" s="195">
        <f xml:space="preserve">
IF($A$4&lt;=12,SUMIFS('ON Data'!H:H,'ON Data'!$D:$D,$A$4,'ON Data'!$E:$E,7),SUMIFS('ON Data'!H:H,'ON Data'!$E:$E,7))</f>
        <v>0</v>
      </c>
      <c r="E16" s="195">
        <f xml:space="preserve">
IF($A$4&lt;=12,SUMIFS('ON Data'!I:I,'ON Data'!$D:$D,$A$4,'ON Data'!$E:$E,7),SUMIFS('ON Data'!I:I,'ON Data'!$E:$E,7))</f>
        <v>0</v>
      </c>
      <c r="F16" s="195">
        <f xml:space="preserve">
IF($A$4&lt;=12,SUMIFS('ON Data'!K:K,'ON Data'!$D:$D,$A$4,'ON Data'!$E:$E,7),SUMIFS('ON Data'!K:K,'ON Data'!$E:$E,7))</f>
        <v>0</v>
      </c>
      <c r="G16" s="195">
        <f xml:space="preserve">
IF($A$4&lt;=12,SUMIFS('ON Data'!L:L,'ON Data'!$D:$D,$A$4,'ON Data'!$E:$E,7),SUMIFS('ON Data'!L:L,'ON Data'!$E:$E,7))</f>
        <v>0</v>
      </c>
      <c r="H16" s="195">
        <f xml:space="preserve">
IF($A$4&lt;=12,SUMIFS('ON Data'!M:M,'ON Data'!$D:$D,$A$4,'ON Data'!$E:$E,7),SUMIFS('ON Data'!M:M,'ON Data'!$E:$E,7))</f>
        <v>0</v>
      </c>
      <c r="I16" s="195">
        <f xml:space="preserve">
IF($A$4&lt;=12,SUMIFS('ON Data'!N:N,'ON Data'!$D:$D,$A$4,'ON Data'!$E:$E,7),SUMIFS('ON Data'!N:N,'ON Data'!$E:$E,7))</f>
        <v>0</v>
      </c>
      <c r="J16" s="195">
        <f xml:space="preserve">
IF($A$4&lt;=12,SUMIFS('ON Data'!O:O,'ON Data'!$D:$D,$A$4,'ON Data'!$E:$E,7),SUMIFS('ON Data'!O:O,'ON Data'!$E:$E,7))</f>
        <v>0</v>
      </c>
      <c r="K16" s="195">
        <f xml:space="preserve">
IF($A$4&lt;=12,SUMIFS('ON Data'!P:P,'ON Data'!$D:$D,$A$4,'ON Data'!$E:$E,7),SUMIFS('ON Data'!P:P,'ON Data'!$E:$E,7))</f>
        <v>0</v>
      </c>
      <c r="L16" s="195">
        <f xml:space="preserve">
IF($A$4&lt;=12,SUMIFS('ON Data'!Q:Q,'ON Data'!$D:$D,$A$4,'ON Data'!$E:$E,7),SUMIFS('ON Data'!Q:Q,'ON Data'!$E:$E,7))</f>
        <v>0</v>
      </c>
      <c r="M16" s="195">
        <f xml:space="preserve">
IF($A$4&lt;=12,SUMIFS('ON Data'!R:R,'ON Data'!$D:$D,$A$4,'ON Data'!$E:$E,7),SUMIFS('ON Data'!R:R,'ON Data'!$E:$E,7))</f>
        <v>0</v>
      </c>
      <c r="N16" s="195">
        <f xml:space="preserve">
IF($A$4&lt;=12,SUMIFS('ON Data'!S:S,'ON Data'!$D:$D,$A$4,'ON Data'!$E:$E,7),SUMIFS('ON Data'!S:S,'ON Data'!$E:$E,7))</f>
        <v>0</v>
      </c>
      <c r="O16" s="195">
        <f xml:space="preserve">
IF($A$4&lt;=12,SUMIFS('ON Data'!T:T,'ON Data'!$D:$D,$A$4,'ON Data'!$E:$E,7),SUMIFS('ON Data'!T:T,'ON Data'!$E:$E,7))</f>
        <v>0</v>
      </c>
      <c r="P16" s="195">
        <f xml:space="preserve">
IF($A$4&lt;=12,SUMIFS('ON Data'!U:U,'ON Data'!$D:$D,$A$4,'ON Data'!$E:$E,7),SUMIFS('ON Data'!U:U,'ON Data'!$E:$E,7))</f>
        <v>0</v>
      </c>
      <c r="Q16" s="195">
        <f xml:space="preserve">
IF($A$4&lt;=12,SUMIFS('ON Data'!V:V,'ON Data'!$D:$D,$A$4,'ON Data'!$E:$E,7),SUMIFS('ON Data'!V:V,'ON Data'!$E:$E,7))</f>
        <v>0</v>
      </c>
      <c r="R16" s="195">
        <f xml:space="preserve">
IF($A$4&lt;=12,SUMIFS('ON Data'!W:W,'ON Data'!$D:$D,$A$4,'ON Data'!$E:$E,7),SUMIFS('ON Data'!W:W,'ON Data'!$E:$E,7))</f>
        <v>0</v>
      </c>
      <c r="S16" s="195">
        <f xml:space="preserve">
IF($A$4&lt;=12,SUMIFS('ON Data'!X:X,'ON Data'!$D:$D,$A$4,'ON Data'!$E:$E,7),SUMIFS('ON Data'!X:X,'ON Data'!$E:$E,7))</f>
        <v>0</v>
      </c>
      <c r="T16" s="195">
        <f xml:space="preserve">
IF($A$4&lt;=12,SUMIFS('ON Data'!Y:Y,'ON Data'!$D:$D,$A$4,'ON Data'!$E:$E,7),SUMIFS('ON Data'!Y:Y,'ON Data'!$E:$E,7))</f>
        <v>0</v>
      </c>
      <c r="U16" s="195">
        <f xml:space="preserve">
IF($A$4&lt;=12,SUMIFS('ON Data'!Z:Z,'ON Data'!$D:$D,$A$4,'ON Data'!$E:$E,7),SUMIFS('ON Data'!Z:Z,'ON Data'!$E:$E,7))</f>
        <v>0</v>
      </c>
      <c r="V16" s="195">
        <f xml:space="preserve">
IF($A$4&lt;=12,SUMIFS('ON Data'!AA:AA,'ON Data'!$D:$D,$A$4,'ON Data'!$E:$E,7),SUMIFS('ON Data'!AA:AA,'ON Data'!$E:$E,7))</f>
        <v>0</v>
      </c>
      <c r="W16" s="195">
        <f xml:space="preserve">
IF($A$4&lt;=12,SUMIFS('ON Data'!AB:AB,'ON Data'!$D:$D,$A$4,'ON Data'!$E:$E,7),SUMIFS('ON Data'!AB:AB,'ON Data'!$E:$E,7))</f>
        <v>0</v>
      </c>
      <c r="X16" s="195">
        <f xml:space="preserve">
IF($A$4&lt;=12,SUMIFS('ON Data'!AC:AC,'ON Data'!$D:$D,$A$4,'ON Data'!$E:$E,7),SUMIFS('ON Data'!AC:AC,'ON Data'!$E:$E,7))</f>
        <v>0</v>
      </c>
      <c r="Y16" s="195">
        <f xml:space="preserve">
IF($A$4&lt;=12,SUMIFS('ON Data'!AD:AD,'ON Data'!$D:$D,$A$4,'ON Data'!$E:$E,7),SUMIFS('ON Data'!AD:AD,'ON Data'!$E:$E,7))</f>
        <v>0</v>
      </c>
      <c r="Z16" s="195">
        <f xml:space="preserve">
IF($A$4&lt;=12,SUMIFS('ON Data'!AE:AE,'ON Data'!$D:$D,$A$4,'ON Data'!$E:$E,7),SUMIFS('ON Data'!AE:AE,'ON Data'!$E:$E,7))</f>
        <v>0</v>
      </c>
      <c r="AA16" s="195">
        <f xml:space="preserve">
IF($A$4&lt;=12,SUMIFS('ON Data'!AF:AF,'ON Data'!$D:$D,$A$4,'ON Data'!$E:$E,7),SUMIFS('ON Data'!AF:AF,'ON Data'!$E:$E,7))</f>
        <v>0</v>
      </c>
      <c r="AB16" s="195">
        <f xml:space="preserve">
IF($A$4&lt;=12,SUMIFS('ON Data'!AG:AG,'ON Data'!$D:$D,$A$4,'ON Data'!$E:$E,7),SUMIFS('ON Data'!AG:AG,'ON Data'!$E:$E,7))</f>
        <v>0</v>
      </c>
      <c r="AC16" s="195">
        <f xml:space="preserve">
IF($A$4&lt;=12,SUMIFS('ON Data'!AH:AH,'ON Data'!$D:$D,$A$4,'ON Data'!$E:$E,7),SUMIFS('ON Data'!AH:AH,'ON Data'!$E:$E,7))</f>
        <v>0</v>
      </c>
      <c r="AD16" s="195">
        <f xml:space="preserve">
IF($A$4&lt;=12,SUMIFS('ON Data'!AI:AI,'ON Data'!$D:$D,$A$4,'ON Data'!$E:$E,7),SUMIFS('ON Data'!AI:AI,'ON Data'!$E:$E,7))</f>
        <v>0</v>
      </c>
      <c r="AE16" s="195">
        <f xml:space="preserve">
IF($A$4&lt;=12,SUMIFS('ON Data'!AJ:AJ,'ON Data'!$D:$D,$A$4,'ON Data'!$E:$E,7),SUMIFS('ON Data'!AJ:AJ,'ON Data'!$E:$E,7))</f>
        <v>0</v>
      </c>
      <c r="AF16" s="195">
        <f xml:space="preserve">
IF($A$4&lt;=12,SUMIFS('ON Data'!AK:AK,'ON Data'!$D:$D,$A$4,'ON Data'!$E:$E,7),SUMIFS('ON Data'!AK:AK,'ON Data'!$E:$E,7))</f>
        <v>0</v>
      </c>
      <c r="AG16" s="195">
        <f xml:space="preserve">
IF($A$4&lt;=12,SUMIFS('ON Data'!AL:AL,'ON Data'!$D:$D,$A$4,'ON Data'!$E:$E,7),SUMIFS('ON Data'!AL:AL,'ON Data'!$E:$E,7))</f>
        <v>0</v>
      </c>
      <c r="AH16" s="324">
        <f xml:space="preserve">
IF($A$4&lt;=12,SUMIFS('ON Data'!AN:AN,'ON Data'!$D:$D,$A$4,'ON Data'!$E:$E,7),SUMIFS('ON Data'!AN:AN,'ON Data'!$E:$E,7))</f>
        <v>0</v>
      </c>
      <c r="AI16" s="334"/>
    </row>
    <row r="17" spans="1:35" x14ac:dyDescent="0.3">
      <c r="A17" s="178" t="s">
        <v>105</v>
      </c>
      <c r="B17" s="193">
        <f xml:space="preserve">
IF($A$4&lt;=12,SUMIFS('ON Data'!F:F,'ON Data'!$D:$D,$A$4,'ON Data'!$E:$E,8),SUMIFS('ON Data'!F:F,'ON Data'!$E:$E,8))</f>
        <v>0</v>
      </c>
      <c r="C17" s="194">
        <f xml:space="preserve">
IF($A$4&lt;=12,SUMIFS('ON Data'!G:G,'ON Data'!$D:$D,$A$4,'ON Data'!$E:$E,8),SUMIFS('ON Data'!G:G,'ON Data'!$E:$E,8))</f>
        <v>0</v>
      </c>
      <c r="D17" s="195">
        <f xml:space="preserve">
IF($A$4&lt;=12,SUMIFS('ON Data'!H:H,'ON Data'!$D:$D,$A$4,'ON Data'!$E:$E,8),SUMIFS('ON Data'!H:H,'ON Data'!$E:$E,8))</f>
        <v>0</v>
      </c>
      <c r="E17" s="195">
        <f xml:space="preserve">
IF($A$4&lt;=12,SUMIFS('ON Data'!I:I,'ON Data'!$D:$D,$A$4,'ON Data'!$E:$E,8),SUMIFS('ON Data'!I:I,'ON Data'!$E:$E,8))</f>
        <v>0</v>
      </c>
      <c r="F17" s="195">
        <f xml:space="preserve">
IF($A$4&lt;=12,SUMIFS('ON Data'!K:K,'ON Data'!$D:$D,$A$4,'ON Data'!$E:$E,8),SUMIFS('ON Data'!K:K,'ON Data'!$E:$E,8))</f>
        <v>0</v>
      </c>
      <c r="G17" s="195">
        <f xml:space="preserve">
IF($A$4&lt;=12,SUMIFS('ON Data'!L:L,'ON Data'!$D:$D,$A$4,'ON Data'!$E:$E,8),SUMIFS('ON Data'!L:L,'ON Data'!$E:$E,8))</f>
        <v>0</v>
      </c>
      <c r="H17" s="195">
        <f xml:space="preserve">
IF($A$4&lt;=12,SUMIFS('ON Data'!M:M,'ON Data'!$D:$D,$A$4,'ON Data'!$E:$E,8),SUMIFS('ON Data'!M:M,'ON Data'!$E:$E,8))</f>
        <v>0</v>
      </c>
      <c r="I17" s="195">
        <f xml:space="preserve">
IF($A$4&lt;=12,SUMIFS('ON Data'!N:N,'ON Data'!$D:$D,$A$4,'ON Data'!$E:$E,8),SUMIFS('ON Data'!N:N,'ON Data'!$E:$E,8))</f>
        <v>0</v>
      </c>
      <c r="J17" s="195">
        <f xml:space="preserve">
IF($A$4&lt;=12,SUMIFS('ON Data'!O:O,'ON Data'!$D:$D,$A$4,'ON Data'!$E:$E,8),SUMIFS('ON Data'!O:O,'ON Data'!$E:$E,8))</f>
        <v>0</v>
      </c>
      <c r="K17" s="195">
        <f xml:space="preserve">
IF($A$4&lt;=12,SUMIFS('ON Data'!P:P,'ON Data'!$D:$D,$A$4,'ON Data'!$E:$E,8),SUMIFS('ON Data'!P:P,'ON Data'!$E:$E,8))</f>
        <v>0</v>
      </c>
      <c r="L17" s="195">
        <f xml:space="preserve">
IF($A$4&lt;=12,SUMIFS('ON Data'!Q:Q,'ON Data'!$D:$D,$A$4,'ON Data'!$E:$E,8),SUMIFS('ON Data'!Q:Q,'ON Data'!$E:$E,8))</f>
        <v>0</v>
      </c>
      <c r="M17" s="195">
        <f xml:space="preserve">
IF($A$4&lt;=12,SUMIFS('ON Data'!R:R,'ON Data'!$D:$D,$A$4,'ON Data'!$E:$E,8),SUMIFS('ON Data'!R:R,'ON Data'!$E:$E,8))</f>
        <v>0</v>
      </c>
      <c r="N17" s="195">
        <f xml:space="preserve">
IF($A$4&lt;=12,SUMIFS('ON Data'!S:S,'ON Data'!$D:$D,$A$4,'ON Data'!$E:$E,8),SUMIFS('ON Data'!S:S,'ON Data'!$E:$E,8))</f>
        <v>0</v>
      </c>
      <c r="O17" s="195">
        <f xml:space="preserve">
IF($A$4&lt;=12,SUMIFS('ON Data'!T:T,'ON Data'!$D:$D,$A$4,'ON Data'!$E:$E,8),SUMIFS('ON Data'!T:T,'ON Data'!$E:$E,8))</f>
        <v>0</v>
      </c>
      <c r="P17" s="195">
        <f xml:space="preserve">
IF($A$4&lt;=12,SUMIFS('ON Data'!U:U,'ON Data'!$D:$D,$A$4,'ON Data'!$E:$E,8),SUMIFS('ON Data'!U:U,'ON Data'!$E:$E,8))</f>
        <v>0</v>
      </c>
      <c r="Q17" s="195">
        <f xml:space="preserve">
IF($A$4&lt;=12,SUMIFS('ON Data'!V:V,'ON Data'!$D:$D,$A$4,'ON Data'!$E:$E,8),SUMIFS('ON Data'!V:V,'ON Data'!$E:$E,8))</f>
        <v>0</v>
      </c>
      <c r="R17" s="195">
        <f xml:space="preserve">
IF($A$4&lt;=12,SUMIFS('ON Data'!W:W,'ON Data'!$D:$D,$A$4,'ON Data'!$E:$E,8),SUMIFS('ON Data'!W:W,'ON Data'!$E:$E,8))</f>
        <v>0</v>
      </c>
      <c r="S17" s="195">
        <f xml:space="preserve">
IF($A$4&lt;=12,SUMIFS('ON Data'!X:X,'ON Data'!$D:$D,$A$4,'ON Data'!$E:$E,8),SUMIFS('ON Data'!X:X,'ON Data'!$E:$E,8))</f>
        <v>0</v>
      </c>
      <c r="T17" s="195">
        <f xml:space="preserve">
IF($A$4&lt;=12,SUMIFS('ON Data'!Y:Y,'ON Data'!$D:$D,$A$4,'ON Data'!$E:$E,8),SUMIFS('ON Data'!Y:Y,'ON Data'!$E:$E,8))</f>
        <v>0</v>
      </c>
      <c r="U17" s="195">
        <f xml:space="preserve">
IF($A$4&lt;=12,SUMIFS('ON Data'!Z:Z,'ON Data'!$D:$D,$A$4,'ON Data'!$E:$E,8),SUMIFS('ON Data'!Z:Z,'ON Data'!$E:$E,8))</f>
        <v>0</v>
      </c>
      <c r="V17" s="195">
        <f xml:space="preserve">
IF($A$4&lt;=12,SUMIFS('ON Data'!AA:AA,'ON Data'!$D:$D,$A$4,'ON Data'!$E:$E,8),SUMIFS('ON Data'!AA:AA,'ON Data'!$E:$E,8))</f>
        <v>0</v>
      </c>
      <c r="W17" s="195">
        <f xml:space="preserve">
IF($A$4&lt;=12,SUMIFS('ON Data'!AB:AB,'ON Data'!$D:$D,$A$4,'ON Data'!$E:$E,8),SUMIFS('ON Data'!AB:AB,'ON Data'!$E:$E,8))</f>
        <v>0</v>
      </c>
      <c r="X17" s="195">
        <f xml:space="preserve">
IF($A$4&lt;=12,SUMIFS('ON Data'!AC:AC,'ON Data'!$D:$D,$A$4,'ON Data'!$E:$E,8),SUMIFS('ON Data'!AC:AC,'ON Data'!$E:$E,8))</f>
        <v>0</v>
      </c>
      <c r="Y17" s="195">
        <f xml:space="preserve">
IF($A$4&lt;=12,SUMIFS('ON Data'!AD:AD,'ON Data'!$D:$D,$A$4,'ON Data'!$E:$E,8),SUMIFS('ON Data'!AD:AD,'ON Data'!$E:$E,8))</f>
        <v>0</v>
      </c>
      <c r="Z17" s="195">
        <f xml:space="preserve">
IF($A$4&lt;=12,SUMIFS('ON Data'!AE:AE,'ON Data'!$D:$D,$A$4,'ON Data'!$E:$E,8),SUMIFS('ON Data'!AE:AE,'ON Data'!$E:$E,8))</f>
        <v>0</v>
      </c>
      <c r="AA17" s="195">
        <f xml:space="preserve">
IF($A$4&lt;=12,SUMIFS('ON Data'!AF:AF,'ON Data'!$D:$D,$A$4,'ON Data'!$E:$E,8),SUMIFS('ON Data'!AF:AF,'ON Data'!$E:$E,8))</f>
        <v>0</v>
      </c>
      <c r="AB17" s="195">
        <f xml:space="preserve">
IF($A$4&lt;=12,SUMIFS('ON Data'!AG:AG,'ON Data'!$D:$D,$A$4,'ON Data'!$E:$E,8),SUMIFS('ON Data'!AG:AG,'ON Data'!$E:$E,8))</f>
        <v>0</v>
      </c>
      <c r="AC17" s="195">
        <f xml:space="preserve">
IF($A$4&lt;=12,SUMIFS('ON Data'!AH:AH,'ON Data'!$D:$D,$A$4,'ON Data'!$E:$E,8),SUMIFS('ON Data'!AH:AH,'ON Data'!$E:$E,8))</f>
        <v>0</v>
      </c>
      <c r="AD17" s="195">
        <f xml:space="preserve">
IF($A$4&lt;=12,SUMIFS('ON Data'!AI:AI,'ON Data'!$D:$D,$A$4,'ON Data'!$E:$E,8),SUMIFS('ON Data'!AI:AI,'ON Data'!$E:$E,8))</f>
        <v>0</v>
      </c>
      <c r="AE17" s="195">
        <f xml:space="preserve">
IF($A$4&lt;=12,SUMIFS('ON Data'!AJ:AJ,'ON Data'!$D:$D,$A$4,'ON Data'!$E:$E,8),SUMIFS('ON Data'!AJ:AJ,'ON Data'!$E:$E,8))</f>
        <v>0</v>
      </c>
      <c r="AF17" s="195">
        <f xml:space="preserve">
IF($A$4&lt;=12,SUMIFS('ON Data'!AK:AK,'ON Data'!$D:$D,$A$4,'ON Data'!$E:$E,8),SUMIFS('ON Data'!AK:AK,'ON Data'!$E:$E,8))</f>
        <v>0</v>
      </c>
      <c r="AG17" s="195">
        <f xml:space="preserve">
IF($A$4&lt;=12,SUMIFS('ON Data'!AL:AL,'ON Data'!$D:$D,$A$4,'ON Data'!$E:$E,8),SUMIFS('ON Data'!AL:AL,'ON Data'!$E:$E,8))</f>
        <v>0</v>
      </c>
      <c r="AH17" s="324">
        <f xml:space="preserve">
IF($A$4&lt;=12,SUMIFS('ON Data'!AN:AN,'ON Data'!$D:$D,$A$4,'ON Data'!$E:$E,8),SUMIFS('ON Data'!AN:AN,'ON Data'!$E:$E,8))</f>
        <v>0</v>
      </c>
      <c r="AI17" s="334"/>
    </row>
    <row r="18" spans="1:35" x14ac:dyDescent="0.3">
      <c r="A18" s="178" t="s">
        <v>106</v>
      </c>
      <c r="B18" s="193">
        <f xml:space="preserve">
B19-B16-B17</f>
        <v>44197</v>
      </c>
      <c r="C18" s="194">
        <f t="shared" ref="C18:G18" si="0" xml:space="preserve">
C19-C16-C17</f>
        <v>0</v>
      </c>
      <c r="D18" s="195">
        <f t="shared" si="0"/>
        <v>31051</v>
      </c>
      <c r="E18" s="195">
        <f t="shared" si="0"/>
        <v>0</v>
      </c>
      <c r="F18" s="195">
        <f t="shared" si="0"/>
        <v>0</v>
      </c>
      <c r="G18" s="195">
        <f t="shared" si="0"/>
        <v>0</v>
      </c>
      <c r="H18" s="195">
        <f t="shared" ref="H18:AH18" si="1" xml:space="preserve">
H19-H16-H17</f>
        <v>0</v>
      </c>
      <c r="I18" s="195">
        <f t="shared" si="1"/>
        <v>0</v>
      </c>
      <c r="J18" s="195">
        <f t="shared" si="1"/>
        <v>0</v>
      </c>
      <c r="K18" s="195">
        <f t="shared" si="1"/>
        <v>0</v>
      </c>
      <c r="L18" s="195">
        <f t="shared" si="1"/>
        <v>0</v>
      </c>
      <c r="M18" s="195">
        <f t="shared" si="1"/>
        <v>0</v>
      </c>
      <c r="N18" s="195">
        <f t="shared" si="1"/>
        <v>0</v>
      </c>
      <c r="O18" s="195">
        <f t="shared" si="1"/>
        <v>0</v>
      </c>
      <c r="P18" s="195">
        <f t="shared" si="1"/>
        <v>0</v>
      </c>
      <c r="Q18" s="195">
        <f t="shared" si="1"/>
        <v>0</v>
      </c>
      <c r="R18" s="195">
        <f t="shared" si="1"/>
        <v>0</v>
      </c>
      <c r="S18" s="195">
        <f t="shared" si="1"/>
        <v>0</v>
      </c>
      <c r="T18" s="195">
        <f t="shared" si="1"/>
        <v>0</v>
      </c>
      <c r="U18" s="195">
        <f t="shared" si="1"/>
        <v>0</v>
      </c>
      <c r="V18" s="195">
        <f t="shared" si="1"/>
        <v>0</v>
      </c>
      <c r="W18" s="195">
        <f t="shared" si="1"/>
        <v>0</v>
      </c>
      <c r="X18" s="195">
        <f t="shared" si="1"/>
        <v>0</v>
      </c>
      <c r="Y18" s="195">
        <f t="shared" si="1"/>
        <v>0</v>
      </c>
      <c r="Z18" s="195">
        <f t="shared" si="1"/>
        <v>0</v>
      </c>
      <c r="AA18" s="195">
        <f t="shared" si="1"/>
        <v>0</v>
      </c>
      <c r="AB18" s="195">
        <f t="shared" si="1"/>
        <v>0</v>
      </c>
      <c r="AC18" s="195">
        <f t="shared" si="1"/>
        <v>0</v>
      </c>
      <c r="AD18" s="195">
        <f t="shared" si="1"/>
        <v>0</v>
      </c>
      <c r="AE18" s="195">
        <f t="shared" si="1"/>
        <v>0</v>
      </c>
      <c r="AF18" s="195">
        <f t="shared" si="1"/>
        <v>0</v>
      </c>
      <c r="AG18" s="195">
        <f t="shared" si="1"/>
        <v>0</v>
      </c>
      <c r="AH18" s="324">
        <f t="shared" si="1"/>
        <v>13146</v>
      </c>
      <c r="AI18" s="334"/>
    </row>
    <row r="19" spans="1:35" ht="15" thickBot="1" x14ac:dyDescent="0.35">
      <c r="A19" s="179" t="s">
        <v>107</v>
      </c>
      <c r="B19" s="202">
        <f xml:space="preserve">
IF($A$4&lt;=12,SUMIFS('ON Data'!F:F,'ON Data'!$D:$D,$A$4,'ON Data'!$E:$E,9),SUMIFS('ON Data'!F:F,'ON Data'!$E:$E,9))</f>
        <v>44197</v>
      </c>
      <c r="C19" s="203">
        <f xml:space="preserve">
IF($A$4&lt;=12,SUMIFS('ON Data'!G:G,'ON Data'!$D:$D,$A$4,'ON Data'!$E:$E,9),SUMIFS('ON Data'!G:G,'ON Data'!$E:$E,9))</f>
        <v>0</v>
      </c>
      <c r="D19" s="204">
        <f xml:space="preserve">
IF($A$4&lt;=12,SUMIFS('ON Data'!H:H,'ON Data'!$D:$D,$A$4,'ON Data'!$E:$E,9),SUMIFS('ON Data'!H:H,'ON Data'!$E:$E,9))</f>
        <v>31051</v>
      </c>
      <c r="E19" s="204">
        <f xml:space="preserve">
IF($A$4&lt;=12,SUMIFS('ON Data'!I:I,'ON Data'!$D:$D,$A$4,'ON Data'!$E:$E,9),SUMIFS('ON Data'!I:I,'ON Data'!$E:$E,9))</f>
        <v>0</v>
      </c>
      <c r="F19" s="204">
        <f xml:space="preserve">
IF($A$4&lt;=12,SUMIFS('ON Data'!K:K,'ON Data'!$D:$D,$A$4,'ON Data'!$E:$E,9),SUMIFS('ON Data'!K:K,'ON Data'!$E:$E,9))</f>
        <v>0</v>
      </c>
      <c r="G19" s="204">
        <f xml:space="preserve">
IF($A$4&lt;=12,SUMIFS('ON Data'!L:L,'ON Data'!$D:$D,$A$4,'ON Data'!$E:$E,9),SUMIFS('ON Data'!L:L,'ON Data'!$E:$E,9))</f>
        <v>0</v>
      </c>
      <c r="H19" s="204">
        <f xml:space="preserve">
IF($A$4&lt;=12,SUMIFS('ON Data'!M:M,'ON Data'!$D:$D,$A$4,'ON Data'!$E:$E,9),SUMIFS('ON Data'!M:M,'ON Data'!$E:$E,9))</f>
        <v>0</v>
      </c>
      <c r="I19" s="204">
        <f xml:space="preserve">
IF($A$4&lt;=12,SUMIFS('ON Data'!N:N,'ON Data'!$D:$D,$A$4,'ON Data'!$E:$E,9),SUMIFS('ON Data'!N:N,'ON Data'!$E:$E,9))</f>
        <v>0</v>
      </c>
      <c r="J19" s="204">
        <f xml:space="preserve">
IF($A$4&lt;=12,SUMIFS('ON Data'!O:O,'ON Data'!$D:$D,$A$4,'ON Data'!$E:$E,9),SUMIFS('ON Data'!O:O,'ON Data'!$E:$E,9))</f>
        <v>0</v>
      </c>
      <c r="K19" s="204">
        <f xml:space="preserve">
IF($A$4&lt;=12,SUMIFS('ON Data'!P:P,'ON Data'!$D:$D,$A$4,'ON Data'!$E:$E,9),SUMIFS('ON Data'!P:P,'ON Data'!$E:$E,9))</f>
        <v>0</v>
      </c>
      <c r="L19" s="204">
        <f xml:space="preserve">
IF($A$4&lt;=12,SUMIFS('ON Data'!Q:Q,'ON Data'!$D:$D,$A$4,'ON Data'!$E:$E,9),SUMIFS('ON Data'!Q:Q,'ON Data'!$E:$E,9))</f>
        <v>0</v>
      </c>
      <c r="M19" s="204">
        <f xml:space="preserve">
IF($A$4&lt;=12,SUMIFS('ON Data'!R:R,'ON Data'!$D:$D,$A$4,'ON Data'!$E:$E,9),SUMIFS('ON Data'!R:R,'ON Data'!$E:$E,9))</f>
        <v>0</v>
      </c>
      <c r="N19" s="204">
        <f xml:space="preserve">
IF($A$4&lt;=12,SUMIFS('ON Data'!S:S,'ON Data'!$D:$D,$A$4,'ON Data'!$E:$E,9),SUMIFS('ON Data'!S:S,'ON Data'!$E:$E,9))</f>
        <v>0</v>
      </c>
      <c r="O19" s="204">
        <f xml:space="preserve">
IF($A$4&lt;=12,SUMIFS('ON Data'!T:T,'ON Data'!$D:$D,$A$4,'ON Data'!$E:$E,9),SUMIFS('ON Data'!T:T,'ON Data'!$E:$E,9))</f>
        <v>0</v>
      </c>
      <c r="P19" s="204">
        <f xml:space="preserve">
IF($A$4&lt;=12,SUMIFS('ON Data'!U:U,'ON Data'!$D:$D,$A$4,'ON Data'!$E:$E,9),SUMIFS('ON Data'!U:U,'ON Data'!$E:$E,9))</f>
        <v>0</v>
      </c>
      <c r="Q19" s="204">
        <f xml:space="preserve">
IF($A$4&lt;=12,SUMIFS('ON Data'!V:V,'ON Data'!$D:$D,$A$4,'ON Data'!$E:$E,9),SUMIFS('ON Data'!V:V,'ON Data'!$E:$E,9))</f>
        <v>0</v>
      </c>
      <c r="R19" s="204">
        <f xml:space="preserve">
IF($A$4&lt;=12,SUMIFS('ON Data'!W:W,'ON Data'!$D:$D,$A$4,'ON Data'!$E:$E,9),SUMIFS('ON Data'!W:W,'ON Data'!$E:$E,9))</f>
        <v>0</v>
      </c>
      <c r="S19" s="204">
        <f xml:space="preserve">
IF($A$4&lt;=12,SUMIFS('ON Data'!X:X,'ON Data'!$D:$D,$A$4,'ON Data'!$E:$E,9),SUMIFS('ON Data'!X:X,'ON Data'!$E:$E,9))</f>
        <v>0</v>
      </c>
      <c r="T19" s="204">
        <f xml:space="preserve">
IF($A$4&lt;=12,SUMIFS('ON Data'!Y:Y,'ON Data'!$D:$D,$A$4,'ON Data'!$E:$E,9),SUMIFS('ON Data'!Y:Y,'ON Data'!$E:$E,9))</f>
        <v>0</v>
      </c>
      <c r="U19" s="204">
        <f xml:space="preserve">
IF($A$4&lt;=12,SUMIFS('ON Data'!Z:Z,'ON Data'!$D:$D,$A$4,'ON Data'!$E:$E,9),SUMIFS('ON Data'!Z:Z,'ON Data'!$E:$E,9))</f>
        <v>0</v>
      </c>
      <c r="V19" s="204">
        <f xml:space="preserve">
IF($A$4&lt;=12,SUMIFS('ON Data'!AA:AA,'ON Data'!$D:$D,$A$4,'ON Data'!$E:$E,9),SUMIFS('ON Data'!AA:AA,'ON Data'!$E:$E,9))</f>
        <v>0</v>
      </c>
      <c r="W19" s="204">
        <f xml:space="preserve">
IF($A$4&lt;=12,SUMIFS('ON Data'!AB:AB,'ON Data'!$D:$D,$A$4,'ON Data'!$E:$E,9),SUMIFS('ON Data'!AB:AB,'ON Data'!$E:$E,9))</f>
        <v>0</v>
      </c>
      <c r="X19" s="204">
        <f xml:space="preserve">
IF($A$4&lt;=12,SUMIFS('ON Data'!AC:AC,'ON Data'!$D:$D,$A$4,'ON Data'!$E:$E,9),SUMIFS('ON Data'!AC:AC,'ON Data'!$E:$E,9))</f>
        <v>0</v>
      </c>
      <c r="Y19" s="204">
        <f xml:space="preserve">
IF($A$4&lt;=12,SUMIFS('ON Data'!AD:AD,'ON Data'!$D:$D,$A$4,'ON Data'!$E:$E,9),SUMIFS('ON Data'!AD:AD,'ON Data'!$E:$E,9))</f>
        <v>0</v>
      </c>
      <c r="Z19" s="204">
        <f xml:space="preserve">
IF($A$4&lt;=12,SUMIFS('ON Data'!AE:AE,'ON Data'!$D:$D,$A$4,'ON Data'!$E:$E,9),SUMIFS('ON Data'!AE:AE,'ON Data'!$E:$E,9))</f>
        <v>0</v>
      </c>
      <c r="AA19" s="204">
        <f xml:space="preserve">
IF($A$4&lt;=12,SUMIFS('ON Data'!AF:AF,'ON Data'!$D:$D,$A$4,'ON Data'!$E:$E,9),SUMIFS('ON Data'!AF:AF,'ON Data'!$E:$E,9))</f>
        <v>0</v>
      </c>
      <c r="AB19" s="204">
        <f xml:space="preserve">
IF($A$4&lt;=12,SUMIFS('ON Data'!AG:AG,'ON Data'!$D:$D,$A$4,'ON Data'!$E:$E,9),SUMIFS('ON Data'!AG:AG,'ON Data'!$E:$E,9))</f>
        <v>0</v>
      </c>
      <c r="AC19" s="204">
        <f xml:space="preserve">
IF($A$4&lt;=12,SUMIFS('ON Data'!AH:AH,'ON Data'!$D:$D,$A$4,'ON Data'!$E:$E,9),SUMIFS('ON Data'!AH:AH,'ON Data'!$E:$E,9))</f>
        <v>0</v>
      </c>
      <c r="AD19" s="204">
        <f xml:space="preserve">
IF($A$4&lt;=12,SUMIFS('ON Data'!AI:AI,'ON Data'!$D:$D,$A$4,'ON Data'!$E:$E,9),SUMIFS('ON Data'!AI:AI,'ON Data'!$E:$E,9))</f>
        <v>0</v>
      </c>
      <c r="AE19" s="204">
        <f xml:space="preserve">
IF($A$4&lt;=12,SUMIFS('ON Data'!AJ:AJ,'ON Data'!$D:$D,$A$4,'ON Data'!$E:$E,9),SUMIFS('ON Data'!AJ:AJ,'ON Data'!$E:$E,9))</f>
        <v>0</v>
      </c>
      <c r="AF19" s="204">
        <f xml:space="preserve">
IF($A$4&lt;=12,SUMIFS('ON Data'!AK:AK,'ON Data'!$D:$D,$A$4,'ON Data'!$E:$E,9),SUMIFS('ON Data'!AK:AK,'ON Data'!$E:$E,9))</f>
        <v>0</v>
      </c>
      <c r="AG19" s="204">
        <f xml:space="preserve">
IF($A$4&lt;=12,SUMIFS('ON Data'!AL:AL,'ON Data'!$D:$D,$A$4,'ON Data'!$E:$E,9),SUMIFS('ON Data'!AL:AL,'ON Data'!$E:$E,9))</f>
        <v>0</v>
      </c>
      <c r="AH19" s="327">
        <f xml:space="preserve">
IF($A$4&lt;=12,SUMIFS('ON Data'!AN:AN,'ON Data'!$D:$D,$A$4,'ON Data'!$E:$E,9),SUMIFS('ON Data'!AN:AN,'ON Data'!$E:$E,9))</f>
        <v>13146</v>
      </c>
      <c r="AI19" s="334"/>
    </row>
    <row r="20" spans="1:35" ht="15" collapsed="1" thickBot="1" x14ac:dyDescent="0.35">
      <c r="A20" s="180" t="s">
        <v>45</v>
      </c>
      <c r="B20" s="205">
        <f xml:space="preserve">
IF($A$4&lt;=12,SUMIFS('ON Data'!F:F,'ON Data'!$D:$D,$A$4,'ON Data'!$E:$E,6),SUMIFS('ON Data'!F:F,'ON Data'!$E:$E,6))</f>
        <v>1608731</v>
      </c>
      <c r="C20" s="206">
        <f xml:space="preserve">
IF($A$4&lt;=12,SUMIFS('ON Data'!G:G,'ON Data'!$D:$D,$A$4,'ON Data'!$E:$E,6),SUMIFS('ON Data'!G:G,'ON Data'!$E:$E,6))</f>
        <v>355880</v>
      </c>
      <c r="D20" s="207">
        <f xml:space="preserve">
IF($A$4&lt;=12,SUMIFS('ON Data'!H:H,'ON Data'!$D:$D,$A$4,'ON Data'!$E:$E,6),SUMIFS('ON Data'!H:H,'ON Data'!$E:$E,6))</f>
        <v>994500</v>
      </c>
      <c r="E20" s="207">
        <f xml:space="preserve">
IF($A$4&lt;=12,SUMIFS('ON Data'!I:I,'ON Data'!$D:$D,$A$4,'ON Data'!$E:$E,6),SUMIFS('ON Data'!I:I,'ON Data'!$E:$E,6))</f>
        <v>0</v>
      </c>
      <c r="F20" s="207">
        <f xml:space="preserve">
IF($A$4&lt;=12,SUMIFS('ON Data'!K:K,'ON Data'!$D:$D,$A$4,'ON Data'!$E:$E,6),SUMIFS('ON Data'!K:K,'ON Data'!$E:$E,6))</f>
        <v>0</v>
      </c>
      <c r="G20" s="207">
        <f xml:space="preserve">
IF($A$4&lt;=12,SUMIFS('ON Data'!L:L,'ON Data'!$D:$D,$A$4,'ON Data'!$E:$E,6),SUMIFS('ON Data'!L:L,'ON Data'!$E:$E,6))</f>
        <v>0</v>
      </c>
      <c r="H20" s="207">
        <f xml:space="preserve">
IF($A$4&lt;=12,SUMIFS('ON Data'!M:M,'ON Data'!$D:$D,$A$4,'ON Data'!$E:$E,6),SUMIFS('ON Data'!M:M,'ON Data'!$E:$E,6))</f>
        <v>0</v>
      </c>
      <c r="I20" s="207">
        <f xml:space="preserve">
IF($A$4&lt;=12,SUMIFS('ON Data'!N:N,'ON Data'!$D:$D,$A$4,'ON Data'!$E:$E,6),SUMIFS('ON Data'!N:N,'ON Data'!$E:$E,6))</f>
        <v>0</v>
      </c>
      <c r="J20" s="207">
        <f xml:space="preserve">
IF($A$4&lt;=12,SUMIFS('ON Data'!O:O,'ON Data'!$D:$D,$A$4,'ON Data'!$E:$E,6),SUMIFS('ON Data'!O:O,'ON Data'!$E:$E,6))</f>
        <v>0</v>
      </c>
      <c r="K20" s="207">
        <f xml:space="preserve">
IF($A$4&lt;=12,SUMIFS('ON Data'!P:P,'ON Data'!$D:$D,$A$4,'ON Data'!$E:$E,6),SUMIFS('ON Data'!P:P,'ON Data'!$E:$E,6))</f>
        <v>0</v>
      </c>
      <c r="L20" s="207">
        <f xml:space="preserve">
IF($A$4&lt;=12,SUMIFS('ON Data'!Q:Q,'ON Data'!$D:$D,$A$4,'ON Data'!$E:$E,6),SUMIFS('ON Data'!Q:Q,'ON Data'!$E:$E,6))</f>
        <v>0</v>
      </c>
      <c r="M20" s="207">
        <f xml:space="preserve">
IF($A$4&lt;=12,SUMIFS('ON Data'!R:R,'ON Data'!$D:$D,$A$4,'ON Data'!$E:$E,6),SUMIFS('ON Data'!R:R,'ON Data'!$E:$E,6))</f>
        <v>0</v>
      </c>
      <c r="N20" s="207">
        <f xml:space="preserve">
IF($A$4&lt;=12,SUMIFS('ON Data'!S:S,'ON Data'!$D:$D,$A$4,'ON Data'!$E:$E,6),SUMIFS('ON Data'!S:S,'ON Data'!$E:$E,6))</f>
        <v>0</v>
      </c>
      <c r="O20" s="207">
        <f xml:space="preserve">
IF($A$4&lt;=12,SUMIFS('ON Data'!T:T,'ON Data'!$D:$D,$A$4,'ON Data'!$E:$E,6),SUMIFS('ON Data'!T:T,'ON Data'!$E:$E,6))</f>
        <v>0</v>
      </c>
      <c r="P20" s="207">
        <f xml:space="preserve">
IF($A$4&lt;=12,SUMIFS('ON Data'!U:U,'ON Data'!$D:$D,$A$4,'ON Data'!$E:$E,6),SUMIFS('ON Data'!U:U,'ON Data'!$E:$E,6))</f>
        <v>0</v>
      </c>
      <c r="Q20" s="207">
        <f xml:space="preserve">
IF($A$4&lt;=12,SUMIFS('ON Data'!V:V,'ON Data'!$D:$D,$A$4,'ON Data'!$E:$E,6),SUMIFS('ON Data'!V:V,'ON Data'!$E:$E,6))</f>
        <v>0</v>
      </c>
      <c r="R20" s="207">
        <f xml:space="preserve">
IF($A$4&lt;=12,SUMIFS('ON Data'!W:W,'ON Data'!$D:$D,$A$4,'ON Data'!$E:$E,6),SUMIFS('ON Data'!W:W,'ON Data'!$E:$E,6))</f>
        <v>0</v>
      </c>
      <c r="S20" s="207">
        <f xml:space="preserve">
IF($A$4&lt;=12,SUMIFS('ON Data'!X:X,'ON Data'!$D:$D,$A$4,'ON Data'!$E:$E,6),SUMIFS('ON Data'!X:X,'ON Data'!$E:$E,6))</f>
        <v>0</v>
      </c>
      <c r="T20" s="207">
        <f xml:space="preserve">
IF($A$4&lt;=12,SUMIFS('ON Data'!Y:Y,'ON Data'!$D:$D,$A$4,'ON Data'!$E:$E,6),SUMIFS('ON Data'!Y:Y,'ON Data'!$E:$E,6))</f>
        <v>0</v>
      </c>
      <c r="U20" s="207">
        <f xml:space="preserve">
IF($A$4&lt;=12,SUMIFS('ON Data'!Z:Z,'ON Data'!$D:$D,$A$4,'ON Data'!$E:$E,6),SUMIFS('ON Data'!Z:Z,'ON Data'!$E:$E,6))</f>
        <v>0</v>
      </c>
      <c r="V20" s="207">
        <f xml:space="preserve">
IF($A$4&lt;=12,SUMIFS('ON Data'!AA:AA,'ON Data'!$D:$D,$A$4,'ON Data'!$E:$E,6),SUMIFS('ON Data'!AA:AA,'ON Data'!$E:$E,6))</f>
        <v>0</v>
      </c>
      <c r="W20" s="207">
        <f xml:space="preserve">
IF($A$4&lt;=12,SUMIFS('ON Data'!AB:AB,'ON Data'!$D:$D,$A$4,'ON Data'!$E:$E,6),SUMIFS('ON Data'!AB:AB,'ON Data'!$E:$E,6))</f>
        <v>0</v>
      </c>
      <c r="X20" s="207">
        <f xml:space="preserve">
IF($A$4&lt;=12,SUMIFS('ON Data'!AC:AC,'ON Data'!$D:$D,$A$4,'ON Data'!$E:$E,6),SUMIFS('ON Data'!AC:AC,'ON Data'!$E:$E,6))</f>
        <v>0</v>
      </c>
      <c r="Y20" s="207">
        <f xml:space="preserve">
IF($A$4&lt;=12,SUMIFS('ON Data'!AD:AD,'ON Data'!$D:$D,$A$4,'ON Data'!$E:$E,6),SUMIFS('ON Data'!AD:AD,'ON Data'!$E:$E,6))</f>
        <v>0</v>
      </c>
      <c r="Z20" s="207">
        <f xml:space="preserve">
IF($A$4&lt;=12,SUMIFS('ON Data'!AE:AE,'ON Data'!$D:$D,$A$4,'ON Data'!$E:$E,6),SUMIFS('ON Data'!AE:AE,'ON Data'!$E:$E,6))</f>
        <v>0</v>
      </c>
      <c r="AA20" s="207">
        <f xml:space="preserve">
IF($A$4&lt;=12,SUMIFS('ON Data'!AF:AF,'ON Data'!$D:$D,$A$4,'ON Data'!$E:$E,6),SUMIFS('ON Data'!AF:AF,'ON Data'!$E:$E,6))</f>
        <v>0</v>
      </c>
      <c r="AB20" s="207">
        <f xml:space="preserve">
IF($A$4&lt;=12,SUMIFS('ON Data'!AG:AG,'ON Data'!$D:$D,$A$4,'ON Data'!$E:$E,6),SUMIFS('ON Data'!AG:AG,'ON Data'!$E:$E,6))</f>
        <v>0</v>
      </c>
      <c r="AC20" s="207">
        <f xml:space="preserve">
IF($A$4&lt;=12,SUMIFS('ON Data'!AH:AH,'ON Data'!$D:$D,$A$4,'ON Data'!$E:$E,6),SUMIFS('ON Data'!AH:AH,'ON Data'!$E:$E,6))</f>
        <v>0</v>
      </c>
      <c r="AD20" s="207">
        <f xml:space="preserve">
IF($A$4&lt;=12,SUMIFS('ON Data'!AI:AI,'ON Data'!$D:$D,$A$4,'ON Data'!$E:$E,6),SUMIFS('ON Data'!AI:AI,'ON Data'!$E:$E,6))</f>
        <v>0</v>
      </c>
      <c r="AE20" s="207">
        <f xml:space="preserve">
IF($A$4&lt;=12,SUMIFS('ON Data'!AJ:AJ,'ON Data'!$D:$D,$A$4,'ON Data'!$E:$E,6),SUMIFS('ON Data'!AJ:AJ,'ON Data'!$E:$E,6))</f>
        <v>0</v>
      </c>
      <c r="AF20" s="207">
        <f xml:space="preserve">
IF($A$4&lt;=12,SUMIFS('ON Data'!AK:AK,'ON Data'!$D:$D,$A$4,'ON Data'!$E:$E,6),SUMIFS('ON Data'!AK:AK,'ON Data'!$E:$E,6))</f>
        <v>0</v>
      </c>
      <c r="AG20" s="207">
        <f xml:space="preserve">
IF($A$4&lt;=12,SUMIFS('ON Data'!AL:AL,'ON Data'!$D:$D,$A$4,'ON Data'!$E:$E,6),SUMIFS('ON Data'!AL:AL,'ON Data'!$E:$E,6))</f>
        <v>0</v>
      </c>
      <c r="AH20" s="328">
        <f xml:space="preserve">
IF($A$4&lt;=12,SUMIFS('ON Data'!AN:AN,'ON Data'!$D:$D,$A$4,'ON Data'!$E:$E,6),SUMIFS('ON Data'!AN:AN,'ON Data'!$E:$E,6))</f>
        <v>258351</v>
      </c>
      <c r="AI20" s="334"/>
    </row>
    <row r="21" spans="1:35" ht="15" hidden="1" outlineLevel="1" thickBot="1" x14ac:dyDescent="0.35">
      <c r="A21" s="173" t="s">
        <v>52</v>
      </c>
      <c r="B21" s="193">
        <f xml:space="preserve">
IF($A$4&lt;=12,SUMIFS('ON Data'!F:F,'ON Data'!$D:$D,$A$4,'ON Data'!$E:$E,12),SUMIFS('ON Data'!F:F,'ON Data'!$E:$E,12))</f>
        <v>0</v>
      </c>
      <c r="C21" s="194">
        <f xml:space="preserve">
IF($A$4&lt;=12,SUMIFS('ON Data'!G:G,'ON Data'!$D:$D,$A$4,'ON Data'!$E:$E,12),SUMIFS('ON Data'!G:G,'ON Data'!$E:$E,12))</f>
        <v>0</v>
      </c>
      <c r="D21" s="195">
        <f xml:space="preserve">
IF($A$4&lt;=12,SUMIFS('ON Data'!H:H,'ON Data'!$D:$D,$A$4,'ON Data'!$E:$E,12),SUMIFS('ON Data'!H:H,'ON Data'!$E:$E,12))</f>
        <v>0</v>
      </c>
      <c r="E21" s="195">
        <f xml:space="preserve">
IF($A$4&lt;=12,SUMIFS('ON Data'!I:I,'ON Data'!$D:$D,$A$4,'ON Data'!$E:$E,12),SUMIFS('ON Data'!I:I,'ON Data'!$E:$E,12))</f>
        <v>0</v>
      </c>
      <c r="F21" s="195">
        <f xml:space="preserve">
IF($A$4&lt;=12,SUMIFS('ON Data'!K:K,'ON Data'!$D:$D,$A$4,'ON Data'!$E:$E,12),SUMIFS('ON Data'!K:K,'ON Data'!$E:$E,12))</f>
        <v>0</v>
      </c>
      <c r="G21" s="195">
        <f xml:space="preserve">
IF($A$4&lt;=12,SUMIFS('ON Data'!L:L,'ON Data'!$D:$D,$A$4,'ON Data'!$E:$E,12),SUMIFS('ON Data'!L:L,'ON Data'!$E:$E,12))</f>
        <v>0</v>
      </c>
      <c r="H21" s="195">
        <f xml:space="preserve">
IF($A$4&lt;=12,SUMIFS('ON Data'!M:M,'ON Data'!$D:$D,$A$4,'ON Data'!$E:$E,12),SUMIFS('ON Data'!M:M,'ON Data'!$E:$E,12))</f>
        <v>0</v>
      </c>
      <c r="I21" s="195">
        <f xml:space="preserve">
IF($A$4&lt;=12,SUMIFS('ON Data'!N:N,'ON Data'!$D:$D,$A$4,'ON Data'!$E:$E,12),SUMIFS('ON Data'!N:N,'ON Data'!$E:$E,12))</f>
        <v>0</v>
      </c>
      <c r="J21" s="195">
        <f xml:space="preserve">
IF($A$4&lt;=12,SUMIFS('ON Data'!O:O,'ON Data'!$D:$D,$A$4,'ON Data'!$E:$E,12),SUMIFS('ON Data'!O:O,'ON Data'!$E:$E,12))</f>
        <v>0</v>
      </c>
      <c r="K21" s="195">
        <f xml:space="preserve">
IF($A$4&lt;=12,SUMIFS('ON Data'!P:P,'ON Data'!$D:$D,$A$4,'ON Data'!$E:$E,12),SUMIFS('ON Data'!P:P,'ON Data'!$E:$E,12))</f>
        <v>0</v>
      </c>
      <c r="L21" s="195">
        <f xml:space="preserve">
IF($A$4&lt;=12,SUMIFS('ON Data'!Q:Q,'ON Data'!$D:$D,$A$4,'ON Data'!$E:$E,12),SUMIFS('ON Data'!Q:Q,'ON Data'!$E:$E,12))</f>
        <v>0</v>
      </c>
      <c r="M21" s="195">
        <f xml:space="preserve">
IF($A$4&lt;=12,SUMIFS('ON Data'!R:R,'ON Data'!$D:$D,$A$4,'ON Data'!$E:$E,12),SUMIFS('ON Data'!R:R,'ON Data'!$E:$E,12))</f>
        <v>0</v>
      </c>
      <c r="N21" s="195">
        <f xml:space="preserve">
IF($A$4&lt;=12,SUMIFS('ON Data'!S:S,'ON Data'!$D:$D,$A$4,'ON Data'!$E:$E,12),SUMIFS('ON Data'!S:S,'ON Data'!$E:$E,12))</f>
        <v>0</v>
      </c>
      <c r="O21" s="195">
        <f xml:space="preserve">
IF($A$4&lt;=12,SUMIFS('ON Data'!T:T,'ON Data'!$D:$D,$A$4,'ON Data'!$E:$E,12),SUMIFS('ON Data'!T:T,'ON Data'!$E:$E,12))</f>
        <v>0</v>
      </c>
      <c r="P21" s="195">
        <f xml:space="preserve">
IF($A$4&lt;=12,SUMIFS('ON Data'!U:U,'ON Data'!$D:$D,$A$4,'ON Data'!$E:$E,12),SUMIFS('ON Data'!U:U,'ON Data'!$E:$E,12))</f>
        <v>0</v>
      </c>
      <c r="Q21" s="195">
        <f xml:space="preserve">
IF($A$4&lt;=12,SUMIFS('ON Data'!V:V,'ON Data'!$D:$D,$A$4,'ON Data'!$E:$E,12),SUMIFS('ON Data'!V:V,'ON Data'!$E:$E,12))</f>
        <v>0</v>
      </c>
      <c r="R21" s="195">
        <f xml:space="preserve">
IF($A$4&lt;=12,SUMIFS('ON Data'!W:W,'ON Data'!$D:$D,$A$4,'ON Data'!$E:$E,12),SUMIFS('ON Data'!W:W,'ON Data'!$E:$E,12))</f>
        <v>0</v>
      </c>
      <c r="S21" s="195">
        <f xml:space="preserve">
IF($A$4&lt;=12,SUMIFS('ON Data'!X:X,'ON Data'!$D:$D,$A$4,'ON Data'!$E:$E,12),SUMIFS('ON Data'!X:X,'ON Data'!$E:$E,12))</f>
        <v>0</v>
      </c>
      <c r="T21" s="195">
        <f xml:space="preserve">
IF($A$4&lt;=12,SUMIFS('ON Data'!Y:Y,'ON Data'!$D:$D,$A$4,'ON Data'!$E:$E,12),SUMIFS('ON Data'!Y:Y,'ON Data'!$E:$E,12))</f>
        <v>0</v>
      </c>
      <c r="U21" s="195">
        <f xml:space="preserve">
IF($A$4&lt;=12,SUMIFS('ON Data'!Z:Z,'ON Data'!$D:$D,$A$4,'ON Data'!$E:$E,12),SUMIFS('ON Data'!Z:Z,'ON Data'!$E:$E,12))</f>
        <v>0</v>
      </c>
      <c r="V21" s="195">
        <f xml:space="preserve">
IF($A$4&lt;=12,SUMIFS('ON Data'!AA:AA,'ON Data'!$D:$D,$A$4,'ON Data'!$E:$E,12),SUMIFS('ON Data'!AA:AA,'ON Data'!$E:$E,12))</f>
        <v>0</v>
      </c>
      <c r="W21" s="195">
        <f xml:space="preserve">
IF($A$4&lt;=12,SUMIFS('ON Data'!AB:AB,'ON Data'!$D:$D,$A$4,'ON Data'!$E:$E,12),SUMIFS('ON Data'!AB:AB,'ON Data'!$E:$E,12))</f>
        <v>0</v>
      </c>
      <c r="X21" s="195">
        <f xml:space="preserve">
IF($A$4&lt;=12,SUMIFS('ON Data'!AC:AC,'ON Data'!$D:$D,$A$4,'ON Data'!$E:$E,12),SUMIFS('ON Data'!AC:AC,'ON Data'!$E:$E,12))</f>
        <v>0</v>
      </c>
      <c r="Y21" s="195">
        <f xml:space="preserve">
IF($A$4&lt;=12,SUMIFS('ON Data'!AD:AD,'ON Data'!$D:$D,$A$4,'ON Data'!$E:$E,12),SUMIFS('ON Data'!AD:AD,'ON Data'!$E:$E,12))</f>
        <v>0</v>
      </c>
      <c r="Z21" s="195">
        <f xml:space="preserve">
IF($A$4&lt;=12,SUMIFS('ON Data'!AE:AE,'ON Data'!$D:$D,$A$4,'ON Data'!$E:$E,12),SUMIFS('ON Data'!AE:AE,'ON Data'!$E:$E,12))</f>
        <v>0</v>
      </c>
      <c r="AA21" s="195">
        <f xml:space="preserve">
IF($A$4&lt;=12,SUMIFS('ON Data'!AF:AF,'ON Data'!$D:$D,$A$4,'ON Data'!$E:$E,12),SUMIFS('ON Data'!AF:AF,'ON Data'!$E:$E,12))</f>
        <v>0</v>
      </c>
      <c r="AB21" s="195">
        <f xml:space="preserve">
IF($A$4&lt;=12,SUMIFS('ON Data'!AG:AG,'ON Data'!$D:$D,$A$4,'ON Data'!$E:$E,12),SUMIFS('ON Data'!AG:AG,'ON Data'!$E:$E,12))</f>
        <v>0</v>
      </c>
      <c r="AC21" s="195">
        <f xml:space="preserve">
IF($A$4&lt;=12,SUMIFS('ON Data'!AH:AH,'ON Data'!$D:$D,$A$4,'ON Data'!$E:$E,12),SUMIFS('ON Data'!AH:AH,'ON Data'!$E:$E,12))</f>
        <v>0</v>
      </c>
      <c r="AD21" s="195">
        <f xml:space="preserve">
IF($A$4&lt;=12,SUMIFS('ON Data'!AI:AI,'ON Data'!$D:$D,$A$4,'ON Data'!$E:$E,12),SUMIFS('ON Data'!AI:AI,'ON Data'!$E:$E,12))</f>
        <v>0</v>
      </c>
      <c r="AE21" s="195">
        <f xml:space="preserve">
IF($A$4&lt;=12,SUMIFS('ON Data'!AJ:AJ,'ON Data'!$D:$D,$A$4,'ON Data'!$E:$E,12),SUMIFS('ON Data'!AJ:AJ,'ON Data'!$E:$E,12))</f>
        <v>0</v>
      </c>
      <c r="AF21" s="195">
        <f xml:space="preserve">
IF($A$4&lt;=12,SUMIFS('ON Data'!AK:AK,'ON Data'!$D:$D,$A$4,'ON Data'!$E:$E,12),SUMIFS('ON Data'!AK:AK,'ON Data'!$E:$E,12))</f>
        <v>0</v>
      </c>
      <c r="AG21" s="195">
        <f xml:space="preserve">
IF($A$4&lt;=12,SUMIFS('ON Data'!AL:AL,'ON Data'!$D:$D,$A$4,'ON Data'!$E:$E,12),SUMIFS('ON Data'!AL:AL,'ON Data'!$E:$E,12))</f>
        <v>0</v>
      </c>
      <c r="AH21" s="324">
        <f xml:space="preserve">
IF($A$4&lt;=12,SUMIFS('ON Data'!AN:AN,'ON Data'!$D:$D,$A$4,'ON Data'!$E:$E,12),SUMIFS('ON Data'!AN:AN,'ON Data'!$E:$E,12))</f>
        <v>0</v>
      </c>
      <c r="AI21" s="334"/>
    </row>
    <row r="22" spans="1:35" ht="15" hidden="1" outlineLevel="1" thickBot="1" x14ac:dyDescent="0.35">
      <c r="A22" s="173" t="s">
        <v>47</v>
      </c>
      <c r="B22" s="233" t="str">
        <f xml:space="preserve">
IF(OR(B21="",B21=0),"",B20/B21)</f>
        <v/>
      </c>
      <c r="C22" s="234" t="str">
        <f t="shared" ref="C22:G22" si="2" xml:space="preserve">
IF(OR(C21="",C21=0),"",C20/C21)</f>
        <v/>
      </c>
      <c r="D22" s="235" t="str">
        <f t="shared" si="2"/>
        <v/>
      </c>
      <c r="E22" s="235" t="str">
        <f t="shared" si="2"/>
        <v/>
      </c>
      <c r="F22" s="235" t="str">
        <f t="shared" si="2"/>
        <v/>
      </c>
      <c r="G22" s="235" t="str">
        <f t="shared" si="2"/>
        <v/>
      </c>
      <c r="H22" s="235" t="str">
        <f t="shared" ref="H22:AH22" si="3" xml:space="preserve">
IF(OR(H21="",H21=0),"",H20/H21)</f>
        <v/>
      </c>
      <c r="I22" s="235" t="str">
        <f t="shared" si="3"/>
        <v/>
      </c>
      <c r="J22" s="235" t="str">
        <f t="shared" si="3"/>
        <v/>
      </c>
      <c r="K22" s="235" t="str">
        <f t="shared" si="3"/>
        <v/>
      </c>
      <c r="L22" s="235" t="str">
        <f t="shared" si="3"/>
        <v/>
      </c>
      <c r="M22" s="235" t="str">
        <f t="shared" si="3"/>
        <v/>
      </c>
      <c r="N22" s="235" t="str">
        <f t="shared" si="3"/>
        <v/>
      </c>
      <c r="O22" s="235" t="str">
        <f t="shared" si="3"/>
        <v/>
      </c>
      <c r="P22" s="235" t="str">
        <f t="shared" si="3"/>
        <v/>
      </c>
      <c r="Q22" s="235" t="str">
        <f t="shared" si="3"/>
        <v/>
      </c>
      <c r="R22" s="235" t="str">
        <f t="shared" si="3"/>
        <v/>
      </c>
      <c r="S22" s="235" t="str">
        <f t="shared" si="3"/>
        <v/>
      </c>
      <c r="T22" s="235" t="str">
        <f t="shared" si="3"/>
        <v/>
      </c>
      <c r="U22" s="235" t="str">
        <f t="shared" si="3"/>
        <v/>
      </c>
      <c r="V22" s="235" t="str">
        <f t="shared" si="3"/>
        <v/>
      </c>
      <c r="W22" s="235" t="str">
        <f t="shared" si="3"/>
        <v/>
      </c>
      <c r="X22" s="235" t="str">
        <f t="shared" si="3"/>
        <v/>
      </c>
      <c r="Y22" s="235" t="str">
        <f t="shared" si="3"/>
        <v/>
      </c>
      <c r="Z22" s="235" t="str">
        <f t="shared" si="3"/>
        <v/>
      </c>
      <c r="AA22" s="235" t="str">
        <f t="shared" si="3"/>
        <v/>
      </c>
      <c r="AB22" s="235" t="str">
        <f t="shared" si="3"/>
        <v/>
      </c>
      <c r="AC22" s="235" t="str">
        <f t="shared" si="3"/>
        <v/>
      </c>
      <c r="AD22" s="235" t="str">
        <f t="shared" si="3"/>
        <v/>
      </c>
      <c r="AE22" s="235" t="str">
        <f t="shared" si="3"/>
        <v/>
      </c>
      <c r="AF22" s="235" t="str">
        <f t="shared" si="3"/>
        <v/>
      </c>
      <c r="AG22" s="235" t="str">
        <f t="shared" si="3"/>
        <v/>
      </c>
      <c r="AH22" s="329" t="str">
        <f t="shared" si="3"/>
        <v/>
      </c>
      <c r="AI22" s="334"/>
    </row>
    <row r="23" spans="1:35" ht="15" hidden="1" outlineLevel="1" thickBot="1" x14ac:dyDescent="0.35">
      <c r="A23" s="181" t="s">
        <v>43</v>
      </c>
      <c r="B23" s="196">
        <f xml:space="preserve">
IF(B21="","",B20-B21)</f>
        <v>1608731</v>
      </c>
      <c r="C23" s="197">
        <f t="shared" ref="C23:G23" si="4" xml:space="preserve">
IF(C21="","",C20-C21)</f>
        <v>355880</v>
      </c>
      <c r="D23" s="198">
        <f t="shared" si="4"/>
        <v>994500</v>
      </c>
      <c r="E23" s="198">
        <f t="shared" si="4"/>
        <v>0</v>
      </c>
      <c r="F23" s="198">
        <f t="shared" si="4"/>
        <v>0</v>
      </c>
      <c r="G23" s="198">
        <f t="shared" si="4"/>
        <v>0</v>
      </c>
      <c r="H23" s="198">
        <f t="shared" ref="H23:AH23" si="5" xml:space="preserve">
IF(H21="","",H20-H21)</f>
        <v>0</v>
      </c>
      <c r="I23" s="198">
        <f t="shared" si="5"/>
        <v>0</v>
      </c>
      <c r="J23" s="198">
        <f t="shared" si="5"/>
        <v>0</v>
      </c>
      <c r="K23" s="198">
        <f t="shared" si="5"/>
        <v>0</v>
      </c>
      <c r="L23" s="198">
        <f t="shared" si="5"/>
        <v>0</v>
      </c>
      <c r="M23" s="198">
        <f t="shared" si="5"/>
        <v>0</v>
      </c>
      <c r="N23" s="198">
        <f t="shared" si="5"/>
        <v>0</v>
      </c>
      <c r="O23" s="198">
        <f t="shared" si="5"/>
        <v>0</v>
      </c>
      <c r="P23" s="198">
        <f t="shared" si="5"/>
        <v>0</v>
      </c>
      <c r="Q23" s="198">
        <f t="shared" si="5"/>
        <v>0</v>
      </c>
      <c r="R23" s="198">
        <f t="shared" si="5"/>
        <v>0</v>
      </c>
      <c r="S23" s="198">
        <f t="shared" si="5"/>
        <v>0</v>
      </c>
      <c r="T23" s="198">
        <f t="shared" si="5"/>
        <v>0</v>
      </c>
      <c r="U23" s="198">
        <f t="shared" si="5"/>
        <v>0</v>
      </c>
      <c r="V23" s="198">
        <f t="shared" si="5"/>
        <v>0</v>
      </c>
      <c r="W23" s="198">
        <f t="shared" si="5"/>
        <v>0</v>
      </c>
      <c r="X23" s="198">
        <f t="shared" si="5"/>
        <v>0</v>
      </c>
      <c r="Y23" s="198">
        <f t="shared" si="5"/>
        <v>0</v>
      </c>
      <c r="Z23" s="198">
        <f t="shared" si="5"/>
        <v>0</v>
      </c>
      <c r="AA23" s="198">
        <f t="shared" si="5"/>
        <v>0</v>
      </c>
      <c r="AB23" s="198">
        <f t="shared" si="5"/>
        <v>0</v>
      </c>
      <c r="AC23" s="198">
        <f t="shared" si="5"/>
        <v>0</v>
      </c>
      <c r="AD23" s="198">
        <f t="shared" si="5"/>
        <v>0</v>
      </c>
      <c r="AE23" s="198">
        <f t="shared" si="5"/>
        <v>0</v>
      </c>
      <c r="AF23" s="198">
        <f t="shared" si="5"/>
        <v>0</v>
      </c>
      <c r="AG23" s="198">
        <f t="shared" si="5"/>
        <v>0</v>
      </c>
      <c r="AH23" s="325">
        <f t="shared" si="5"/>
        <v>258351</v>
      </c>
      <c r="AI23" s="334"/>
    </row>
    <row r="24" spans="1:35" x14ac:dyDescent="0.3">
      <c r="A24" s="175" t="s">
        <v>108</v>
      </c>
      <c r="B24" s="222" t="s">
        <v>2</v>
      </c>
      <c r="C24" s="335" t="s">
        <v>119</v>
      </c>
      <c r="D24" s="309"/>
      <c r="E24" s="310"/>
      <c r="F24" s="310" t="s">
        <v>120</v>
      </c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30" t="s">
        <v>121</v>
      </c>
      <c r="AI24" s="334"/>
    </row>
    <row r="25" spans="1:35" x14ac:dyDescent="0.3">
      <c r="A25" s="176" t="s">
        <v>45</v>
      </c>
      <c r="B25" s="193">
        <f xml:space="preserve">
SUM(C25:AH25)</f>
        <v>200</v>
      </c>
      <c r="C25" s="336">
        <f xml:space="preserve">
IF($A$4&lt;=12,SUMIFS('ON Data'!H:H,'ON Data'!$D:$D,$A$4,'ON Data'!$E:$E,10),SUMIFS('ON Data'!H:H,'ON Data'!$E:$E,10))</f>
        <v>200</v>
      </c>
      <c r="D25" s="311"/>
      <c r="E25" s="312"/>
      <c r="F25" s="312">
        <f xml:space="preserve">
IF($A$4&lt;=12,SUMIFS('ON Data'!K:K,'ON Data'!$D:$D,$A$4,'ON Data'!$E:$E,10),SUMIFS('ON Data'!K:K,'ON Data'!$E:$E,10))</f>
        <v>0</v>
      </c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312"/>
      <c r="AF25" s="312"/>
      <c r="AG25" s="312"/>
      <c r="AH25" s="331">
        <f xml:space="preserve">
IF($A$4&lt;=12,SUMIFS('ON Data'!AN:AN,'ON Data'!$D:$D,$A$4,'ON Data'!$E:$E,10),SUMIFS('ON Data'!AN:AN,'ON Data'!$E:$E,10))</f>
        <v>0</v>
      </c>
      <c r="AI25" s="334"/>
    </row>
    <row r="26" spans="1:35" x14ac:dyDescent="0.3">
      <c r="A26" s="182" t="s">
        <v>118</v>
      </c>
      <c r="B26" s="202">
        <f xml:space="preserve">
SUM(C26:AH26)</f>
        <v>2827.9961333580145</v>
      </c>
      <c r="C26" s="336">
        <f xml:space="preserve">
IF($A$4&lt;=12,SUMIFS('ON Data'!H:H,'ON Data'!$D:$D,$A$4,'ON Data'!$E:$E,11),SUMIFS('ON Data'!H:H,'ON Data'!$E:$E,11))</f>
        <v>2827.9961333580145</v>
      </c>
      <c r="D26" s="311"/>
      <c r="E26" s="312"/>
      <c r="F26" s="313">
        <f xml:space="preserve">
IF($A$4&lt;=12,SUMIFS('ON Data'!K:K,'ON Data'!$D:$D,$A$4,'ON Data'!$E:$E,11),SUMIFS('ON Data'!K:K,'ON Data'!$E:$E,11))</f>
        <v>0</v>
      </c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31">
        <f xml:space="preserve">
IF($A$4&lt;=12,SUMIFS('ON Data'!AN:AN,'ON Data'!$D:$D,$A$4,'ON Data'!$E:$E,11),SUMIFS('ON Data'!AN:AN,'ON Data'!$E:$E,11))</f>
        <v>0</v>
      </c>
      <c r="AI26" s="334"/>
    </row>
    <row r="27" spans="1:35" x14ac:dyDescent="0.3">
      <c r="A27" s="182" t="s">
        <v>47</v>
      </c>
      <c r="B27" s="223">
        <f xml:space="preserve">
IF(B26=0,0,B25/B26)</f>
        <v>7.0721454545454532E-2</v>
      </c>
      <c r="C27" s="337">
        <f xml:space="preserve">
IF(C26=0,0,C25/C26)</f>
        <v>7.0721454545454532E-2</v>
      </c>
      <c r="D27" s="314"/>
      <c r="E27" s="315"/>
      <c r="F27" s="315">
        <f xml:space="preserve">
IF(F26=0,0,F25/F26)</f>
        <v>0</v>
      </c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32">
        <f xml:space="preserve">
IF(AH26=0,0,AH25/AH26)</f>
        <v>0</v>
      </c>
      <c r="AI27" s="334"/>
    </row>
    <row r="28" spans="1:35" ht="15" thickBot="1" x14ac:dyDescent="0.35">
      <c r="A28" s="182" t="s">
        <v>117</v>
      </c>
      <c r="B28" s="202">
        <f xml:space="preserve">
SUM(C28:AH28)</f>
        <v>2627.9961333580145</v>
      </c>
      <c r="C28" s="338">
        <f xml:space="preserve">
C26-C25</f>
        <v>2627.9961333580145</v>
      </c>
      <c r="D28" s="316"/>
      <c r="E28" s="317"/>
      <c r="F28" s="317">
        <f xml:space="preserve">
F26-F25</f>
        <v>0</v>
      </c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33">
        <f xml:space="preserve">
AH26-AH25</f>
        <v>0</v>
      </c>
      <c r="AI28" s="334"/>
    </row>
    <row r="29" spans="1:35" x14ac:dyDescent="0.3">
      <c r="A29" s="183"/>
      <c r="B29" s="183"/>
      <c r="C29" s="184"/>
      <c r="D29" s="183"/>
      <c r="E29" s="183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3"/>
      <c r="AG29" s="183"/>
      <c r="AH29" s="183"/>
    </row>
    <row r="30" spans="1:35" x14ac:dyDescent="0.3">
      <c r="A30" s="76" t="s">
        <v>73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110"/>
    </row>
    <row r="31" spans="1:35" x14ac:dyDescent="0.3">
      <c r="A31" s="77" t="s">
        <v>115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110"/>
    </row>
    <row r="32" spans="1:35" ht="14.4" customHeight="1" x14ac:dyDescent="0.3">
      <c r="A32" s="219" t="s">
        <v>112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</row>
    <row r="33" spans="1:1" x14ac:dyDescent="0.3">
      <c r="A33" s="221" t="s">
        <v>122</v>
      </c>
    </row>
    <row r="34" spans="1:1" x14ac:dyDescent="0.3">
      <c r="A34" s="221" t="s">
        <v>123</v>
      </c>
    </row>
    <row r="35" spans="1:1" x14ac:dyDescent="0.3">
      <c r="A35" s="221" t="s">
        <v>124</v>
      </c>
    </row>
    <row r="36" spans="1:1" x14ac:dyDescent="0.3">
      <c r="A36" s="221" t="s">
        <v>125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7"/>
  <sheetViews>
    <sheetView showGridLines="0" showRowColHeaders="0" workbookViewId="0"/>
  </sheetViews>
  <sheetFormatPr defaultRowHeight="14.4" x14ac:dyDescent="0.3"/>
  <cols>
    <col min="1" max="16384" width="8.88671875" style="162"/>
  </cols>
  <sheetData>
    <row r="1" spans="1:41" x14ac:dyDescent="0.3">
      <c r="A1" s="162" t="s">
        <v>299</v>
      </c>
    </row>
    <row r="2" spans="1:41" x14ac:dyDescent="0.3">
      <c r="A2" s="166" t="s">
        <v>177</v>
      </c>
    </row>
    <row r="3" spans="1:41" x14ac:dyDescent="0.3">
      <c r="A3" s="162" t="s">
        <v>82</v>
      </c>
      <c r="B3" s="187">
        <v>2015</v>
      </c>
      <c r="D3" s="163">
        <f>MAX(D5:D1048576)</f>
        <v>10</v>
      </c>
      <c r="F3" s="163">
        <f>SUMIF($E5:$E1048576,"&lt;10",F5:F1048576)</f>
        <v>1660798</v>
      </c>
      <c r="G3" s="163">
        <f t="shared" ref="G3:AO3" si="0">SUMIF($E5:$E1048576,"&lt;10",G5:G1048576)</f>
        <v>360262</v>
      </c>
      <c r="H3" s="163">
        <f t="shared" si="0"/>
        <v>1027461</v>
      </c>
      <c r="I3" s="163">
        <f t="shared" si="0"/>
        <v>0</v>
      </c>
      <c r="J3" s="163">
        <f t="shared" si="0"/>
        <v>0</v>
      </c>
      <c r="K3" s="163">
        <f t="shared" si="0"/>
        <v>0</v>
      </c>
      <c r="L3" s="163">
        <f t="shared" si="0"/>
        <v>0</v>
      </c>
      <c r="M3" s="163">
        <f t="shared" si="0"/>
        <v>0</v>
      </c>
      <c r="N3" s="163">
        <f t="shared" si="0"/>
        <v>0</v>
      </c>
      <c r="O3" s="163">
        <f t="shared" si="0"/>
        <v>0</v>
      </c>
      <c r="P3" s="163">
        <f t="shared" si="0"/>
        <v>0</v>
      </c>
      <c r="Q3" s="163">
        <f t="shared" si="0"/>
        <v>0</v>
      </c>
      <c r="R3" s="163">
        <f t="shared" si="0"/>
        <v>0</v>
      </c>
      <c r="S3" s="163">
        <f t="shared" si="0"/>
        <v>0</v>
      </c>
      <c r="T3" s="163">
        <f t="shared" si="0"/>
        <v>0</v>
      </c>
      <c r="U3" s="163">
        <f t="shared" si="0"/>
        <v>0</v>
      </c>
      <c r="V3" s="163">
        <f t="shared" si="0"/>
        <v>0</v>
      </c>
      <c r="W3" s="163">
        <f t="shared" si="0"/>
        <v>0</v>
      </c>
      <c r="X3" s="163">
        <f t="shared" si="0"/>
        <v>0</v>
      </c>
      <c r="Y3" s="163">
        <f t="shared" si="0"/>
        <v>0</v>
      </c>
      <c r="Z3" s="163">
        <f t="shared" si="0"/>
        <v>0</v>
      </c>
      <c r="AA3" s="163">
        <f t="shared" si="0"/>
        <v>0</v>
      </c>
      <c r="AB3" s="163">
        <f t="shared" si="0"/>
        <v>0</v>
      </c>
      <c r="AC3" s="163">
        <f t="shared" si="0"/>
        <v>0</v>
      </c>
      <c r="AD3" s="163">
        <f t="shared" si="0"/>
        <v>0</v>
      </c>
      <c r="AE3" s="163">
        <f t="shared" si="0"/>
        <v>0</v>
      </c>
      <c r="AF3" s="163">
        <f t="shared" si="0"/>
        <v>0</v>
      </c>
      <c r="AG3" s="163">
        <f t="shared" si="0"/>
        <v>0</v>
      </c>
      <c r="AH3" s="163">
        <f t="shared" si="0"/>
        <v>0</v>
      </c>
      <c r="AI3" s="163">
        <f t="shared" si="0"/>
        <v>0</v>
      </c>
      <c r="AJ3" s="163">
        <f t="shared" si="0"/>
        <v>0</v>
      </c>
      <c r="AK3" s="163">
        <f t="shared" si="0"/>
        <v>0</v>
      </c>
      <c r="AL3" s="163">
        <f t="shared" si="0"/>
        <v>0</v>
      </c>
      <c r="AM3" s="163">
        <f t="shared" si="0"/>
        <v>0</v>
      </c>
      <c r="AN3" s="163">
        <f t="shared" si="0"/>
        <v>273075</v>
      </c>
      <c r="AO3" s="163">
        <f t="shared" si="0"/>
        <v>0</v>
      </c>
    </row>
    <row r="4" spans="1:41" x14ac:dyDescent="0.3">
      <c r="A4" s="162" t="s">
        <v>83</v>
      </c>
      <c r="B4" s="187">
        <v>1</v>
      </c>
      <c r="C4" s="164" t="s">
        <v>3</v>
      </c>
      <c r="D4" s="165" t="s">
        <v>42</v>
      </c>
      <c r="E4" s="165" t="s">
        <v>77</v>
      </c>
      <c r="F4" s="165" t="s">
        <v>2</v>
      </c>
      <c r="G4" s="165" t="s">
        <v>78</v>
      </c>
      <c r="H4" s="165" t="s">
        <v>79</v>
      </c>
      <c r="I4" s="165" t="s">
        <v>80</v>
      </c>
      <c r="J4" s="165" t="s">
        <v>81</v>
      </c>
      <c r="K4" s="165">
        <v>305</v>
      </c>
      <c r="L4" s="165">
        <v>306</v>
      </c>
      <c r="M4" s="165">
        <v>407</v>
      </c>
      <c r="N4" s="165">
        <v>408</v>
      </c>
      <c r="O4" s="165">
        <v>409</v>
      </c>
      <c r="P4" s="165">
        <v>410</v>
      </c>
      <c r="Q4" s="165">
        <v>415</v>
      </c>
      <c r="R4" s="165">
        <v>416</v>
      </c>
      <c r="S4" s="165">
        <v>418</v>
      </c>
      <c r="T4" s="165">
        <v>419</v>
      </c>
      <c r="U4" s="165">
        <v>420</v>
      </c>
      <c r="V4" s="165">
        <v>421</v>
      </c>
      <c r="W4" s="165">
        <v>522</v>
      </c>
      <c r="X4" s="165">
        <v>523</v>
      </c>
      <c r="Y4" s="165">
        <v>524</v>
      </c>
      <c r="Z4" s="165">
        <v>525</v>
      </c>
      <c r="AA4" s="165">
        <v>526</v>
      </c>
      <c r="AB4" s="165">
        <v>527</v>
      </c>
      <c r="AC4" s="165">
        <v>528</v>
      </c>
      <c r="AD4" s="165">
        <v>629</v>
      </c>
      <c r="AE4" s="165">
        <v>630</v>
      </c>
      <c r="AF4" s="165">
        <v>636</v>
      </c>
      <c r="AG4" s="165">
        <v>637</v>
      </c>
      <c r="AH4" s="165">
        <v>640</v>
      </c>
      <c r="AI4" s="165">
        <v>642</v>
      </c>
      <c r="AJ4" s="165">
        <v>743</v>
      </c>
      <c r="AK4" s="165">
        <v>745</v>
      </c>
      <c r="AL4" s="165">
        <v>746</v>
      </c>
      <c r="AM4" s="165">
        <v>747</v>
      </c>
      <c r="AN4" s="165">
        <v>930</v>
      </c>
      <c r="AO4" s="165">
        <v>940</v>
      </c>
    </row>
    <row r="5" spans="1:41" x14ac:dyDescent="0.3">
      <c r="A5" s="162" t="s">
        <v>84</v>
      </c>
      <c r="B5" s="187">
        <v>2</v>
      </c>
      <c r="C5" s="162">
        <v>46</v>
      </c>
      <c r="D5" s="162">
        <v>1</v>
      </c>
      <c r="E5" s="162">
        <v>1</v>
      </c>
      <c r="F5" s="162">
        <v>2</v>
      </c>
      <c r="G5" s="162">
        <v>0</v>
      </c>
      <c r="H5" s="162">
        <v>1</v>
      </c>
      <c r="I5" s="162">
        <v>0</v>
      </c>
      <c r="J5" s="162">
        <v>0</v>
      </c>
      <c r="K5" s="162">
        <v>0</v>
      </c>
      <c r="L5" s="162">
        <v>0</v>
      </c>
      <c r="M5" s="162">
        <v>0</v>
      </c>
      <c r="N5" s="162">
        <v>0</v>
      </c>
      <c r="O5" s="162">
        <v>0</v>
      </c>
      <c r="P5" s="162">
        <v>0</v>
      </c>
      <c r="Q5" s="162">
        <v>0</v>
      </c>
      <c r="R5" s="162">
        <v>0</v>
      </c>
      <c r="S5" s="162">
        <v>0</v>
      </c>
      <c r="T5" s="162">
        <v>0</v>
      </c>
      <c r="U5" s="162">
        <v>0</v>
      </c>
      <c r="V5" s="162">
        <v>0</v>
      </c>
      <c r="W5" s="162">
        <v>0</v>
      </c>
      <c r="X5" s="162">
        <v>0</v>
      </c>
      <c r="Y5" s="162">
        <v>0</v>
      </c>
      <c r="Z5" s="162">
        <v>0</v>
      </c>
      <c r="AA5" s="162">
        <v>0</v>
      </c>
      <c r="AB5" s="162">
        <v>0</v>
      </c>
      <c r="AC5" s="162">
        <v>0</v>
      </c>
      <c r="AD5" s="162">
        <v>0</v>
      </c>
      <c r="AE5" s="162">
        <v>0</v>
      </c>
      <c r="AF5" s="162">
        <v>0</v>
      </c>
      <c r="AG5" s="162">
        <v>0</v>
      </c>
      <c r="AH5" s="162">
        <v>0</v>
      </c>
      <c r="AI5" s="162">
        <v>0</v>
      </c>
      <c r="AJ5" s="162">
        <v>0</v>
      </c>
      <c r="AK5" s="162">
        <v>0</v>
      </c>
      <c r="AL5" s="162">
        <v>0</v>
      </c>
      <c r="AM5" s="162">
        <v>0</v>
      </c>
      <c r="AN5" s="162">
        <v>1</v>
      </c>
      <c r="AO5" s="162">
        <v>0</v>
      </c>
    </row>
    <row r="6" spans="1:41" x14ac:dyDescent="0.3">
      <c r="A6" s="162" t="s">
        <v>85</v>
      </c>
      <c r="B6" s="187">
        <v>3</v>
      </c>
      <c r="C6" s="162">
        <v>46</v>
      </c>
      <c r="D6" s="162">
        <v>1</v>
      </c>
      <c r="E6" s="162">
        <v>2</v>
      </c>
      <c r="F6" s="162">
        <v>336</v>
      </c>
      <c r="G6" s="162">
        <v>0</v>
      </c>
      <c r="H6" s="162">
        <v>168</v>
      </c>
      <c r="I6" s="162">
        <v>0</v>
      </c>
      <c r="J6" s="162">
        <v>0</v>
      </c>
      <c r="K6" s="162">
        <v>0</v>
      </c>
      <c r="L6" s="162">
        <v>0</v>
      </c>
      <c r="M6" s="162">
        <v>0</v>
      </c>
      <c r="N6" s="162">
        <v>0</v>
      </c>
      <c r="O6" s="162">
        <v>0</v>
      </c>
      <c r="P6" s="162">
        <v>0</v>
      </c>
      <c r="Q6" s="162">
        <v>0</v>
      </c>
      <c r="R6" s="162">
        <v>0</v>
      </c>
      <c r="S6" s="162">
        <v>0</v>
      </c>
      <c r="T6" s="162">
        <v>0</v>
      </c>
      <c r="U6" s="162">
        <v>0</v>
      </c>
      <c r="V6" s="162">
        <v>0</v>
      </c>
      <c r="W6" s="162">
        <v>0</v>
      </c>
      <c r="X6" s="162">
        <v>0</v>
      </c>
      <c r="Y6" s="162">
        <v>0</v>
      </c>
      <c r="Z6" s="162">
        <v>0</v>
      </c>
      <c r="AA6" s="162">
        <v>0</v>
      </c>
      <c r="AB6" s="162">
        <v>0</v>
      </c>
      <c r="AC6" s="162">
        <v>0</v>
      </c>
      <c r="AD6" s="162">
        <v>0</v>
      </c>
      <c r="AE6" s="162">
        <v>0</v>
      </c>
      <c r="AF6" s="162">
        <v>0</v>
      </c>
      <c r="AG6" s="162">
        <v>0</v>
      </c>
      <c r="AH6" s="162">
        <v>0</v>
      </c>
      <c r="AI6" s="162">
        <v>0</v>
      </c>
      <c r="AJ6" s="162">
        <v>0</v>
      </c>
      <c r="AK6" s="162">
        <v>0</v>
      </c>
      <c r="AL6" s="162">
        <v>0</v>
      </c>
      <c r="AM6" s="162">
        <v>0</v>
      </c>
      <c r="AN6" s="162">
        <v>168</v>
      </c>
      <c r="AO6" s="162">
        <v>0</v>
      </c>
    </row>
    <row r="7" spans="1:41" x14ac:dyDescent="0.3">
      <c r="A7" s="162" t="s">
        <v>86</v>
      </c>
      <c r="B7" s="187">
        <v>4</v>
      </c>
      <c r="C7" s="162">
        <v>46</v>
      </c>
      <c r="D7" s="162">
        <v>1</v>
      </c>
      <c r="E7" s="162">
        <v>4</v>
      </c>
      <c r="F7" s="162">
        <v>34</v>
      </c>
      <c r="G7" s="162">
        <v>0</v>
      </c>
      <c r="H7" s="162">
        <v>34</v>
      </c>
      <c r="I7" s="162">
        <v>0</v>
      </c>
      <c r="J7" s="162">
        <v>0</v>
      </c>
      <c r="K7" s="162">
        <v>0</v>
      </c>
      <c r="L7" s="162">
        <v>0</v>
      </c>
      <c r="M7" s="162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  <c r="T7" s="162">
        <v>0</v>
      </c>
      <c r="U7" s="162">
        <v>0</v>
      </c>
      <c r="V7" s="162">
        <v>0</v>
      </c>
      <c r="W7" s="162">
        <v>0</v>
      </c>
      <c r="X7" s="162">
        <v>0</v>
      </c>
      <c r="Y7" s="162">
        <v>0</v>
      </c>
      <c r="Z7" s="162">
        <v>0</v>
      </c>
      <c r="AA7" s="162">
        <v>0</v>
      </c>
      <c r="AB7" s="162">
        <v>0</v>
      </c>
      <c r="AC7" s="162">
        <v>0</v>
      </c>
      <c r="AD7" s="162">
        <v>0</v>
      </c>
      <c r="AE7" s="162">
        <v>0</v>
      </c>
      <c r="AF7" s="162">
        <v>0</v>
      </c>
      <c r="AG7" s="162">
        <v>0</v>
      </c>
      <c r="AH7" s="162">
        <v>0</v>
      </c>
      <c r="AI7" s="162">
        <v>0</v>
      </c>
      <c r="AJ7" s="162">
        <v>0</v>
      </c>
      <c r="AK7" s="162">
        <v>0</v>
      </c>
      <c r="AL7" s="162">
        <v>0</v>
      </c>
      <c r="AM7" s="162">
        <v>0</v>
      </c>
      <c r="AN7" s="162">
        <v>0</v>
      </c>
      <c r="AO7" s="162">
        <v>0</v>
      </c>
    </row>
    <row r="8" spans="1:41" x14ac:dyDescent="0.3">
      <c r="A8" s="162" t="s">
        <v>87</v>
      </c>
      <c r="B8" s="187">
        <v>5</v>
      </c>
      <c r="C8" s="162">
        <v>46</v>
      </c>
      <c r="D8" s="162">
        <v>1</v>
      </c>
      <c r="E8" s="162">
        <v>5</v>
      </c>
      <c r="F8" s="162">
        <v>461</v>
      </c>
      <c r="G8" s="162">
        <v>461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  <c r="M8" s="162">
        <v>0</v>
      </c>
      <c r="N8" s="162">
        <v>0</v>
      </c>
      <c r="O8" s="162">
        <v>0</v>
      </c>
      <c r="P8" s="162">
        <v>0</v>
      </c>
      <c r="Q8" s="162">
        <v>0</v>
      </c>
      <c r="R8" s="162">
        <v>0</v>
      </c>
      <c r="S8" s="162">
        <v>0</v>
      </c>
      <c r="T8" s="162">
        <v>0</v>
      </c>
      <c r="U8" s="162">
        <v>0</v>
      </c>
      <c r="V8" s="162">
        <v>0</v>
      </c>
      <c r="W8" s="162">
        <v>0</v>
      </c>
      <c r="X8" s="162">
        <v>0</v>
      </c>
      <c r="Y8" s="162">
        <v>0</v>
      </c>
      <c r="Z8" s="162">
        <v>0</v>
      </c>
      <c r="AA8" s="162">
        <v>0</v>
      </c>
      <c r="AB8" s="162">
        <v>0</v>
      </c>
      <c r="AC8" s="162">
        <v>0</v>
      </c>
      <c r="AD8" s="162">
        <v>0</v>
      </c>
      <c r="AE8" s="162">
        <v>0</v>
      </c>
      <c r="AF8" s="162">
        <v>0</v>
      </c>
      <c r="AG8" s="162">
        <v>0</v>
      </c>
      <c r="AH8" s="162">
        <v>0</v>
      </c>
      <c r="AI8" s="162">
        <v>0</v>
      </c>
      <c r="AJ8" s="162">
        <v>0</v>
      </c>
      <c r="AK8" s="162">
        <v>0</v>
      </c>
      <c r="AL8" s="162">
        <v>0</v>
      </c>
      <c r="AM8" s="162">
        <v>0</v>
      </c>
      <c r="AN8" s="162">
        <v>0</v>
      </c>
      <c r="AO8" s="162">
        <v>0</v>
      </c>
    </row>
    <row r="9" spans="1:41" x14ac:dyDescent="0.3">
      <c r="A9" s="162" t="s">
        <v>88</v>
      </c>
      <c r="B9" s="187">
        <v>6</v>
      </c>
      <c r="C9" s="162">
        <v>46</v>
      </c>
      <c r="D9" s="162">
        <v>1</v>
      </c>
      <c r="E9" s="162">
        <v>6</v>
      </c>
      <c r="F9" s="162">
        <v>155794</v>
      </c>
      <c r="G9" s="162">
        <v>36350</v>
      </c>
      <c r="H9" s="162">
        <v>95099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62">
        <v>0</v>
      </c>
      <c r="AM9" s="162">
        <v>0</v>
      </c>
      <c r="AN9" s="162">
        <v>24345</v>
      </c>
      <c r="AO9" s="162">
        <v>0</v>
      </c>
    </row>
    <row r="10" spans="1:41" x14ac:dyDescent="0.3">
      <c r="A10" s="162" t="s">
        <v>89</v>
      </c>
      <c r="B10" s="187">
        <v>7</v>
      </c>
      <c r="C10" s="162">
        <v>46</v>
      </c>
      <c r="D10" s="162">
        <v>1</v>
      </c>
      <c r="E10" s="162">
        <v>11</v>
      </c>
      <c r="F10" s="162">
        <v>282.79961333580138</v>
      </c>
      <c r="G10" s="162">
        <v>0</v>
      </c>
      <c r="H10" s="162">
        <v>282.79961333580138</v>
      </c>
      <c r="I10" s="162">
        <v>0</v>
      </c>
      <c r="J10" s="162">
        <v>0</v>
      </c>
      <c r="K10" s="162">
        <v>0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0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2">
        <v>0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162">
        <v>0</v>
      </c>
      <c r="AD10" s="162">
        <v>0</v>
      </c>
      <c r="AE10" s="162">
        <v>0</v>
      </c>
      <c r="AF10" s="162">
        <v>0</v>
      </c>
      <c r="AG10" s="162">
        <v>0</v>
      </c>
      <c r="AH10" s="162">
        <v>0</v>
      </c>
      <c r="AI10" s="162">
        <v>0</v>
      </c>
      <c r="AJ10" s="162">
        <v>0</v>
      </c>
      <c r="AK10" s="162">
        <v>0</v>
      </c>
      <c r="AL10" s="162">
        <v>0</v>
      </c>
      <c r="AM10" s="162">
        <v>0</v>
      </c>
      <c r="AN10" s="162">
        <v>0</v>
      </c>
      <c r="AO10" s="162">
        <v>0</v>
      </c>
    </row>
    <row r="11" spans="1:41" x14ac:dyDescent="0.3">
      <c r="A11" s="162" t="s">
        <v>90</v>
      </c>
      <c r="B11" s="187">
        <v>8</v>
      </c>
      <c r="C11" s="162">
        <v>46</v>
      </c>
      <c r="D11" s="162">
        <v>2</v>
      </c>
      <c r="E11" s="162">
        <v>1</v>
      </c>
      <c r="F11" s="162">
        <v>2</v>
      </c>
      <c r="G11" s="162">
        <v>0</v>
      </c>
      <c r="H11" s="162">
        <v>1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  <c r="P11" s="162">
        <v>0</v>
      </c>
      <c r="Q11" s="162">
        <v>0</v>
      </c>
      <c r="R11" s="162">
        <v>0</v>
      </c>
      <c r="S11" s="162">
        <v>0</v>
      </c>
      <c r="T11" s="162">
        <v>0</v>
      </c>
      <c r="U11" s="162">
        <v>0</v>
      </c>
      <c r="V11" s="162">
        <v>0</v>
      </c>
      <c r="W11" s="162">
        <v>0</v>
      </c>
      <c r="X11" s="162">
        <v>0</v>
      </c>
      <c r="Y11" s="162">
        <v>0</v>
      </c>
      <c r="Z11" s="162">
        <v>0</v>
      </c>
      <c r="AA11" s="162">
        <v>0</v>
      </c>
      <c r="AB11" s="162">
        <v>0</v>
      </c>
      <c r="AC11" s="162">
        <v>0</v>
      </c>
      <c r="AD11" s="162">
        <v>0</v>
      </c>
      <c r="AE11" s="162">
        <v>0</v>
      </c>
      <c r="AF11" s="162">
        <v>0</v>
      </c>
      <c r="AG11" s="162">
        <v>0</v>
      </c>
      <c r="AH11" s="162">
        <v>0</v>
      </c>
      <c r="AI11" s="162">
        <v>0</v>
      </c>
      <c r="AJ11" s="162">
        <v>0</v>
      </c>
      <c r="AK11" s="162">
        <v>0</v>
      </c>
      <c r="AL11" s="162">
        <v>0</v>
      </c>
      <c r="AM11" s="162">
        <v>0</v>
      </c>
      <c r="AN11" s="162">
        <v>1</v>
      </c>
      <c r="AO11" s="162">
        <v>0</v>
      </c>
    </row>
    <row r="12" spans="1:41" x14ac:dyDescent="0.3">
      <c r="A12" s="162" t="s">
        <v>91</v>
      </c>
      <c r="B12" s="187">
        <v>9</v>
      </c>
      <c r="C12" s="162">
        <v>46</v>
      </c>
      <c r="D12" s="162">
        <v>2</v>
      </c>
      <c r="E12" s="162">
        <v>2</v>
      </c>
      <c r="F12" s="162">
        <v>280</v>
      </c>
      <c r="G12" s="162">
        <v>0</v>
      </c>
      <c r="H12" s="162">
        <v>120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160</v>
      </c>
      <c r="AO12" s="162">
        <v>0</v>
      </c>
    </row>
    <row r="13" spans="1:41" x14ac:dyDescent="0.3">
      <c r="A13" s="162" t="s">
        <v>92</v>
      </c>
      <c r="B13" s="187">
        <v>10</v>
      </c>
      <c r="C13" s="162">
        <v>46</v>
      </c>
      <c r="D13" s="162">
        <v>2</v>
      </c>
      <c r="E13" s="162">
        <v>4</v>
      </c>
      <c r="F13" s="162">
        <v>34</v>
      </c>
      <c r="G13" s="162">
        <v>0</v>
      </c>
      <c r="H13" s="162">
        <v>34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</row>
    <row r="14" spans="1:41" x14ac:dyDescent="0.3">
      <c r="A14" s="162" t="s">
        <v>93</v>
      </c>
      <c r="B14" s="187">
        <v>11</v>
      </c>
      <c r="C14" s="162">
        <v>46</v>
      </c>
      <c r="D14" s="162">
        <v>2</v>
      </c>
      <c r="E14" s="162">
        <v>5</v>
      </c>
      <c r="F14" s="162">
        <v>337</v>
      </c>
      <c r="G14" s="162">
        <v>337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</row>
    <row r="15" spans="1:41" x14ac:dyDescent="0.3">
      <c r="A15" s="162" t="s">
        <v>94</v>
      </c>
      <c r="B15" s="187">
        <v>12</v>
      </c>
      <c r="C15" s="162">
        <v>46</v>
      </c>
      <c r="D15" s="162">
        <v>2</v>
      </c>
      <c r="E15" s="162">
        <v>6</v>
      </c>
      <c r="F15" s="162">
        <v>153486</v>
      </c>
      <c r="G15" s="162">
        <v>33150</v>
      </c>
      <c r="H15" s="162">
        <v>96166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24170</v>
      </c>
      <c r="AO15" s="162">
        <v>0</v>
      </c>
    </row>
    <row r="16" spans="1:41" x14ac:dyDescent="0.3">
      <c r="A16" s="162" t="s">
        <v>82</v>
      </c>
      <c r="B16" s="187">
        <v>2015</v>
      </c>
      <c r="C16" s="162">
        <v>46</v>
      </c>
      <c r="D16" s="162">
        <v>2</v>
      </c>
      <c r="E16" s="162">
        <v>11</v>
      </c>
      <c r="F16" s="162">
        <v>282.79961333580138</v>
      </c>
      <c r="G16" s="162">
        <v>0</v>
      </c>
      <c r="H16" s="162">
        <v>282.79961333580138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162">
        <v>0</v>
      </c>
      <c r="AA16" s="162">
        <v>0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</row>
    <row r="17" spans="3:41" x14ac:dyDescent="0.3">
      <c r="C17" s="162">
        <v>46</v>
      </c>
      <c r="D17" s="162">
        <v>3</v>
      </c>
      <c r="E17" s="162">
        <v>1</v>
      </c>
      <c r="F17" s="162">
        <v>2</v>
      </c>
      <c r="G17" s="162">
        <v>0</v>
      </c>
      <c r="H17" s="162">
        <v>1</v>
      </c>
      <c r="I17" s="162">
        <v>0</v>
      </c>
      <c r="J17" s="162">
        <v>0</v>
      </c>
      <c r="K17" s="162">
        <v>0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  <c r="Q17" s="162">
        <v>0</v>
      </c>
      <c r="R17" s="162">
        <v>0</v>
      </c>
      <c r="S17" s="162">
        <v>0</v>
      </c>
      <c r="T17" s="162">
        <v>0</v>
      </c>
      <c r="U17" s="162">
        <v>0</v>
      </c>
      <c r="V17" s="162">
        <v>0</v>
      </c>
      <c r="W17" s="162">
        <v>0</v>
      </c>
      <c r="X17" s="162">
        <v>0</v>
      </c>
      <c r="Y17" s="162">
        <v>0</v>
      </c>
      <c r="Z17" s="162">
        <v>0</v>
      </c>
      <c r="AA17" s="162">
        <v>0</v>
      </c>
      <c r="AB17" s="162">
        <v>0</v>
      </c>
      <c r="AC17" s="162">
        <v>0</v>
      </c>
      <c r="AD17" s="162">
        <v>0</v>
      </c>
      <c r="AE17" s="162">
        <v>0</v>
      </c>
      <c r="AF17" s="162">
        <v>0</v>
      </c>
      <c r="AG17" s="162">
        <v>0</v>
      </c>
      <c r="AH17" s="162">
        <v>0</v>
      </c>
      <c r="AI17" s="162">
        <v>0</v>
      </c>
      <c r="AJ17" s="162">
        <v>0</v>
      </c>
      <c r="AK17" s="162">
        <v>0</v>
      </c>
      <c r="AL17" s="162">
        <v>0</v>
      </c>
      <c r="AM17" s="162">
        <v>0</v>
      </c>
      <c r="AN17" s="162">
        <v>1</v>
      </c>
      <c r="AO17" s="162">
        <v>0</v>
      </c>
    </row>
    <row r="18" spans="3:41" x14ac:dyDescent="0.3">
      <c r="C18" s="162">
        <v>46</v>
      </c>
      <c r="D18" s="162">
        <v>3</v>
      </c>
      <c r="E18" s="162">
        <v>2</v>
      </c>
      <c r="F18" s="162">
        <v>304</v>
      </c>
      <c r="G18" s="162">
        <v>0</v>
      </c>
      <c r="H18" s="162">
        <v>160</v>
      </c>
      <c r="I18" s="162">
        <v>0</v>
      </c>
      <c r="J18" s="162">
        <v>0</v>
      </c>
      <c r="K18" s="162">
        <v>0</v>
      </c>
      <c r="L18" s="162">
        <v>0</v>
      </c>
      <c r="M18" s="162">
        <v>0</v>
      </c>
      <c r="N18" s="162">
        <v>0</v>
      </c>
      <c r="O18" s="162">
        <v>0</v>
      </c>
      <c r="P18" s="162">
        <v>0</v>
      </c>
      <c r="Q18" s="162">
        <v>0</v>
      </c>
      <c r="R18" s="162">
        <v>0</v>
      </c>
      <c r="S18" s="162">
        <v>0</v>
      </c>
      <c r="T18" s="162">
        <v>0</v>
      </c>
      <c r="U18" s="162">
        <v>0</v>
      </c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2">
        <v>0</v>
      </c>
      <c r="AK18" s="162">
        <v>0</v>
      </c>
      <c r="AL18" s="162">
        <v>0</v>
      </c>
      <c r="AM18" s="162">
        <v>0</v>
      </c>
      <c r="AN18" s="162">
        <v>144</v>
      </c>
      <c r="AO18" s="162">
        <v>0</v>
      </c>
    </row>
    <row r="19" spans="3:41" x14ac:dyDescent="0.3">
      <c r="C19" s="162">
        <v>46</v>
      </c>
      <c r="D19" s="162">
        <v>3</v>
      </c>
      <c r="E19" s="162">
        <v>4</v>
      </c>
      <c r="F19" s="162">
        <v>34</v>
      </c>
      <c r="G19" s="162">
        <v>0</v>
      </c>
      <c r="H19" s="162">
        <v>34</v>
      </c>
      <c r="I19" s="162">
        <v>0</v>
      </c>
      <c r="J19" s="162">
        <v>0</v>
      </c>
      <c r="K19" s="162">
        <v>0</v>
      </c>
      <c r="L19" s="162">
        <v>0</v>
      </c>
      <c r="M19" s="162">
        <v>0</v>
      </c>
      <c r="N19" s="162">
        <v>0</v>
      </c>
      <c r="O19" s="162">
        <v>0</v>
      </c>
      <c r="P19" s="162">
        <v>0</v>
      </c>
      <c r="Q19" s="162">
        <v>0</v>
      </c>
      <c r="R19" s="162">
        <v>0</v>
      </c>
      <c r="S19" s="162">
        <v>0</v>
      </c>
      <c r="T19" s="162">
        <v>0</v>
      </c>
      <c r="U19" s="162">
        <v>0</v>
      </c>
      <c r="V19" s="162">
        <v>0</v>
      </c>
      <c r="W19" s="162">
        <v>0</v>
      </c>
      <c r="X19" s="162">
        <v>0</v>
      </c>
      <c r="Y19" s="162">
        <v>0</v>
      </c>
      <c r="Z19" s="162">
        <v>0</v>
      </c>
      <c r="AA19" s="162">
        <v>0</v>
      </c>
      <c r="AB19" s="162">
        <v>0</v>
      </c>
      <c r="AC19" s="162">
        <v>0</v>
      </c>
      <c r="AD19" s="162">
        <v>0</v>
      </c>
      <c r="AE19" s="162">
        <v>0</v>
      </c>
      <c r="AF19" s="162">
        <v>0</v>
      </c>
      <c r="AG19" s="162">
        <v>0</v>
      </c>
      <c r="AH19" s="162">
        <v>0</v>
      </c>
      <c r="AI19" s="162">
        <v>0</v>
      </c>
      <c r="AJ19" s="162">
        <v>0</v>
      </c>
      <c r="AK19" s="162">
        <v>0</v>
      </c>
      <c r="AL19" s="162">
        <v>0</v>
      </c>
      <c r="AM19" s="162">
        <v>0</v>
      </c>
      <c r="AN19" s="162">
        <v>0</v>
      </c>
      <c r="AO19" s="162">
        <v>0</v>
      </c>
    </row>
    <row r="20" spans="3:41" x14ac:dyDescent="0.3">
      <c r="C20" s="162">
        <v>46</v>
      </c>
      <c r="D20" s="162">
        <v>3</v>
      </c>
      <c r="E20" s="162">
        <v>5</v>
      </c>
      <c r="F20" s="162">
        <v>421</v>
      </c>
      <c r="G20" s="162">
        <v>421</v>
      </c>
      <c r="H20" s="162">
        <v>0</v>
      </c>
      <c r="I20" s="162">
        <v>0</v>
      </c>
      <c r="J20" s="162">
        <v>0</v>
      </c>
      <c r="K20" s="162">
        <v>0</v>
      </c>
      <c r="L20" s="162">
        <v>0</v>
      </c>
      <c r="M20" s="162">
        <v>0</v>
      </c>
      <c r="N20" s="162">
        <v>0</v>
      </c>
      <c r="O20" s="162">
        <v>0</v>
      </c>
      <c r="P20" s="162">
        <v>0</v>
      </c>
      <c r="Q20" s="162">
        <v>0</v>
      </c>
      <c r="R20" s="162">
        <v>0</v>
      </c>
      <c r="S20" s="162">
        <v>0</v>
      </c>
      <c r="T20" s="162">
        <v>0</v>
      </c>
      <c r="U20" s="162">
        <v>0</v>
      </c>
      <c r="V20" s="162">
        <v>0</v>
      </c>
      <c r="W20" s="162">
        <v>0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0</v>
      </c>
      <c r="AH20" s="162">
        <v>0</v>
      </c>
      <c r="AI20" s="162">
        <v>0</v>
      </c>
      <c r="AJ20" s="162">
        <v>0</v>
      </c>
      <c r="AK20" s="162">
        <v>0</v>
      </c>
      <c r="AL20" s="162">
        <v>0</v>
      </c>
      <c r="AM20" s="162">
        <v>0</v>
      </c>
      <c r="AN20" s="162">
        <v>0</v>
      </c>
      <c r="AO20" s="162">
        <v>0</v>
      </c>
    </row>
    <row r="21" spans="3:41" x14ac:dyDescent="0.3">
      <c r="C21" s="162">
        <v>46</v>
      </c>
      <c r="D21" s="162">
        <v>3</v>
      </c>
      <c r="E21" s="162">
        <v>6</v>
      </c>
      <c r="F21" s="162">
        <v>149365</v>
      </c>
      <c r="G21" s="162">
        <v>28450</v>
      </c>
      <c r="H21" s="162">
        <v>96048</v>
      </c>
      <c r="I21" s="162">
        <v>0</v>
      </c>
      <c r="J21" s="162">
        <v>0</v>
      </c>
      <c r="K21" s="162">
        <v>0</v>
      </c>
      <c r="L21" s="162">
        <v>0</v>
      </c>
      <c r="M21" s="162">
        <v>0</v>
      </c>
      <c r="N21" s="162">
        <v>0</v>
      </c>
      <c r="O21" s="162">
        <v>0</v>
      </c>
      <c r="P21" s="162">
        <v>0</v>
      </c>
      <c r="Q21" s="162">
        <v>0</v>
      </c>
      <c r="R21" s="162">
        <v>0</v>
      </c>
      <c r="S21" s="162">
        <v>0</v>
      </c>
      <c r="T21" s="162">
        <v>0</v>
      </c>
      <c r="U21" s="162">
        <v>0</v>
      </c>
      <c r="V21" s="162">
        <v>0</v>
      </c>
      <c r="W21" s="162">
        <v>0</v>
      </c>
      <c r="X21" s="162">
        <v>0</v>
      </c>
      <c r="Y21" s="162">
        <v>0</v>
      </c>
      <c r="Z21" s="162">
        <v>0</v>
      </c>
      <c r="AA21" s="162">
        <v>0</v>
      </c>
      <c r="AB21" s="162">
        <v>0</v>
      </c>
      <c r="AC21" s="162">
        <v>0</v>
      </c>
      <c r="AD21" s="162">
        <v>0</v>
      </c>
      <c r="AE21" s="162">
        <v>0</v>
      </c>
      <c r="AF21" s="162">
        <v>0</v>
      </c>
      <c r="AG21" s="162">
        <v>0</v>
      </c>
      <c r="AH21" s="162">
        <v>0</v>
      </c>
      <c r="AI21" s="162">
        <v>0</v>
      </c>
      <c r="AJ21" s="162">
        <v>0</v>
      </c>
      <c r="AK21" s="162">
        <v>0</v>
      </c>
      <c r="AL21" s="162">
        <v>0</v>
      </c>
      <c r="AM21" s="162">
        <v>0</v>
      </c>
      <c r="AN21" s="162">
        <v>24867</v>
      </c>
      <c r="AO21" s="162">
        <v>0</v>
      </c>
    </row>
    <row r="22" spans="3:41" x14ac:dyDescent="0.3">
      <c r="C22" s="162">
        <v>46</v>
      </c>
      <c r="D22" s="162">
        <v>3</v>
      </c>
      <c r="E22" s="162">
        <v>10</v>
      </c>
      <c r="F22" s="162">
        <v>200</v>
      </c>
      <c r="G22" s="162">
        <v>0</v>
      </c>
      <c r="H22" s="162">
        <v>200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2">
        <v>0</v>
      </c>
      <c r="U22" s="162">
        <v>0</v>
      </c>
      <c r="V22" s="162">
        <v>0</v>
      </c>
      <c r="W22" s="162">
        <v>0</v>
      </c>
      <c r="X22" s="162">
        <v>0</v>
      </c>
      <c r="Y22" s="162">
        <v>0</v>
      </c>
      <c r="Z22" s="162">
        <v>0</v>
      </c>
      <c r="AA22" s="162">
        <v>0</v>
      </c>
      <c r="AB22" s="162">
        <v>0</v>
      </c>
      <c r="AC22" s="162">
        <v>0</v>
      </c>
      <c r="AD22" s="162">
        <v>0</v>
      </c>
      <c r="AE22" s="162">
        <v>0</v>
      </c>
      <c r="AF22" s="162">
        <v>0</v>
      </c>
      <c r="AG22" s="162">
        <v>0</v>
      </c>
      <c r="AH22" s="162">
        <v>0</v>
      </c>
      <c r="AI22" s="162">
        <v>0</v>
      </c>
      <c r="AJ22" s="162">
        <v>0</v>
      </c>
      <c r="AK22" s="162">
        <v>0</v>
      </c>
      <c r="AL22" s="162">
        <v>0</v>
      </c>
      <c r="AM22" s="162">
        <v>0</v>
      </c>
      <c r="AN22" s="162">
        <v>0</v>
      </c>
      <c r="AO22" s="162">
        <v>0</v>
      </c>
    </row>
    <row r="23" spans="3:41" x14ac:dyDescent="0.3">
      <c r="C23" s="162">
        <v>46</v>
      </c>
      <c r="D23" s="162">
        <v>3</v>
      </c>
      <c r="E23" s="162">
        <v>11</v>
      </c>
      <c r="F23" s="162">
        <v>282.79961333580138</v>
      </c>
      <c r="G23" s="162">
        <v>0</v>
      </c>
      <c r="H23" s="162">
        <v>282.79961333580138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2">
        <v>0</v>
      </c>
      <c r="W23" s="162">
        <v>0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2">
        <v>0</v>
      </c>
      <c r="AG23" s="162">
        <v>0</v>
      </c>
      <c r="AH23" s="162">
        <v>0</v>
      </c>
      <c r="AI23" s="162">
        <v>0</v>
      </c>
      <c r="AJ23" s="162">
        <v>0</v>
      </c>
      <c r="AK23" s="162">
        <v>0</v>
      </c>
      <c r="AL23" s="162">
        <v>0</v>
      </c>
      <c r="AM23" s="162">
        <v>0</v>
      </c>
      <c r="AN23" s="162">
        <v>0</v>
      </c>
      <c r="AO23" s="162">
        <v>0</v>
      </c>
    </row>
    <row r="24" spans="3:41" x14ac:dyDescent="0.3">
      <c r="C24" s="162">
        <v>46</v>
      </c>
      <c r="D24" s="162">
        <v>4</v>
      </c>
      <c r="E24" s="162">
        <v>1</v>
      </c>
      <c r="F24" s="162">
        <v>2</v>
      </c>
      <c r="G24" s="162">
        <v>0</v>
      </c>
      <c r="H24" s="162">
        <v>1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1</v>
      </c>
      <c r="AO24" s="162">
        <v>0</v>
      </c>
    </row>
    <row r="25" spans="3:41" x14ac:dyDescent="0.3">
      <c r="C25" s="162">
        <v>46</v>
      </c>
      <c r="D25" s="162">
        <v>4</v>
      </c>
      <c r="E25" s="162">
        <v>2</v>
      </c>
      <c r="F25" s="162">
        <v>352</v>
      </c>
      <c r="G25" s="162">
        <v>0</v>
      </c>
      <c r="H25" s="162">
        <v>176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0</v>
      </c>
      <c r="O25" s="162">
        <v>0</v>
      </c>
      <c r="P25" s="162">
        <v>0</v>
      </c>
      <c r="Q25" s="162">
        <v>0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162">
        <v>0</v>
      </c>
      <c r="AD25" s="162">
        <v>0</v>
      </c>
      <c r="AE25" s="162">
        <v>0</v>
      </c>
      <c r="AF25" s="162">
        <v>0</v>
      </c>
      <c r="AG25" s="162">
        <v>0</v>
      </c>
      <c r="AH25" s="162">
        <v>0</v>
      </c>
      <c r="AI25" s="162">
        <v>0</v>
      </c>
      <c r="AJ25" s="162">
        <v>0</v>
      </c>
      <c r="AK25" s="162">
        <v>0</v>
      </c>
      <c r="AL25" s="162">
        <v>0</v>
      </c>
      <c r="AM25" s="162">
        <v>0</v>
      </c>
      <c r="AN25" s="162">
        <v>176</v>
      </c>
      <c r="AO25" s="162">
        <v>0</v>
      </c>
    </row>
    <row r="26" spans="3:41" x14ac:dyDescent="0.3">
      <c r="C26" s="162">
        <v>46</v>
      </c>
      <c r="D26" s="162">
        <v>4</v>
      </c>
      <c r="E26" s="162">
        <v>4</v>
      </c>
      <c r="F26" s="162">
        <v>34</v>
      </c>
      <c r="G26" s="162">
        <v>0</v>
      </c>
      <c r="H26" s="162">
        <v>34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2">
        <v>0</v>
      </c>
      <c r="AG26" s="162">
        <v>0</v>
      </c>
      <c r="AH26" s="162">
        <v>0</v>
      </c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</row>
    <row r="27" spans="3:41" x14ac:dyDescent="0.3">
      <c r="C27" s="162">
        <v>46</v>
      </c>
      <c r="D27" s="162">
        <v>4</v>
      </c>
      <c r="E27" s="162">
        <v>5</v>
      </c>
      <c r="F27" s="162">
        <v>430</v>
      </c>
      <c r="G27" s="162">
        <v>430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162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62">
        <v>0</v>
      </c>
      <c r="AM27" s="162">
        <v>0</v>
      </c>
      <c r="AN27" s="162">
        <v>0</v>
      </c>
      <c r="AO27" s="162">
        <v>0</v>
      </c>
    </row>
    <row r="28" spans="3:41" x14ac:dyDescent="0.3">
      <c r="C28" s="162">
        <v>46</v>
      </c>
      <c r="D28" s="162">
        <v>4</v>
      </c>
      <c r="E28" s="162">
        <v>6</v>
      </c>
      <c r="F28" s="162">
        <v>160983</v>
      </c>
      <c r="G28" s="162">
        <v>32550</v>
      </c>
      <c r="H28" s="162">
        <v>99263</v>
      </c>
      <c r="I28" s="162">
        <v>0</v>
      </c>
      <c r="J28" s="162">
        <v>0</v>
      </c>
      <c r="K28" s="162">
        <v>0</v>
      </c>
      <c r="L28" s="162">
        <v>0</v>
      </c>
      <c r="M28" s="162">
        <v>0</v>
      </c>
      <c r="N28" s="162">
        <v>0</v>
      </c>
      <c r="O28" s="162">
        <v>0</v>
      </c>
      <c r="P28" s="162">
        <v>0</v>
      </c>
      <c r="Q28" s="162">
        <v>0</v>
      </c>
      <c r="R28" s="162">
        <v>0</v>
      </c>
      <c r="S28" s="162">
        <v>0</v>
      </c>
      <c r="T28" s="162">
        <v>0</v>
      </c>
      <c r="U28" s="162">
        <v>0</v>
      </c>
      <c r="V28" s="162">
        <v>0</v>
      </c>
      <c r="W28" s="162">
        <v>0</v>
      </c>
      <c r="X28" s="162">
        <v>0</v>
      </c>
      <c r="Y28" s="162">
        <v>0</v>
      </c>
      <c r="Z28" s="162">
        <v>0</v>
      </c>
      <c r="AA28" s="162">
        <v>0</v>
      </c>
      <c r="AB28" s="162">
        <v>0</v>
      </c>
      <c r="AC28" s="162">
        <v>0</v>
      </c>
      <c r="AD28" s="162">
        <v>0</v>
      </c>
      <c r="AE28" s="162">
        <v>0</v>
      </c>
      <c r="AF28" s="162">
        <v>0</v>
      </c>
      <c r="AG28" s="162">
        <v>0</v>
      </c>
      <c r="AH28" s="162">
        <v>0</v>
      </c>
      <c r="AI28" s="162">
        <v>0</v>
      </c>
      <c r="AJ28" s="162">
        <v>0</v>
      </c>
      <c r="AK28" s="162">
        <v>0</v>
      </c>
      <c r="AL28" s="162">
        <v>0</v>
      </c>
      <c r="AM28" s="162">
        <v>0</v>
      </c>
      <c r="AN28" s="162">
        <v>29170</v>
      </c>
      <c r="AO28" s="162">
        <v>0</v>
      </c>
    </row>
    <row r="29" spans="3:41" x14ac:dyDescent="0.3">
      <c r="C29" s="162">
        <v>46</v>
      </c>
      <c r="D29" s="162">
        <v>4</v>
      </c>
      <c r="E29" s="162">
        <v>9</v>
      </c>
      <c r="F29" s="162">
        <v>10000</v>
      </c>
      <c r="G29" s="162">
        <v>0</v>
      </c>
      <c r="H29" s="162">
        <v>5000</v>
      </c>
      <c r="I29" s="162">
        <v>0</v>
      </c>
      <c r="J29" s="162">
        <v>0</v>
      </c>
      <c r="K29" s="162">
        <v>0</v>
      </c>
      <c r="L29" s="162">
        <v>0</v>
      </c>
      <c r="M29" s="162">
        <v>0</v>
      </c>
      <c r="N29" s="162">
        <v>0</v>
      </c>
      <c r="O29" s="162">
        <v>0</v>
      </c>
      <c r="P29" s="162">
        <v>0</v>
      </c>
      <c r="Q29" s="162">
        <v>0</v>
      </c>
      <c r="R29" s="162">
        <v>0</v>
      </c>
      <c r="S29" s="162">
        <v>0</v>
      </c>
      <c r="T29" s="162">
        <v>0</v>
      </c>
      <c r="U29" s="162">
        <v>0</v>
      </c>
      <c r="V29" s="162">
        <v>0</v>
      </c>
      <c r="W29" s="162">
        <v>0</v>
      </c>
      <c r="X29" s="162">
        <v>0</v>
      </c>
      <c r="Y29" s="162">
        <v>0</v>
      </c>
      <c r="Z29" s="162">
        <v>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0</v>
      </c>
      <c r="AG29" s="162">
        <v>0</v>
      </c>
      <c r="AH29" s="162">
        <v>0</v>
      </c>
      <c r="AI29" s="162">
        <v>0</v>
      </c>
      <c r="AJ29" s="162">
        <v>0</v>
      </c>
      <c r="AK29" s="162">
        <v>0</v>
      </c>
      <c r="AL29" s="162">
        <v>0</v>
      </c>
      <c r="AM29" s="162">
        <v>0</v>
      </c>
      <c r="AN29" s="162">
        <v>5000</v>
      </c>
      <c r="AO29" s="162">
        <v>0</v>
      </c>
    </row>
    <row r="30" spans="3:41" x14ac:dyDescent="0.3">
      <c r="C30" s="162">
        <v>46</v>
      </c>
      <c r="D30" s="162">
        <v>4</v>
      </c>
      <c r="E30" s="162">
        <v>11</v>
      </c>
      <c r="F30" s="162">
        <v>282.79961333580138</v>
      </c>
      <c r="G30" s="162">
        <v>0</v>
      </c>
      <c r="H30" s="162">
        <v>282.79961333580138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</row>
    <row r="31" spans="3:41" x14ac:dyDescent="0.3">
      <c r="C31" s="162">
        <v>46</v>
      </c>
      <c r="D31" s="162">
        <v>5</v>
      </c>
      <c r="E31" s="162">
        <v>1</v>
      </c>
      <c r="F31" s="162">
        <v>2</v>
      </c>
      <c r="G31" s="162">
        <v>0</v>
      </c>
      <c r="H31" s="162">
        <v>1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1</v>
      </c>
      <c r="AO31" s="162">
        <v>0</v>
      </c>
    </row>
    <row r="32" spans="3:41" x14ac:dyDescent="0.3">
      <c r="C32" s="162">
        <v>46</v>
      </c>
      <c r="D32" s="162">
        <v>5</v>
      </c>
      <c r="E32" s="162">
        <v>2</v>
      </c>
      <c r="F32" s="162">
        <v>336</v>
      </c>
      <c r="G32" s="162">
        <v>0</v>
      </c>
      <c r="H32" s="162">
        <v>168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168</v>
      </c>
      <c r="AO32" s="162">
        <v>0</v>
      </c>
    </row>
    <row r="33" spans="3:41" x14ac:dyDescent="0.3">
      <c r="C33" s="162">
        <v>46</v>
      </c>
      <c r="D33" s="162">
        <v>5</v>
      </c>
      <c r="E33" s="162">
        <v>4</v>
      </c>
      <c r="F33" s="162">
        <v>34</v>
      </c>
      <c r="G33" s="162">
        <v>0</v>
      </c>
      <c r="H33" s="162">
        <v>34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</row>
    <row r="34" spans="3:41" x14ac:dyDescent="0.3">
      <c r="C34" s="162">
        <v>46</v>
      </c>
      <c r="D34" s="162">
        <v>5</v>
      </c>
      <c r="E34" s="162">
        <v>5</v>
      </c>
      <c r="F34" s="162">
        <v>507</v>
      </c>
      <c r="G34" s="162">
        <v>507</v>
      </c>
      <c r="H34" s="162">
        <v>0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</row>
    <row r="35" spans="3:41" x14ac:dyDescent="0.3">
      <c r="C35" s="162">
        <v>46</v>
      </c>
      <c r="D35" s="162">
        <v>5</v>
      </c>
      <c r="E35" s="162">
        <v>6</v>
      </c>
      <c r="F35" s="162">
        <v>163630</v>
      </c>
      <c r="G35" s="162">
        <v>46350</v>
      </c>
      <c r="H35" s="162">
        <v>93110</v>
      </c>
      <c r="I35" s="162">
        <v>0</v>
      </c>
      <c r="J35" s="162">
        <v>0</v>
      </c>
      <c r="K35" s="162">
        <v>0</v>
      </c>
      <c r="L35" s="162">
        <v>0</v>
      </c>
      <c r="M35" s="162">
        <v>0</v>
      </c>
      <c r="N35" s="162">
        <v>0</v>
      </c>
      <c r="O35" s="162">
        <v>0</v>
      </c>
      <c r="P35" s="162">
        <v>0</v>
      </c>
      <c r="Q35" s="162">
        <v>0</v>
      </c>
      <c r="R35" s="162">
        <v>0</v>
      </c>
      <c r="S35" s="162">
        <v>0</v>
      </c>
      <c r="T35" s="162">
        <v>0</v>
      </c>
      <c r="U35" s="162">
        <v>0</v>
      </c>
      <c r="V35" s="162">
        <v>0</v>
      </c>
      <c r="W35" s="162">
        <v>0</v>
      </c>
      <c r="X35" s="162">
        <v>0</v>
      </c>
      <c r="Y35" s="162">
        <v>0</v>
      </c>
      <c r="Z35" s="162">
        <v>0</v>
      </c>
      <c r="AA35" s="162">
        <v>0</v>
      </c>
      <c r="AB35" s="162">
        <v>0</v>
      </c>
      <c r="AC35" s="162">
        <v>0</v>
      </c>
      <c r="AD35" s="162">
        <v>0</v>
      </c>
      <c r="AE35" s="162">
        <v>0</v>
      </c>
      <c r="AF35" s="162">
        <v>0</v>
      </c>
      <c r="AG35" s="162">
        <v>0</v>
      </c>
      <c r="AH35" s="162">
        <v>0</v>
      </c>
      <c r="AI35" s="162">
        <v>0</v>
      </c>
      <c r="AJ35" s="162">
        <v>0</v>
      </c>
      <c r="AK35" s="162">
        <v>0</v>
      </c>
      <c r="AL35" s="162">
        <v>0</v>
      </c>
      <c r="AM35" s="162">
        <v>0</v>
      </c>
      <c r="AN35" s="162">
        <v>24170</v>
      </c>
      <c r="AO35" s="162">
        <v>0</v>
      </c>
    </row>
    <row r="36" spans="3:41" x14ac:dyDescent="0.3">
      <c r="C36" s="162">
        <v>46</v>
      </c>
      <c r="D36" s="162">
        <v>5</v>
      </c>
      <c r="E36" s="162">
        <v>11</v>
      </c>
      <c r="F36" s="162">
        <v>282.79961333580138</v>
      </c>
      <c r="G36" s="162">
        <v>0</v>
      </c>
      <c r="H36" s="162">
        <v>282.79961333580138</v>
      </c>
      <c r="I36" s="162">
        <v>0</v>
      </c>
      <c r="J36" s="162">
        <v>0</v>
      </c>
      <c r="K36" s="162">
        <v>0</v>
      </c>
      <c r="L36" s="162">
        <v>0</v>
      </c>
      <c r="M36" s="162">
        <v>0</v>
      </c>
      <c r="N36" s="162">
        <v>0</v>
      </c>
      <c r="O36" s="162">
        <v>0</v>
      </c>
      <c r="P36" s="162">
        <v>0</v>
      </c>
      <c r="Q36" s="162">
        <v>0</v>
      </c>
      <c r="R36" s="162">
        <v>0</v>
      </c>
      <c r="S36" s="162">
        <v>0</v>
      </c>
      <c r="T36" s="162">
        <v>0</v>
      </c>
      <c r="U36" s="162">
        <v>0</v>
      </c>
      <c r="V36" s="162">
        <v>0</v>
      </c>
      <c r="W36" s="162">
        <v>0</v>
      </c>
      <c r="X36" s="162">
        <v>0</v>
      </c>
      <c r="Y36" s="162">
        <v>0</v>
      </c>
      <c r="Z36" s="162">
        <v>0</v>
      </c>
      <c r="AA36" s="162">
        <v>0</v>
      </c>
      <c r="AB36" s="162">
        <v>0</v>
      </c>
      <c r="AC36" s="162">
        <v>0</v>
      </c>
      <c r="AD36" s="162">
        <v>0</v>
      </c>
      <c r="AE36" s="162">
        <v>0</v>
      </c>
      <c r="AF36" s="162">
        <v>0</v>
      </c>
      <c r="AG36" s="162">
        <v>0</v>
      </c>
      <c r="AH36" s="162">
        <v>0</v>
      </c>
      <c r="AI36" s="162">
        <v>0</v>
      </c>
      <c r="AJ36" s="162">
        <v>0</v>
      </c>
      <c r="AK36" s="162">
        <v>0</v>
      </c>
      <c r="AL36" s="162">
        <v>0</v>
      </c>
      <c r="AM36" s="162">
        <v>0</v>
      </c>
      <c r="AN36" s="162">
        <v>0</v>
      </c>
      <c r="AO36" s="162">
        <v>0</v>
      </c>
    </row>
    <row r="37" spans="3:41" x14ac:dyDescent="0.3">
      <c r="C37" s="162">
        <v>46</v>
      </c>
      <c r="D37" s="162">
        <v>6</v>
      </c>
      <c r="E37" s="162">
        <v>1</v>
      </c>
      <c r="F37" s="162">
        <v>2</v>
      </c>
      <c r="G37" s="162">
        <v>0</v>
      </c>
      <c r="H37" s="162">
        <v>1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62">
        <v>0</v>
      </c>
      <c r="U37" s="162">
        <v>0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62">
        <v>0</v>
      </c>
      <c r="AB37" s="162">
        <v>0</v>
      </c>
      <c r="AC37" s="162">
        <v>0</v>
      </c>
      <c r="AD37" s="162">
        <v>0</v>
      </c>
      <c r="AE37" s="162">
        <v>0</v>
      </c>
      <c r="AF37" s="162">
        <v>0</v>
      </c>
      <c r="AG37" s="162">
        <v>0</v>
      </c>
      <c r="AH37" s="162">
        <v>0</v>
      </c>
      <c r="AI37" s="162">
        <v>0</v>
      </c>
      <c r="AJ37" s="162">
        <v>0</v>
      </c>
      <c r="AK37" s="162">
        <v>0</v>
      </c>
      <c r="AL37" s="162">
        <v>0</v>
      </c>
      <c r="AM37" s="162">
        <v>0</v>
      </c>
      <c r="AN37" s="162">
        <v>1</v>
      </c>
      <c r="AO37" s="162">
        <v>0</v>
      </c>
    </row>
    <row r="38" spans="3:41" x14ac:dyDescent="0.3">
      <c r="C38" s="162">
        <v>46</v>
      </c>
      <c r="D38" s="162">
        <v>6</v>
      </c>
      <c r="E38" s="162">
        <v>2</v>
      </c>
      <c r="F38" s="162">
        <v>352</v>
      </c>
      <c r="G38" s="162">
        <v>0</v>
      </c>
      <c r="H38" s="162">
        <v>176</v>
      </c>
      <c r="I38" s="162">
        <v>0</v>
      </c>
      <c r="J38" s="162">
        <v>0</v>
      </c>
      <c r="K38" s="162">
        <v>0</v>
      </c>
      <c r="L38" s="162">
        <v>0</v>
      </c>
      <c r="M38" s="162">
        <v>0</v>
      </c>
      <c r="N38" s="162">
        <v>0</v>
      </c>
      <c r="O38" s="162">
        <v>0</v>
      </c>
      <c r="P38" s="162">
        <v>0</v>
      </c>
      <c r="Q38" s="162">
        <v>0</v>
      </c>
      <c r="R38" s="162">
        <v>0</v>
      </c>
      <c r="S38" s="162">
        <v>0</v>
      </c>
      <c r="T38" s="162">
        <v>0</v>
      </c>
      <c r="U38" s="162">
        <v>0</v>
      </c>
      <c r="V38" s="162">
        <v>0</v>
      </c>
      <c r="W38" s="162">
        <v>0</v>
      </c>
      <c r="X38" s="162">
        <v>0</v>
      </c>
      <c r="Y38" s="162">
        <v>0</v>
      </c>
      <c r="Z38" s="162">
        <v>0</v>
      </c>
      <c r="AA38" s="162">
        <v>0</v>
      </c>
      <c r="AB38" s="162">
        <v>0</v>
      </c>
      <c r="AC38" s="162">
        <v>0</v>
      </c>
      <c r="AD38" s="162">
        <v>0</v>
      </c>
      <c r="AE38" s="162">
        <v>0</v>
      </c>
      <c r="AF38" s="162">
        <v>0</v>
      </c>
      <c r="AG38" s="162">
        <v>0</v>
      </c>
      <c r="AH38" s="162">
        <v>0</v>
      </c>
      <c r="AI38" s="162">
        <v>0</v>
      </c>
      <c r="AJ38" s="162">
        <v>0</v>
      </c>
      <c r="AK38" s="162">
        <v>0</v>
      </c>
      <c r="AL38" s="162">
        <v>0</v>
      </c>
      <c r="AM38" s="162">
        <v>0</v>
      </c>
      <c r="AN38" s="162">
        <v>176</v>
      </c>
      <c r="AO38" s="162">
        <v>0</v>
      </c>
    </row>
    <row r="39" spans="3:41" x14ac:dyDescent="0.3">
      <c r="C39" s="162">
        <v>46</v>
      </c>
      <c r="D39" s="162">
        <v>6</v>
      </c>
      <c r="E39" s="162">
        <v>4</v>
      </c>
      <c r="F39" s="162">
        <v>34</v>
      </c>
      <c r="G39" s="162">
        <v>0</v>
      </c>
      <c r="H39" s="162">
        <v>34</v>
      </c>
      <c r="I39" s="162">
        <v>0</v>
      </c>
      <c r="J39" s="162">
        <v>0</v>
      </c>
      <c r="K39" s="162">
        <v>0</v>
      </c>
      <c r="L39" s="162">
        <v>0</v>
      </c>
      <c r="M39" s="162">
        <v>0</v>
      </c>
      <c r="N39" s="162">
        <v>0</v>
      </c>
      <c r="O39" s="162">
        <v>0</v>
      </c>
      <c r="P39" s="162">
        <v>0</v>
      </c>
      <c r="Q39" s="162">
        <v>0</v>
      </c>
      <c r="R39" s="162">
        <v>0</v>
      </c>
      <c r="S39" s="162">
        <v>0</v>
      </c>
      <c r="T39" s="162">
        <v>0</v>
      </c>
      <c r="U39" s="162">
        <v>0</v>
      </c>
      <c r="V39" s="162">
        <v>0</v>
      </c>
      <c r="W39" s="162">
        <v>0</v>
      </c>
      <c r="X39" s="162">
        <v>0</v>
      </c>
      <c r="Y39" s="162">
        <v>0</v>
      </c>
      <c r="Z39" s="162">
        <v>0</v>
      </c>
      <c r="AA39" s="162">
        <v>0</v>
      </c>
      <c r="AB39" s="162">
        <v>0</v>
      </c>
      <c r="AC39" s="162">
        <v>0</v>
      </c>
      <c r="AD39" s="162">
        <v>0</v>
      </c>
      <c r="AE39" s="162">
        <v>0</v>
      </c>
      <c r="AF39" s="162">
        <v>0</v>
      </c>
      <c r="AG39" s="162">
        <v>0</v>
      </c>
      <c r="AH39" s="162">
        <v>0</v>
      </c>
      <c r="AI39" s="162">
        <v>0</v>
      </c>
      <c r="AJ39" s="162">
        <v>0</v>
      </c>
      <c r="AK39" s="162">
        <v>0</v>
      </c>
      <c r="AL39" s="162">
        <v>0</v>
      </c>
      <c r="AM39" s="162">
        <v>0</v>
      </c>
      <c r="AN39" s="162">
        <v>0</v>
      </c>
      <c r="AO39" s="162">
        <v>0</v>
      </c>
    </row>
    <row r="40" spans="3:41" x14ac:dyDescent="0.3">
      <c r="C40" s="162">
        <v>46</v>
      </c>
      <c r="D40" s="162">
        <v>6</v>
      </c>
      <c r="E40" s="162">
        <v>5</v>
      </c>
      <c r="F40" s="162">
        <v>404</v>
      </c>
      <c r="G40" s="162">
        <v>404</v>
      </c>
      <c r="H40" s="162">
        <v>0</v>
      </c>
      <c r="I40" s="162">
        <v>0</v>
      </c>
      <c r="J40" s="162">
        <v>0</v>
      </c>
      <c r="K40" s="162">
        <v>0</v>
      </c>
      <c r="L40" s="162">
        <v>0</v>
      </c>
      <c r="M40" s="162">
        <v>0</v>
      </c>
      <c r="N40" s="162">
        <v>0</v>
      </c>
      <c r="O40" s="162">
        <v>0</v>
      </c>
      <c r="P40" s="162">
        <v>0</v>
      </c>
      <c r="Q40" s="162">
        <v>0</v>
      </c>
      <c r="R40" s="162">
        <v>0</v>
      </c>
      <c r="S40" s="162">
        <v>0</v>
      </c>
      <c r="T40" s="162">
        <v>0</v>
      </c>
      <c r="U40" s="162">
        <v>0</v>
      </c>
      <c r="V40" s="162">
        <v>0</v>
      </c>
      <c r="W40" s="162">
        <v>0</v>
      </c>
      <c r="X40" s="162">
        <v>0</v>
      </c>
      <c r="Y40" s="162">
        <v>0</v>
      </c>
      <c r="Z40" s="162">
        <v>0</v>
      </c>
      <c r="AA40" s="162">
        <v>0</v>
      </c>
      <c r="AB40" s="162">
        <v>0</v>
      </c>
      <c r="AC40" s="162">
        <v>0</v>
      </c>
      <c r="AD40" s="162">
        <v>0</v>
      </c>
      <c r="AE40" s="162">
        <v>0</v>
      </c>
      <c r="AF40" s="162">
        <v>0</v>
      </c>
      <c r="AG40" s="162">
        <v>0</v>
      </c>
      <c r="AH40" s="162">
        <v>0</v>
      </c>
      <c r="AI40" s="162">
        <v>0</v>
      </c>
      <c r="AJ40" s="162">
        <v>0</v>
      </c>
      <c r="AK40" s="162">
        <v>0</v>
      </c>
      <c r="AL40" s="162">
        <v>0</v>
      </c>
      <c r="AM40" s="162">
        <v>0</v>
      </c>
      <c r="AN40" s="162">
        <v>0</v>
      </c>
      <c r="AO40" s="162">
        <v>0</v>
      </c>
    </row>
    <row r="41" spans="3:41" x14ac:dyDescent="0.3">
      <c r="C41" s="162">
        <v>46</v>
      </c>
      <c r="D41" s="162">
        <v>6</v>
      </c>
      <c r="E41" s="162">
        <v>6</v>
      </c>
      <c r="F41" s="162">
        <v>148438</v>
      </c>
      <c r="G41" s="162">
        <v>30005</v>
      </c>
      <c r="H41" s="162">
        <v>94263</v>
      </c>
      <c r="I41" s="162">
        <v>0</v>
      </c>
      <c r="J41" s="162">
        <v>0</v>
      </c>
      <c r="K41" s="162">
        <v>0</v>
      </c>
      <c r="L41" s="162">
        <v>0</v>
      </c>
      <c r="M41" s="162">
        <v>0</v>
      </c>
      <c r="N41" s="162">
        <v>0</v>
      </c>
      <c r="O41" s="162">
        <v>0</v>
      </c>
      <c r="P41" s="162">
        <v>0</v>
      </c>
      <c r="Q41" s="162">
        <v>0</v>
      </c>
      <c r="R41" s="162">
        <v>0</v>
      </c>
      <c r="S41" s="162">
        <v>0</v>
      </c>
      <c r="T41" s="162">
        <v>0</v>
      </c>
      <c r="U41" s="162">
        <v>0</v>
      </c>
      <c r="V41" s="162">
        <v>0</v>
      </c>
      <c r="W41" s="162">
        <v>0</v>
      </c>
      <c r="X41" s="162">
        <v>0</v>
      </c>
      <c r="Y41" s="162">
        <v>0</v>
      </c>
      <c r="Z41" s="162">
        <v>0</v>
      </c>
      <c r="AA41" s="162">
        <v>0</v>
      </c>
      <c r="AB41" s="162">
        <v>0</v>
      </c>
      <c r="AC41" s="162">
        <v>0</v>
      </c>
      <c r="AD41" s="162">
        <v>0</v>
      </c>
      <c r="AE41" s="162">
        <v>0</v>
      </c>
      <c r="AF41" s="162">
        <v>0</v>
      </c>
      <c r="AG41" s="162">
        <v>0</v>
      </c>
      <c r="AH41" s="162">
        <v>0</v>
      </c>
      <c r="AI41" s="162">
        <v>0</v>
      </c>
      <c r="AJ41" s="162">
        <v>0</v>
      </c>
      <c r="AK41" s="162">
        <v>0</v>
      </c>
      <c r="AL41" s="162">
        <v>0</v>
      </c>
      <c r="AM41" s="162">
        <v>0</v>
      </c>
      <c r="AN41" s="162">
        <v>24170</v>
      </c>
      <c r="AO41" s="162">
        <v>0</v>
      </c>
    </row>
    <row r="42" spans="3:41" x14ac:dyDescent="0.3">
      <c r="C42" s="162">
        <v>46</v>
      </c>
      <c r="D42" s="162">
        <v>6</v>
      </c>
      <c r="E42" s="162">
        <v>11</v>
      </c>
      <c r="F42" s="162">
        <v>282.79961333580138</v>
      </c>
      <c r="G42" s="162">
        <v>0</v>
      </c>
      <c r="H42" s="162">
        <v>282.79961333580138</v>
      </c>
      <c r="I42" s="162">
        <v>0</v>
      </c>
      <c r="J42" s="162">
        <v>0</v>
      </c>
      <c r="K42" s="162">
        <v>0</v>
      </c>
      <c r="L42" s="162">
        <v>0</v>
      </c>
      <c r="M42" s="162">
        <v>0</v>
      </c>
      <c r="N42" s="162">
        <v>0</v>
      </c>
      <c r="O42" s="162">
        <v>0</v>
      </c>
      <c r="P42" s="162">
        <v>0</v>
      </c>
      <c r="Q42" s="162">
        <v>0</v>
      </c>
      <c r="R42" s="162">
        <v>0</v>
      </c>
      <c r="S42" s="162">
        <v>0</v>
      </c>
      <c r="T42" s="162">
        <v>0</v>
      </c>
      <c r="U42" s="162">
        <v>0</v>
      </c>
      <c r="V42" s="162">
        <v>0</v>
      </c>
      <c r="W42" s="162">
        <v>0</v>
      </c>
      <c r="X42" s="162">
        <v>0</v>
      </c>
      <c r="Y42" s="162">
        <v>0</v>
      </c>
      <c r="Z42" s="162">
        <v>0</v>
      </c>
      <c r="AA42" s="162">
        <v>0</v>
      </c>
      <c r="AB42" s="162">
        <v>0</v>
      </c>
      <c r="AC42" s="162">
        <v>0</v>
      </c>
      <c r="AD42" s="162">
        <v>0</v>
      </c>
      <c r="AE42" s="162">
        <v>0</v>
      </c>
      <c r="AF42" s="162">
        <v>0</v>
      </c>
      <c r="AG42" s="162">
        <v>0</v>
      </c>
      <c r="AH42" s="162">
        <v>0</v>
      </c>
      <c r="AI42" s="162">
        <v>0</v>
      </c>
      <c r="AJ42" s="162">
        <v>0</v>
      </c>
      <c r="AK42" s="162">
        <v>0</v>
      </c>
      <c r="AL42" s="162">
        <v>0</v>
      </c>
      <c r="AM42" s="162">
        <v>0</v>
      </c>
      <c r="AN42" s="162">
        <v>0</v>
      </c>
      <c r="AO42" s="162">
        <v>0</v>
      </c>
    </row>
    <row r="43" spans="3:41" x14ac:dyDescent="0.3">
      <c r="C43" s="162">
        <v>46</v>
      </c>
      <c r="D43" s="162">
        <v>7</v>
      </c>
      <c r="E43" s="162">
        <v>1</v>
      </c>
      <c r="F43" s="162">
        <v>2</v>
      </c>
      <c r="G43" s="162">
        <v>0</v>
      </c>
      <c r="H43" s="162">
        <v>1</v>
      </c>
      <c r="I43" s="162">
        <v>0</v>
      </c>
      <c r="J43" s="162">
        <v>0</v>
      </c>
      <c r="K43" s="162">
        <v>0</v>
      </c>
      <c r="L43" s="162">
        <v>0</v>
      </c>
      <c r="M43" s="162">
        <v>0</v>
      </c>
      <c r="N43" s="162">
        <v>0</v>
      </c>
      <c r="O43" s="162">
        <v>0</v>
      </c>
      <c r="P43" s="162">
        <v>0</v>
      </c>
      <c r="Q43" s="162">
        <v>0</v>
      </c>
      <c r="R43" s="162">
        <v>0</v>
      </c>
      <c r="S43" s="162">
        <v>0</v>
      </c>
      <c r="T43" s="162">
        <v>0</v>
      </c>
      <c r="U43" s="162">
        <v>0</v>
      </c>
      <c r="V43" s="162">
        <v>0</v>
      </c>
      <c r="W43" s="162">
        <v>0</v>
      </c>
      <c r="X43" s="162">
        <v>0</v>
      </c>
      <c r="Y43" s="162">
        <v>0</v>
      </c>
      <c r="Z43" s="162">
        <v>0</v>
      </c>
      <c r="AA43" s="162">
        <v>0</v>
      </c>
      <c r="AB43" s="162">
        <v>0</v>
      </c>
      <c r="AC43" s="162">
        <v>0</v>
      </c>
      <c r="AD43" s="162">
        <v>0</v>
      </c>
      <c r="AE43" s="162">
        <v>0</v>
      </c>
      <c r="AF43" s="162">
        <v>0</v>
      </c>
      <c r="AG43" s="162">
        <v>0</v>
      </c>
      <c r="AH43" s="162">
        <v>0</v>
      </c>
      <c r="AI43" s="162">
        <v>0</v>
      </c>
      <c r="AJ43" s="162">
        <v>0</v>
      </c>
      <c r="AK43" s="162">
        <v>0</v>
      </c>
      <c r="AL43" s="162">
        <v>0</v>
      </c>
      <c r="AM43" s="162">
        <v>0</v>
      </c>
      <c r="AN43" s="162">
        <v>1</v>
      </c>
      <c r="AO43" s="162">
        <v>0</v>
      </c>
    </row>
    <row r="44" spans="3:41" x14ac:dyDescent="0.3">
      <c r="C44" s="162">
        <v>46</v>
      </c>
      <c r="D44" s="162">
        <v>7</v>
      </c>
      <c r="E44" s="162">
        <v>2</v>
      </c>
      <c r="F44" s="162">
        <v>280</v>
      </c>
      <c r="G44" s="162">
        <v>0</v>
      </c>
      <c r="H44" s="162">
        <v>152</v>
      </c>
      <c r="I44" s="162">
        <v>0</v>
      </c>
      <c r="J44" s="162">
        <v>0</v>
      </c>
      <c r="K44" s="162">
        <v>0</v>
      </c>
      <c r="L44" s="162">
        <v>0</v>
      </c>
      <c r="M44" s="162">
        <v>0</v>
      </c>
      <c r="N44" s="162">
        <v>0</v>
      </c>
      <c r="O44" s="162">
        <v>0</v>
      </c>
      <c r="P44" s="162">
        <v>0</v>
      </c>
      <c r="Q44" s="162">
        <v>0</v>
      </c>
      <c r="R44" s="162">
        <v>0</v>
      </c>
      <c r="S44" s="162">
        <v>0</v>
      </c>
      <c r="T44" s="162">
        <v>0</v>
      </c>
      <c r="U44" s="162">
        <v>0</v>
      </c>
      <c r="V44" s="162">
        <v>0</v>
      </c>
      <c r="W44" s="162">
        <v>0</v>
      </c>
      <c r="X44" s="162">
        <v>0</v>
      </c>
      <c r="Y44" s="162">
        <v>0</v>
      </c>
      <c r="Z44" s="162">
        <v>0</v>
      </c>
      <c r="AA44" s="162">
        <v>0</v>
      </c>
      <c r="AB44" s="162">
        <v>0</v>
      </c>
      <c r="AC44" s="162">
        <v>0</v>
      </c>
      <c r="AD44" s="162">
        <v>0</v>
      </c>
      <c r="AE44" s="162">
        <v>0</v>
      </c>
      <c r="AF44" s="162">
        <v>0</v>
      </c>
      <c r="AG44" s="162">
        <v>0</v>
      </c>
      <c r="AH44" s="162">
        <v>0</v>
      </c>
      <c r="AI44" s="162">
        <v>0</v>
      </c>
      <c r="AJ44" s="162">
        <v>0</v>
      </c>
      <c r="AK44" s="162">
        <v>0</v>
      </c>
      <c r="AL44" s="162">
        <v>0</v>
      </c>
      <c r="AM44" s="162">
        <v>0</v>
      </c>
      <c r="AN44" s="162">
        <v>128</v>
      </c>
      <c r="AO44" s="162">
        <v>0</v>
      </c>
    </row>
    <row r="45" spans="3:41" x14ac:dyDescent="0.3">
      <c r="C45" s="162">
        <v>46</v>
      </c>
      <c r="D45" s="162">
        <v>7</v>
      </c>
      <c r="E45" s="162">
        <v>4</v>
      </c>
      <c r="F45" s="162">
        <v>34</v>
      </c>
      <c r="G45" s="162">
        <v>0</v>
      </c>
      <c r="H45" s="162">
        <v>34</v>
      </c>
      <c r="I45" s="162">
        <v>0</v>
      </c>
      <c r="J45" s="162">
        <v>0</v>
      </c>
      <c r="K45" s="162">
        <v>0</v>
      </c>
      <c r="L45" s="162">
        <v>0</v>
      </c>
      <c r="M45" s="162">
        <v>0</v>
      </c>
      <c r="N45" s="162">
        <v>0</v>
      </c>
      <c r="O45" s="162">
        <v>0</v>
      </c>
      <c r="P45" s="162">
        <v>0</v>
      </c>
      <c r="Q45" s="162">
        <v>0</v>
      </c>
      <c r="R45" s="162">
        <v>0</v>
      </c>
      <c r="S45" s="162">
        <v>0</v>
      </c>
      <c r="T45" s="162">
        <v>0</v>
      </c>
      <c r="U45" s="162">
        <v>0</v>
      </c>
      <c r="V45" s="162">
        <v>0</v>
      </c>
      <c r="W45" s="162">
        <v>0</v>
      </c>
      <c r="X45" s="162">
        <v>0</v>
      </c>
      <c r="Y45" s="162">
        <v>0</v>
      </c>
      <c r="Z45" s="162">
        <v>0</v>
      </c>
      <c r="AA45" s="162">
        <v>0</v>
      </c>
      <c r="AB45" s="162">
        <v>0</v>
      </c>
      <c r="AC45" s="162">
        <v>0</v>
      </c>
      <c r="AD45" s="162">
        <v>0</v>
      </c>
      <c r="AE45" s="162">
        <v>0</v>
      </c>
      <c r="AF45" s="162">
        <v>0</v>
      </c>
      <c r="AG45" s="162">
        <v>0</v>
      </c>
      <c r="AH45" s="162">
        <v>0</v>
      </c>
      <c r="AI45" s="162">
        <v>0</v>
      </c>
      <c r="AJ45" s="162">
        <v>0</v>
      </c>
      <c r="AK45" s="162">
        <v>0</v>
      </c>
      <c r="AL45" s="162">
        <v>0</v>
      </c>
      <c r="AM45" s="162">
        <v>0</v>
      </c>
      <c r="AN45" s="162">
        <v>0</v>
      </c>
      <c r="AO45" s="162">
        <v>0</v>
      </c>
    </row>
    <row r="46" spans="3:41" x14ac:dyDescent="0.3">
      <c r="C46" s="162">
        <v>46</v>
      </c>
      <c r="D46" s="162">
        <v>7</v>
      </c>
      <c r="E46" s="162">
        <v>5</v>
      </c>
      <c r="F46" s="162">
        <v>373</v>
      </c>
      <c r="G46" s="162">
        <v>373</v>
      </c>
      <c r="H46" s="162">
        <v>0</v>
      </c>
      <c r="I46" s="162">
        <v>0</v>
      </c>
      <c r="J46" s="162">
        <v>0</v>
      </c>
      <c r="K46" s="162">
        <v>0</v>
      </c>
      <c r="L46" s="162">
        <v>0</v>
      </c>
      <c r="M46" s="162">
        <v>0</v>
      </c>
      <c r="N46" s="162">
        <v>0</v>
      </c>
      <c r="O46" s="162">
        <v>0</v>
      </c>
      <c r="P46" s="162">
        <v>0</v>
      </c>
      <c r="Q46" s="162">
        <v>0</v>
      </c>
      <c r="R46" s="162">
        <v>0</v>
      </c>
      <c r="S46" s="162">
        <v>0</v>
      </c>
      <c r="T46" s="162">
        <v>0</v>
      </c>
      <c r="U46" s="162">
        <v>0</v>
      </c>
      <c r="V46" s="162">
        <v>0</v>
      </c>
      <c r="W46" s="162">
        <v>0</v>
      </c>
      <c r="X46" s="162">
        <v>0</v>
      </c>
      <c r="Y46" s="162">
        <v>0</v>
      </c>
      <c r="Z46" s="162">
        <v>0</v>
      </c>
      <c r="AA46" s="162">
        <v>0</v>
      </c>
      <c r="AB46" s="162">
        <v>0</v>
      </c>
      <c r="AC46" s="162">
        <v>0</v>
      </c>
      <c r="AD46" s="162">
        <v>0</v>
      </c>
      <c r="AE46" s="162">
        <v>0</v>
      </c>
      <c r="AF46" s="162">
        <v>0</v>
      </c>
      <c r="AG46" s="162">
        <v>0</v>
      </c>
      <c r="AH46" s="162">
        <v>0</v>
      </c>
      <c r="AI46" s="162">
        <v>0</v>
      </c>
      <c r="AJ46" s="162">
        <v>0</v>
      </c>
      <c r="AK46" s="162">
        <v>0</v>
      </c>
      <c r="AL46" s="162">
        <v>0</v>
      </c>
      <c r="AM46" s="162">
        <v>0</v>
      </c>
      <c r="AN46" s="162">
        <v>0</v>
      </c>
      <c r="AO46" s="162">
        <v>0</v>
      </c>
    </row>
    <row r="47" spans="3:41" x14ac:dyDescent="0.3">
      <c r="C47" s="162">
        <v>46</v>
      </c>
      <c r="D47" s="162">
        <v>7</v>
      </c>
      <c r="E47" s="162">
        <v>6</v>
      </c>
      <c r="F47" s="162">
        <v>194304</v>
      </c>
      <c r="G47" s="162">
        <v>29725</v>
      </c>
      <c r="H47" s="162">
        <v>130734</v>
      </c>
      <c r="I47" s="162">
        <v>0</v>
      </c>
      <c r="J47" s="162">
        <v>0</v>
      </c>
      <c r="K47" s="162">
        <v>0</v>
      </c>
      <c r="L47" s="162">
        <v>0</v>
      </c>
      <c r="M47" s="162">
        <v>0</v>
      </c>
      <c r="N47" s="162">
        <v>0</v>
      </c>
      <c r="O47" s="162">
        <v>0</v>
      </c>
      <c r="P47" s="162">
        <v>0</v>
      </c>
      <c r="Q47" s="162">
        <v>0</v>
      </c>
      <c r="R47" s="162">
        <v>0</v>
      </c>
      <c r="S47" s="162">
        <v>0</v>
      </c>
      <c r="T47" s="162">
        <v>0</v>
      </c>
      <c r="U47" s="162">
        <v>0</v>
      </c>
      <c r="V47" s="162">
        <v>0</v>
      </c>
      <c r="W47" s="162">
        <v>0</v>
      </c>
      <c r="X47" s="162">
        <v>0</v>
      </c>
      <c r="Y47" s="162">
        <v>0</v>
      </c>
      <c r="Z47" s="162">
        <v>0</v>
      </c>
      <c r="AA47" s="162">
        <v>0</v>
      </c>
      <c r="AB47" s="162">
        <v>0</v>
      </c>
      <c r="AC47" s="162">
        <v>0</v>
      </c>
      <c r="AD47" s="162">
        <v>0</v>
      </c>
      <c r="AE47" s="162">
        <v>0</v>
      </c>
      <c r="AF47" s="162">
        <v>0</v>
      </c>
      <c r="AG47" s="162">
        <v>0</v>
      </c>
      <c r="AH47" s="162">
        <v>0</v>
      </c>
      <c r="AI47" s="162">
        <v>0</v>
      </c>
      <c r="AJ47" s="162">
        <v>0</v>
      </c>
      <c r="AK47" s="162">
        <v>0</v>
      </c>
      <c r="AL47" s="162">
        <v>0</v>
      </c>
      <c r="AM47" s="162">
        <v>0</v>
      </c>
      <c r="AN47" s="162">
        <v>33845</v>
      </c>
      <c r="AO47" s="162">
        <v>0</v>
      </c>
    </row>
    <row r="48" spans="3:41" x14ac:dyDescent="0.3">
      <c r="C48" s="162">
        <v>46</v>
      </c>
      <c r="D48" s="162">
        <v>7</v>
      </c>
      <c r="E48" s="162">
        <v>9</v>
      </c>
      <c r="F48" s="162">
        <v>34197</v>
      </c>
      <c r="G48" s="162">
        <v>0</v>
      </c>
      <c r="H48" s="162">
        <v>26051</v>
      </c>
      <c r="I48" s="162">
        <v>0</v>
      </c>
      <c r="J48" s="162">
        <v>0</v>
      </c>
      <c r="K48" s="162">
        <v>0</v>
      </c>
      <c r="L48" s="162">
        <v>0</v>
      </c>
      <c r="M48" s="162">
        <v>0</v>
      </c>
      <c r="N48" s="162">
        <v>0</v>
      </c>
      <c r="O48" s="162">
        <v>0</v>
      </c>
      <c r="P48" s="162">
        <v>0</v>
      </c>
      <c r="Q48" s="162">
        <v>0</v>
      </c>
      <c r="R48" s="162">
        <v>0</v>
      </c>
      <c r="S48" s="162">
        <v>0</v>
      </c>
      <c r="T48" s="162">
        <v>0</v>
      </c>
      <c r="U48" s="162">
        <v>0</v>
      </c>
      <c r="V48" s="162">
        <v>0</v>
      </c>
      <c r="W48" s="162">
        <v>0</v>
      </c>
      <c r="X48" s="162">
        <v>0</v>
      </c>
      <c r="Y48" s="162">
        <v>0</v>
      </c>
      <c r="Z48" s="162">
        <v>0</v>
      </c>
      <c r="AA48" s="162">
        <v>0</v>
      </c>
      <c r="AB48" s="162">
        <v>0</v>
      </c>
      <c r="AC48" s="162">
        <v>0</v>
      </c>
      <c r="AD48" s="162">
        <v>0</v>
      </c>
      <c r="AE48" s="162">
        <v>0</v>
      </c>
      <c r="AF48" s="162">
        <v>0</v>
      </c>
      <c r="AG48" s="162">
        <v>0</v>
      </c>
      <c r="AH48" s="162">
        <v>0</v>
      </c>
      <c r="AI48" s="162">
        <v>0</v>
      </c>
      <c r="AJ48" s="162">
        <v>0</v>
      </c>
      <c r="AK48" s="162">
        <v>0</v>
      </c>
      <c r="AL48" s="162">
        <v>0</v>
      </c>
      <c r="AM48" s="162">
        <v>0</v>
      </c>
      <c r="AN48" s="162">
        <v>8146</v>
      </c>
      <c r="AO48" s="162">
        <v>0</v>
      </c>
    </row>
    <row r="49" spans="3:41" x14ac:dyDescent="0.3">
      <c r="C49" s="162">
        <v>46</v>
      </c>
      <c r="D49" s="162">
        <v>7</v>
      </c>
      <c r="E49" s="162">
        <v>11</v>
      </c>
      <c r="F49" s="162">
        <v>282.79961333580138</v>
      </c>
      <c r="G49" s="162">
        <v>0</v>
      </c>
      <c r="H49" s="162">
        <v>282.79961333580138</v>
      </c>
      <c r="I49" s="162">
        <v>0</v>
      </c>
      <c r="J49" s="162">
        <v>0</v>
      </c>
      <c r="K49" s="162">
        <v>0</v>
      </c>
      <c r="L49" s="162">
        <v>0</v>
      </c>
      <c r="M49" s="162">
        <v>0</v>
      </c>
      <c r="N49" s="162">
        <v>0</v>
      </c>
      <c r="O49" s="162">
        <v>0</v>
      </c>
      <c r="P49" s="162">
        <v>0</v>
      </c>
      <c r="Q49" s="162">
        <v>0</v>
      </c>
      <c r="R49" s="162">
        <v>0</v>
      </c>
      <c r="S49" s="162">
        <v>0</v>
      </c>
      <c r="T49" s="162">
        <v>0</v>
      </c>
      <c r="U49" s="162">
        <v>0</v>
      </c>
      <c r="V49" s="162">
        <v>0</v>
      </c>
      <c r="W49" s="162">
        <v>0</v>
      </c>
      <c r="X49" s="162">
        <v>0</v>
      </c>
      <c r="Y49" s="162">
        <v>0</v>
      </c>
      <c r="Z49" s="162">
        <v>0</v>
      </c>
      <c r="AA49" s="162">
        <v>0</v>
      </c>
      <c r="AB49" s="162">
        <v>0</v>
      </c>
      <c r="AC49" s="162">
        <v>0</v>
      </c>
      <c r="AD49" s="162">
        <v>0</v>
      </c>
      <c r="AE49" s="162">
        <v>0</v>
      </c>
      <c r="AF49" s="162">
        <v>0</v>
      </c>
      <c r="AG49" s="162">
        <v>0</v>
      </c>
      <c r="AH49" s="162">
        <v>0</v>
      </c>
      <c r="AI49" s="162">
        <v>0</v>
      </c>
      <c r="AJ49" s="162">
        <v>0</v>
      </c>
      <c r="AK49" s="162">
        <v>0</v>
      </c>
      <c r="AL49" s="162">
        <v>0</v>
      </c>
      <c r="AM49" s="162">
        <v>0</v>
      </c>
      <c r="AN49" s="162">
        <v>0</v>
      </c>
      <c r="AO49" s="162">
        <v>0</v>
      </c>
    </row>
    <row r="50" spans="3:41" x14ac:dyDescent="0.3">
      <c r="C50" s="162">
        <v>46</v>
      </c>
      <c r="D50" s="162">
        <v>8</v>
      </c>
      <c r="E50" s="162">
        <v>1</v>
      </c>
      <c r="F50" s="162">
        <v>2</v>
      </c>
      <c r="G50" s="162">
        <v>0</v>
      </c>
      <c r="H50" s="162">
        <v>1</v>
      </c>
      <c r="I50" s="162">
        <v>0</v>
      </c>
      <c r="J50" s="162">
        <v>0</v>
      </c>
      <c r="K50" s="162">
        <v>0</v>
      </c>
      <c r="L50" s="162">
        <v>0</v>
      </c>
      <c r="M50" s="162">
        <v>0</v>
      </c>
      <c r="N50" s="162">
        <v>0</v>
      </c>
      <c r="O50" s="162">
        <v>0</v>
      </c>
      <c r="P50" s="162">
        <v>0</v>
      </c>
      <c r="Q50" s="162">
        <v>0</v>
      </c>
      <c r="R50" s="162">
        <v>0</v>
      </c>
      <c r="S50" s="162">
        <v>0</v>
      </c>
      <c r="T50" s="162">
        <v>0</v>
      </c>
      <c r="U50" s="162">
        <v>0</v>
      </c>
      <c r="V50" s="162">
        <v>0</v>
      </c>
      <c r="W50" s="162">
        <v>0</v>
      </c>
      <c r="X50" s="162">
        <v>0</v>
      </c>
      <c r="Y50" s="162">
        <v>0</v>
      </c>
      <c r="Z50" s="162">
        <v>0</v>
      </c>
      <c r="AA50" s="162">
        <v>0</v>
      </c>
      <c r="AB50" s="162">
        <v>0</v>
      </c>
      <c r="AC50" s="162">
        <v>0</v>
      </c>
      <c r="AD50" s="162">
        <v>0</v>
      </c>
      <c r="AE50" s="162">
        <v>0</v>
      </c>
      <c r="AF50" s="162">
        <v>0</v>
      </c>
      <c r="AG50" s="162">
        <v>0</v>
      </c>
      <c r="AH50" s="162">
        <v>0</v>
      </c>
      <c r="AI50" s="162">
        <v>0</v>
      </c>
      <c r="AJ50" s="162">
        <v>0</v>
      </c>
      <c r="AK50" s="162">
        <v>0</v>
      </c>
      <c r="AL50" s="162">
        <v>0</v>
      </c>
      <c r="AM50" s="162">
        <v>0</v>
      </c>
      <c r="AN50" s="162">
        <v>1</v>
      </c>
      <c r="AO50" s="162">
        <v>0</v>
      </c>
    </row>
    <row r="51" spans="3:41" x14ac:dyDescent="0.3">
      <c r="C51" s="162">
        <v>46</v>
      </c>
      <c r="D51" s="162">
        <v>8</v>
      </c>
      <c r="E51" s="162">
        <v>2</v>
      </c>
      <c r="F51" s="162">
        <v>200</v>
      </c>
      <c r="G51" s="162">
        <v>0</v>
      </c>
      <c r="H51" s="162">
        <v>88</v>
      </c>
      <c r="I51" s="162">
        <v>0</v>
      </c>
      <c r="J51" s="162">
        <v>0</v>
      </c>
      <c r="K51" s="162">
        <v>0</v>
      </c>
      <c r="L51" s="162">
        <v>0</v>
      </c>
      <c r="M51" s="162">
        <v>0</v>
      </c>
      <c r="N51" s="162">
        <v>0</v>
      </c>
      <c r="O51" s="162">
        <v>0</v>
      </c>
      <c r="P51" s="162">
        <v>0</v>
      </c>
      <c r="Q51" s="162">
        <v>0</v>
      </c>
      <c r="R51" s="162">
        <v>0</v>
      </c>
      <c r="S51" s="162">
        <v>0</v>
      </c>
      <c r="T51" s="162">
        <v>0</v>
      </c>
      <c r="U51" s="162">
        <v>0</v>
      </c>
      <c r="V51" s="162">
        <v>0</v>
      </c>
      <c r="W51" s="162">
        <v>0</v>
      </c>
      <c r="X51" s="162">
        <v>0</v>
      </c>
      <c r="Y51" s="162">
        <v>0</v>
      </c>
      <c r="Z51" s="162">
        <v>0</v>
      </c>
      <c r="AA51" s="162">
        <v>0</v>
      </c>
      <c r="AB51" s="162">
        <v>0</v>
      </c>
      <c r="AC51" s="162">
        <v>0</v>
      </c>
      <c r="AD51" s="162">
        <v>0</v>
      </c>
      <c r="AE51" s="162">
        <v>0</v>
      </c>
      <c r="AF51" s="162">
        <v>0</v>
      </c>
      <c r="AG51" s="162">
        <v>0</v>
      </c>
      <c r="AH51" s="162">
        <v>0</v>
      </c>
      <c r="AI51" s="162">
        <v>0</v>
      </c>
      <c r="AJ51" s="162">
        <v>0</v>
      </c>
      <c r="AK51" s="162">
        <v>0</v>
      </c>
      <c r="AL51" s="162">
        <v>0</v>
      </c>
      <c r="AM51" s="162">
        <v>0</v>
      </c>
      <c r="AN51" s="162">
        <v>112</v>
      </c>
      <c r="AO51" s="162">
        <v>0</v>
      </c>
    </row>
    <row r="52" spans="3:41" x14ac:dyDescent="0.3">
      <c r="C52" s="162">
        <v>46</v>
      </c>
      <c r="D52" s="162">
        <v>8</v>
      </c>
      <c r="E52" s="162">
        <v>4</v>
      </c>
      <c r="F52" s="162">
        <v>34</v>
      </c>
      <c r="G52" s="162">
        <v>0</v>
      </c>
      <c r="H52" s="162">
        <v>34</v>
      </c>
      <c r="I52" s="162">
        <v>0</v>
      </c>
      <c r="J52" s="162">
        <v>0</v>
      </c>
      <c r="K52" s="162">
        <v>0</v>
      </c>
      <c r="L52" s="162">
        <v>0</v>
      </c>
      <c r="M52" s="162">
        <v>0</v>
      </c>
      <c r="N52" s="162">
        <v>0</v>
      </c>
      <c r="O52" s="162">
        <v>0</v>
      </c>
      <c r="P52" s="162">
        <v>0</v>
      </c>
      <c r="Q52" s="162">
        <v>0</v>
      </c>
      <c r="R52" s="162">
        <v>0</v>
      </c>
      <c r="S52" s="162">
        <v>0</v>
      </c>
      <c r="T52" s="162">
        <v>0</v>
      </c>
      <c r="U52" s="162">
        <v>0</v>
      </c>
      <c r="V52" s="162">
        <v>0</v>
      </c>
      <c r="W52" s="162">
        <v>0</v>
      </c>
      <c r="X52" s="162">
        <v>0</v>
      </c>
      <c r="Y52" s="162">
        <v>0</v>
      </c>
      <c r="Z52" s="162">
        <v>0</v>
      </c>
      <c r="AA52" s="162">
        <v>0</v>
      </c>
      <c r="AB52" s="162">
        <v>0</v>
      </c>
      <c r="AC52" s="162">
        <v>0</v>
      </c>
      <c r="AD52" s="162">
        <v>0</v>
      </c>
      <c r="AE52" s="162">
        <v>0</v>
      </c>
      <c r="AF52" s="162">
        <v>0</v>
      </c>
      <c r="AG52" s="162">
        <v>0</v>
      </c>
      <c r="AH52" s="162">
        <v>0</v>
      </c>
      <c r="AI52" s="162">
        <v>0</v>
      </c>
      <c r="AJ52" s="162">
        <v>0</v>
      </c>
      <c r="AK52" s="162">
        <v>0</v>
      </c>
      <c r="AL52" s="162">
        <v>0</v>
      </c>
      <c r="AM52" s="162">
        <v>0</v>
      </c>
      <c r="AN52" s="162">
        <v>0</v>
      </c>
      <c r="AO52" s="162">
        <v>0</v>
      </c>
    </row>
    <row r="53" spans="3:41" x14ac:dyDescent="0.3">
      <c r="C53" s="162">
        <v>46</v>
      </c>
      <c r="D53" s="162">
        <v>8</v>
      </c>
      <c r="E53" s="162">
        <v>5</v>
      </c>
      <c r="F53" s="162">
        <v>531</v>
      </c>
      <c r="G53" s="162">
        <v>531</v>
      </c>
      <c r="H53" s="162">
        <v>0</v>
      </c>
      <c r="I53" s="162">
        <v>0</v>
      </c>
      <c r="J53" s="162">
        <v>0</v>
      </c>
      <c r="K53" s="162">
        <v>0</v>
      </c>
      <c r="L53" s="162">
        <v>0</v>
      </c>
      <c r="M53" s="162">
        <v>0</v>
      </c>
      <c r="N53" s="162">
        <v>0</v>
      </c>
      <c r="O53" s="162">
        <v>0</v>
      </c>
      <c r="P53" s="162">
        <v>0</v>
      </c>
      <c r="Q53" s="162">
        <v>0</v>
      </c>
      <c r="R53" s="162">
        <v>0</v>
      </c>
      <c r="S53" s="162">
        <v>0</v>
      </c>
      <c r="T53" s="162">
        <v>0</v>
      </c>
      <c r="U53" s="162">
        <v>0</v>
      </c>
      <c r="V53" s="162">
        <v>0</v>
      </c>
      <c r="W53" s="162">
        <v>0</v>
      </c>
      <c r="X53" s="162">
        <v>0</v>
      </c>
      <c r="Y53" s="162">
        <v>0</v>
      </c>
      <c r="Z53" s="162">
        <v>0</v>
      </c>
      <c r="AA53" s="162">
        <v>0</v>
      </c>
      <c r="AB53" s="162">
        <v>0</v>
      </c>
      <c r="AC53" s="162">
        <v>0</v>
      </c>
      <c r="AD53" s="162">
        <v>0</v>
      </c>
      <c r="AE53" s="162">
        <v>0</v>
      </c>
      <c r="AF53" s="162">
        <v>0</v>
      </c>
      <c r="AG53" s="162">
        <v>0</v>
      </c>
      <c r="AH53" s="162">
        <v>0</v>
      </c>
      <c r="AI53" s="162">
        <v>0</v>
      </c>
      <c r="AJ53" s="162">
        <v>0</v>
      </c>
      <c r="AK53" s="162">
        <v>0</v>
      </c>
      <c r="AL53" s="162">
        <v>0</v>
      </c>
      <c r="AM53" s="162">
        <v>0</v>
      </c>
      <c r="AN53" s="162">
        <v>0</v>
      </c>
      <c r="AO53" s="162">
        <v>0</v>
      </c>
    </row>
    <row r="54" spans="3:41" x14ac:dyDescent="0.3">
      <c r="C54" s="162">
        <v>46</v>
      </c>
      <c r="D54" s="162">
        <v>8</v>
      </c>
      <c r="E54" s="162">
        <v>6</v>
      </c>
      <c r="F54" s="162">
        <v>168510</v>
      </c>
      <c r="G54" s="162">
        <v>47475</v>
      </c>
      <c r="H54" s="162">
        <v>96035</v>
      </c>
      <c r="I54" s="162">
        <v>0</v>
      </c>
      <c r="J54" s="162">
        <v>0</v>
      </c>
      <c r="K54" s="162">
        <v>0</v>
      </c>
      <c r="L54" s="162">
        <v>0</v>
      </c>
      <c r="M54" s="162">
        <v>0</v>
      </c>
      <c r="N54" s="162">
        <v>0</v>
      </c>
      <c r="O54" s="162">
        <v>0</v>
      </c>
      <c r="P54" s="162">
        <v>0</v>
      </c>
      <c r="Q54" s="162">
        <v>0</v>
      </c>
      <c r="R54" s="162">
        <v>0</v>
      </c>
      <c r="S54" s="162">
        <v>0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162">
        <v>0</v>
      </c>
      <c r="AD54" s="162">
        <v>0</v>
      </c>
      <c r="AE54" s="162">
        <v>0</v>
      </c>
      <c r="AF54" s="162">
        <v>0</v>
      </c>
      <c r="AG54" s="162">
        <v>0</v>
      </c>
      <c r="AH54" s="162">
        <v>0</v>
      </c>
      <c r="AI54" s="162">
        <v>0</v>
      </c>
      <c r="AJ54" s="162">
        <v>0</v>
      </c>
      <c r="AK54" s="162">
        <v>0</v>
      </c>
      <c r="AL54" s="162">
        <v>0</v>
      </c>
      <c r="AM54" s="162">
        <v>0</v>
      </c>
      <c r="AN54" s="162">
        <v>25000</v>
      </c>
      <c r="AO54" s="162">
        <v>0</v>
      </c>
    </row>
    <row r="55" spans="3:41" x14ac:dyDescent="0.3">
      <c r="C55" s="162">
        <v>46</v>
      </c>
      <c r="D55" s="162">
        <v>8</v>
      </c>
      <c r="E55" s="162">
        <v>11</v>
      </c>
      <c r="F55" s="162">
        <v>282.79961333580138</v>
      </c>
      <c r="G55" s="162">
        <v>0</v>
      </c>
      <c r="H55" s="162">
        <v>282.79961333580138</v>
      </c>
      <c r="I55" s="162">
        <v>0</v>
      </c>
      <c r="J55" s="162">
        <v>0</v>
      </c>
      <c r="K55" s="162">
        <v>0</v>
      </c>
      <c r="L55" s="162">
        <v>0</v>
      </c>
      <c r="M55" s="162">
        <v>0</v>
      </c>
      <c r="N55" s="162">
        <v>0</v>
      </c>
      <c r="O55" s="162">
        <v>0</v>
      </c>
      <c r="P55" s="162">
        <v>0</v>
      </c>
      <c r="Q55" s="162">
        <v>0</v>
      </c>
      <c r="R55" s="162">
        <v>0</v>
      </c>
      <c r="S55" s="162">
        <v>0</v>
      </c>
      <c r="T55" s="162">
        <v>0</v>
      </c>
      <c r="U55" s="162">
        <v>0</v>
      </c>
      <c r="V55" s="162">
        <v>0</v>
      </c>
      <c r="W55" s="162">
        <v>0</v>
      </c>
      <c r="X55" s="162">
        <v>0</v>
      </c>
      <c r="Y55" s="162">
        <v>0</v>
      </c>
      <c r="Z55" s="162">
        <v>0</v>
      </c>
      <c r="AA55" s="162">
        <v>0</v>
      </c>
      <c r="AB55" s="162">
        <v>0</v>
      </c>
      <c r="AC55" s="162">
        <v>0</v>
      </c>
      <c r="AD55" s="162">
        <v>0</v>
      </c>
      <c r="AE55" s="162">
        <v>0</v>
      </c>
      <c r="AF55" s="162">
        <v>0</v>
      </c>
      <c r="AG55" s="162">
        <v>0</v>
      </c>
      <c r="AH55" s="162">
        <v>0</v>
      </c>
      <c r="AI55" s="162">
        <v>0</v>
      </c>
      <c r="AJ55" s="162">
        <v>0</v>
      </c>
      <c r="AK55" s="162">
        <v>0</v>
      </c>
      <c r="AL55" s="162">
        <v>0</v>
      </c>
      <c r="AM55" s="162">
        <v>0</v>
      </c>
      <c r="AN55" s="162">
        <v>0</v>
      </c>
      <c r="AO55" s="162">
        <v>0</v>
      </c>
    </row>
    <row r="56" spans="3:41" x14ac:dyDescent="0.3">
      <c r="C56" s="162">
        <v>46</v>
      </c>
      <c r="D56" s="162">
        <v>9</v>
      </c>
      <c r="E56" s="162">
        <v>1</v>
      </c>
      <c r="F56" s="162">
        <v>2</v>
      </c>
      <c r="G56" s="162">
        <v>0</v>
      </c>
      <c r="H56" s="162">
        <v>1</v>
      </c>
      <c r="I56" s="162">
        <v>0</v>
      </c>
      <c r="J56" s="162">
        <v>0</v>
      </c>
      <c r="K56" s="162">
        <v>0</v>
      </c>
      <c r="L56" s="162">
        <v>0</v>
      </c>
      <c r="M56" s="162">
        <v>0</v>
      </c>
      <c r="N56" s="162">
        <v>0</v>
      </c>
      <c r="O56" s="162">
        <v>0</v>
      </c>
      <c r="P56" s="162">
        <v>0</v>
      </c>
      <c r="Q56" s="162">
        <v>0</v>
      </c>
      <c r="R56" s="162">
        <v>0</v>
      </c>
      <c r="S56" s="162">
        <v>0</v>
      </c>
      <c r="T56" s="162">
        <v>0</v>
      </c>
      <c r="U56" s="162">
        <v>0</v>
      </c>
      <c r="V56" s="162">
        <v>0</v>
      </c>
      <c r="W56" s="162">
        <v>0</v>
      </c>
      <c r="X56" s="162">
        <v>0</v>
      </c>
      <c r="Y56" s="162">
        <v>0</v>
      </c>
      <c r="Z56" s="162">
        <v>0</v>
      </c>
      <c r="AA56" s="162">
        <v>0</v>
      </c>
      <c r="AB56" s="162">
        <v>0</v>
      </c>
      <c r="AC56" s="162">
        <v>0</v>
      </c>
      <c r="AD56" s="162">
        <v>0</v>
      </c>
      <c r="AE56" s="162">
        <v>0</v>
      </c>
      <c r="AF56" s="162">
        <v>0</v>
      </c>
      <c r="AG56" s="162">
        <v>0</v>
      </c>
      <c r="AH56" s="162">
        <v>0</v>
      </c>
      <c r="AI56" s="162">
        <v>0</v>
      </c>
      <c r="AJ56" s="162">
        <v>0</v>
      </c>
      <c r="AK56" s="162">
        <v>0</v>
      </c>
      <c r="AL56" s="162">
        <v>0</v>
      </c>
      <c r="AM56" s="162">
        <v>0</v>
      </c>
      <c r="AN56" s="162">
        <v>1</v>
      </c>
      <c r="AO56" s="162">
        <v>0</v>
      </c>
    </row>
    <row r="57" spans="3:41" x14ac:dyDescent="0.3">
      <c r="C57" s="162">
        <v>46</v>
      </c>
      <c r="D57" s="162">
        <v>9</v>
      </c>
      <c r="E57" s="162">
        <v>2</v>
      </c>
      <c r="F57" s="162">
        <v>352</v>
      </c>
      <c r="G57" s="162">
        <v>0</v>
      </c>
      <c r="H57" s="162">
        <v>176</v>
      </c>
      <c r="I57" s="162">
        <v>0</v>
      </c>
      <c r="J57" s="162">
        <v>0</v>
      </c>
      <c r="K57" s="162">
        <v>0</v>
      </c>
      <c r="L57" s="162">
        <v>0</v>
      </c>
      <c r="M57" s="162">
        <v>0</v>
      </c>
      <c r="N57" s="162">
        <v>0</v>
      </c>
      <c r="O57" s="162">
        <v>0</v>
      </c>
      <c r="P57" s="162">
        <v>0</v>
      </c>
      <c r="Q57" s="162">
        <v>0</v>
      </c>
      <c r="R57" s="162">
        <v>0</v>
      </c>
      <c r="S57" s="162">
        <v>0</v>
      </c>
      <c r="T57" s="162">
        <v>0</v>
      </c>
      <c r="U57" s="162">
        <v>0</v>
      </c>
      <c r="V57" s="162">
        <v>0</v>
      </c>
      <c r="W57" s="162">
        <v>0</v>
      </c>
      <c r="X57" s="162">
        <v>0</v>
      </c>
      <c r="Y57" s="162">
        <v>0</v>
      </c>
      <c r="Z57" s="162">
        <v>0</v>
      </c>
      <c r="AA57" s="162">
        <v>0</v>
      </c>
      <c r="AB57" s="162">
        <v>0</v>
      </c>
      <c r="AC57" s="162">
        <v>0</v>
      </c>
      <c r="AD57" s="162">
        <v>0</v>
      </c>
      <c r="AE57" s="162">
        <v>0</v>
      </c>
      <c r="AF57" s="162">
        <v>0</v>
      </c>
      <c r="AG57" s="162">
        <v>0</v>
      </c>
      <c r="AH57" s="162">
        <v>0</v>
      </c>
      <c r="AI57" s="162">
        <v>0</v>
      </c>
      <c r="AJ57" s="162">
        <v>0</v>
      </c>
      <c r="AK57" s="162">
        <v>0</v>
      </c>
      <c r="AL57" s="162">
        <v>0</v>
      </c>
      <c r="AM57" s="162">
        <v>0</v>
      </c>
      <c r="AN57" s="162">
        <v>176</v>
      </c>
      <c r="AO57" s="162">
        <v>0</v>
      </c>
    </row>
    <row r="58" spans="3:41" x14ac:dyDescent="0.3">
      <c r="C58" s="162">
        <v>46</v>
      </c>
      <c r="D58" s="162">
        <v>9</v>
      </c>
      <c r="E58" s="162">
        <v>4</v>
      </c>
      <c r="F58" s="162">
        <v>34</v>
      </c>
      <c r="G58" s="162">
        <v>0</v>
      </c>
      <c r="H58" s="162">
        <v>34</v>
      </c>
      <c r="I58" s="162">
        <v>0</v>
      </c>
      <c r="J58" s="162">
        <v>0</v>
      </c>
      <c r="K58" s="162">
        <v>0</v>
      </c>
      <c r="L58" s="162">
        <v>0</v>
      </c>
      <c r="M58" s="162">
        <v>0</v>
      </c>
      <c r="N58" s="162">
        <v>0</v>
      </c>
      <c r="O58" s="162">
        <v>0</v>
      </c>
      <c r="P58" s="162">
        <v>0</v>
      </c>
      <c r="Q58" s="162">
        <v>0</v>
      </c>
      <c r="R58" s="162">
        <v>0</v>
      </c>
      <c r="S58" s="162">
        <v>0</v>
      </c>
      <c r="T58" s="162">
        <v>0</v>
      </c>
      <c r="U58" s="162">
        <v>0</v>
      </c>
      <c r="V58" s="162">
        <v>0</v>
      </c>
      <c r="W58" s="162">
        <v>0</v>
      </c>
      <c r="X58" s="162">
        <v>0</v>
      </c>
      <c r="Y58" s="162">
        <v>0</v>
      </c>
      <c r="Z58" s="162">
        <v>0</v>
      </c>
      <c r="AA58" s="162">
        <v>0</v>
      </c>
      <c r="AB58" s="162">
        <v>0</v>
      </c>
      <c r="AC58" s="162">
        <v>0</v>
      </c>
      <c r="AD58" s="162">
        <v>0</v>
      </c>
      <c r="AE58" s="162">
        <v>0</v>
      </c>
      <c r="AF58" s="162">
        <v>0</v>
      </c>
      <c r="AG58" s="162">
        <v>0</v>
      </c>
      <c r="AH58" s="162">
        <v>0</v>
      </c>
      <c r="AI58" s="162">
        <v>0</v>
      </c>
      <c r="AJ58" s="162">
        <v>0</v>
      </c>
      <c r="AK58" s="162">
        <v>0</v>
      </c>
      <c r="AL58" s="162">
        <v>0</v>
      </c>
      <c r="AM58" s="162">
        <v>0</v>
      </c>
      <c r="AN58" s="162">
        <v>0</v>
      </c>
      <c r="AO58" s="162">
        <v>0</v>
      </c>
    </row>
    <row r="59" spans="3:41" x14ac:dyDescent="0.3">
      <c r="C59" s="162">
        <v>46</v>
      </c>
      <c r="D59" s="162">
        <v>9</v>
      </c>
      <c r="E59" s="162">
        <v>5</v>
      </c>
      <c r="F59" s="162">
        <v>441</v>
      </c>
      <c r="G59" s="162">
        <v>441</v>
      </c>
      <c r="H59" s="162">
        <v>0</v>
      </c>
      <c r="I59" s="162">
        <v>0</v>
      </c>
      <c r="J59" s="162">
        <v>0</v>
      </c>
      <c r="K59" s="162">
        <v>0</v>
      </c>
      <c r="L59" s="162">
        <v>0</v>
      </c>
      <c r="M59" s="162">
        <v>0</v>
      </c>
      <c r="N59" s="162">
        <v>0</v>
      </c>
      <c r="O59" s="162">
        <v>0</v>
      </c>
      <c r="P59" s="162">
        <v>0</v>
      </c>
      <c r="Q59" s="162">
        <v>0</v>
      </c>
      <c r="R59" s="162">
        <v>0</v>
      </c>
      <c r="S59" s="162">
        <v>0</v>
      </c>
      <c r="T59" s="162">
        <v>0</v>
      </c>
      <c r="U59" s="162">
        <v>0</v>
      </c>
      <c r="V59" s="162">
        <v>0</v>
      </c>
      <c r="W59" s="162">
        <v>0</v>
      </c>
      <c r="X59" s="162">
        <v>0</v>
      </c>
      <c r="Y59" s="162">
        <v>0</v>
      </c>
      <c r="Z59" s="162">
        <v>0</v>
      </c>
      <c r="AA59" s="162">
        <v>0</v>
      </c>
      <c r="AB59" s="162">
        <v>0</v>
      </c>
      <c r="AC59" s="162">
        <v>0</v>
      </c>
      <c r="AD59" s="162">
        <v>0</v>
      </c>
      <c r="AE59" s="162">
        <v>0</v>
      </c>
      <c r="AF59" s="162">
        <v>0</v>
      </c>
      <c r="AG59" s="162">
        <v>0</v>
      </c>
      <c r="AH59" s="162">
        <v>0</v>
      </c>
      <c r="AI59" s="162">
        <v>0</v>
      </c>
      <c r="AJ59" s="162">
        <v>0</v>
      </c>
      <c r="AK59" s="162">
        <v>0</v>
      </c>
      <c r="AL59" s="162">
        <v>0</v>
      </c>
      <c r="AM59" s="162">
        <v>0</v>
      </c>
      <c r="AN59" s="162">
        <v>0</v>
      </c>
      <c r="AO59" s="162">
        <v>0</v>
      </c>
    </row>
    <row r="60" spans="3:41" x14ac:dyDescent="0.3">
      <c r="C60" s="162">
        <v>46</v>
      </c>
      <c r="D60" s="162">
        <v>9</v>
      </c>
      <c r="E60" s="162">
        <v>6</v>
      </c>
      <c r="F60" s="162">
        <v>154456</v>
      </c>
      <c r="G60" s="162">
        <v>37175</v>
      </c>
      <c r="H60" s="162">
        <v>93111</v>
      </c>
      <c r="I60" s="162">
        <v>0</v>
      </c>
      <c r="J60" s="162">
        <v>0</v>
      </c>
      <c r="K60" s="162">
        <v>0</v>
      </c>
      <c r="L60" s="162">
        <v>0</v>
      </c>
      <c r="M60" s="162">
        <v>0</v>
      </c>
      <c r="N60" s="162">
        <v>0</v>
      </c>
      <c r="O60" s="162">
        <v>0</v>
      </c>
      <c r="P60" s="162">
        <v>0</v>
      </c>
      <c r="Q60" s="162">
        <v>0</v>
      </c>
      <c r="R60" s="162">
        <v>0</v>
      </c>
      <c r="S60" s="162">
        <v>0</v>
      </c>
      <c r="T60" s="162">
        <v>0</v>
      </c>
      <c r="U60" s="162">
        <v>0</v>
      </c>
      <c r="V60" s="162">
        <v>0</v>
      </c>
      <c r="W60" s="162">
        <v>0</v>
      </c>
      <c r="X60" s="162">
        <v>0</v>
      </c>
      <c r="Y60" s="162">
        <v>0</v>
      </c>
      <c r="Z60" s="162">
        <v>0</v>
      </c>
      <c r="AA60" s="162">
        <v>0</v>
      </c>
      <c r="AB60" s="162">
        <v>0</v>
      </c>
      <c r="AC60" s="162">
        <v>0</v>
      </c>
      <c r="AD60" s="162">
        <v>0</v>
      </c>
      <c r="AE60" s="162">
        <v>0</v>
      </c>
      <c r="AF60" s="162">
        <v>0</v>
      </c>
      <c r="AG60" s="162">
        <v>0</v>
      </c>
      <c r="AH60" s="162">
        <v>0</v>
      </c>
      <c r="AI60" s="162">
        <v>0</v>
      </c>
      <c r="AJ60" s="162">
        <v>0</v>
      </c>
      <c r="AK60" s="162">
        <v>0</v>
      </c>
      <c r="AL60" s="162">
        <v>0</v>
      </c>
      <c r="AM60" s="162">
        <v>0</v>
      </c>
      <c r="AN60" s="162">
        <v>24170</v>
      </c>
      <c r="AO60" s="162">
        <v>0</v>
      </c>
    </row>
    <row r="61" spans="3:41" x14ac:dyDescent="0.3">
      <c r="C61" s="162">
        <v>46</v>
      </c>
      <c r="D61" s="162">
        <v>9</v>
      </c>
      <c r="E61" s="162">
        <v>11</v>
      </c>
      <c r="F61" s="162">
        <v>282.79961333580138</v>
      </c>
      <c r="G61" s="162">
        <v>0</v>
      </c>
      <c r="H61" s="162">
        <v>282.79961333580138</v>
      </c>
      <c r="I61" s="162">
        <v>0</v>
      </c>
      <c r="J61" s="162">
        <v>0</v>
      </c>
      <c r="K61" s="162">
        <v>0</v>
      </c>
      <c r="L61" s="162">
        <v>0</v>
      </c>
      <c r="M61" s="162">
        <v>0</v>
      </c>
      <c r="N61" s="162">
        <v>0</v>
      </c>
      <c r="O61" s="162">
        <v>0</v>
      </c>
      <c r="P61" s="162">
        <v>0</v>
      </c>
      <c r="Q61" s="162">
        <v>0</v>
      </c>
      <c r="R61" s="162">
        <v>0</v>
      </c>
      <c r="S61" s="162">
        <v>0</v>
      </c>
      <c r="T61" s="162">
        <v>0</v>
      </c>
      <c r="U61" s="162">
        <v>0</v>
      </c>
      <c r="V61" s="162">
        <v>0</v>
      </c>
      <c r="W61" s="162">
        <v>0</v>
      </c>
      <c r="X61" s="162">
        <v>0</v>
      </c>
      <c r="Y61" s="162">
        <v>0</v>
      </c>
      <c r="Z61" s="162">
        <v>0</v>
      </c>
      <c r="AA61" s="162">
        <v>0</v>
      </c>
      <c r="AB61" s="162">
        <v>0</v>
      </c>
      <c r="AC61" s="162">
        <v>0</v>
      </c>
      <c r="AD61" s="162">
        <v>0</v>
      </c>
      <c r="AE61" s="162">
        <v>0</v>
      </c>
      <c r="AF61" s="162">
        <v>0</v>
      </c>
      <c r="AG61" s="162">
        <v>0</v>
      </c>
      <c r="AH61" s="162">
        <v>0</v>
      </c>
      <c r="AI61" s="162">
        <v>0</v>
      </c>
      <c r="AJ61" s="162">
        <v>0</v>
      </c>
      <c r="AK61" s="162">
        <v>0</v>
      </c>
      <c r="AL61" s="162">
        <v>0</v>
      </c>
      <c r="AM61" s="162">
        <v>0</v>
      </c>
      <c r="AN61" s="162">
        <v>0</v>
      </c>
      <c r="AO61" s="162">
        <v>0</v>
      </c>
    </row>
    <row r="62" spans="3:41" x14ac:dyDescent="0.3">
      <c r="C62" s="162">
        <v>46</v>
      </c>
      <c r="D62" s="162">
        <v>10</v>
      </c>
      <c r="E62" s="162">
        <v>1</v>
      </c>
      <c r="F62" s="162">
        <v>2</v>
      </c>
      <c r="G62" s="162">
        <v>0</v>
      </c>
      <c r="H62" s="162">
        <v>1</v>
      </c>
      <c r="I62" s="162">
        <v>0</v>
      </c>
      <c r="J62" s="162">
        <v>0</v>
      </c>
      <c r="K62" s="162">
        <v>0</v>
      </c>
      <c r="L62" s="162">
        <v>0</v>
      </c>
      <c r="M62" s="162">
        <v>0</v>
      </c>
      <c r="N62" s="162">
        <v>0</v>
      </c>
      <c r="O62" s="162">
        <v>0</v>
      </c>
      <c r="P62" s="162">
        <v>0</v>
      </c>
      <c r="Q62" s="162">
        <v>0</v>
      </c>
      <c r="R62" s="162">
        <v>0</v>
      </c>
      <c r="S62" s="162">
        <v>0</v>
      </c>
      <c r="T62" s="162">
        <v>0</v>
      </c>
      <c r="U62" s="162">
        <v>0</v>
      </c>
      <c r="V62" s="162">
        <v>0</v>
      </c>
      <c r="W62" s="162">
        <v>0</v>
      </c>
      <c r="X62" s="162">
        <v>0</v>
      </c>
      <c r="Y62" s="162">
        <v>0</v>
      </c>
      <c r="Z62" s="162">
        <v>0</v>
      </c>
      <c r="AA62" s="162">
        <v>0</v>
      </c>
      <c r="AB62" s="162">
        <v>0</v>
      </c>
      <c r="AC62" s="162">
        <v>0</v>
      </c>
      <c r="AD62" s="162">
        <v>0</v>
      </c>
      <c r="AE62" s="162">
        <v>0</v>
      </c>
      <c r="AF62" s="162">
        <v>0</v>
      </c>
      <c r="AG62" s="162">
        <v>0</v>
      </c>
      <c r="AH62" s="162">
        <v>0</v>
      </c>
      <c r="AI62" s="162">
        <v>0</v>
      </c>
      <c r="AJ62" s="162">
        <v>0</v>
      </c>
      <c r="AK62" s="162">
        <v>0</v>
      </c>
      <c r="AL62" s="162">
        <v>0</v>
      </c>
      <c r="AM62" s="162">
        <v>0</v>
      </c>
      <c r="AN62" s="162">
        <v>1</v>
      </c>
      <c r="AO62" s="162">
        <v>0</v>
      </c>
    </row>
    <row r="63" spans="3:41" x14ac:dyDescent="0.3">
      <c r="C63" s="162">
        <v>46</v>
      </c>
      <c r="D63" s="162">
        <v>10</v>
      </c>
      <c r="E63" s="162">
        <v>2</v>
      </c>
      <c r="F63" s="162">
        <v>336</v>
      </c>
      <c r="G63" s="162">
        <v>0</v>
      </c>
      <c r="H63" s="162">
        <v>176</v>
      </c>
      <c r="I63" s="162">
        <v>0</v>
      </c>
      <c r="J63" s="162">
        <v>0</v>
      </c>
      <c r="K63" s="162">
        <v>0</v>
      </c>
      <c r="L63" s="162">
        <v>0</v>
      </c>
      <c r="M63" s="162">
        <v>0</v>
      </c>
      <c r="N63" s="162">
        <v>0</v>
      </c>
      <c r="O63" s="162">
        <v>0</v>
      </c>
      <c r="P63" s="162">
        <v>0</v>
      </c>
      <c r="Q63" s="162">
        <v>0</v>
      </c>
      <c r="R63" s="162">
        <v>0</v>
      </c>
      <c r="S63" s="162">
        <v>0</v>
      </c>
      <c r="T63" s="162">
        <v>0</v>
      </c>
      <c r="U63" s="162">
        <v>0</v>
      </c>
      <c r="V63" s="162">
        <v>0</v>
      </c>
      <c r="W63" s="162">
        <v>0</v>
      </c>
      <c r="X63" s="162">
        <v>0</v>
      </c>
      <c r="Y63" s="162">
        <v>0</v>
      </c>
      <c r="Z63" s="162">
        <v>0</v>
      </c>
      <c r="AA63" s="162">
        <v>0</v>
      </c>
      <c r="AB63" s="162">
        <v>0</v>
      </c>
      <c r="AC63" s="162">
        <v>0</v>
      </c>
      <c r="AD63" s="162">
        <v>0</v>
      </c>
      <c r="AE63" s="162">
        <v>0</v>
      </c>
      <c r="AF63" s="162">
        <v>0</v>
      </c>
      <c r="AG63" s="162">
        <v>0</v>
      </c>
      <c r="AH63" s="162">
        <v>0</v>
      </c>
      <c r="AI63" s="162">
        <v>0</v>
      </c>
      <c r="AJ63" s="162">
        <v>0</v>
      </c>
      <c r="AK63" s="162">
        <v>0</v>
      </c>
      <c r="AL63" s="162">
        <v>0</v>
      </c>
      <c r="AM63" s="162">
        <v>0</v>
      </c>
      <c r="AN63" s="162">
        <v>160</v>
      </c>
      <c r="AO63" s="162">
        <v>0</v>
      </c>
    </row>
    <row r="64" spans="3:41" x14ac:dyDescent="0.3">
      <c r="C64" s="162">
        <v>46</v>
      </c>
      <c r="D64" s="162">
        <v>10</v>
      </c>
      <c r="E64" s="162">
        <v>4</v>
      </c>
      <c r="F64" s="162">
        <v>34</v>
      </c>
      <c r="G64" s="162">
        <v>0</v>
      </c>
      <c r="H64" s="162">
        <v>34</v>
      </c>
      <c r="I64" s="162">
        <v>0</v>
      </c>
      <c r="J64" s="162">
        <v>0</v>
      </c>
      <c r="K64" s="162">
        <v>0</v>
      </c>
      <c r="L64" s="162">
        <v>0</v>
      </c>
      <c r="M64" s="162">
        <v>0</v>
      </c>
      <c r="N64" s="162">
        <v>0</v>
      </c>
      <c r="O64" s="162">
        <v>0</v>
      </c>
      <c r="P64" s="162">
        <v>0</v>
      </c>
      <c r="Q64" s="162">
        <v>0</v>
      </c>
      <c r="R64" s="162">
        <v>0</v>
      </c>
      <c r="S64" s="162">
        <v>0</v>
      </c>
      <c r="T64" s="162">
        <v>0</v>
      </c>
      <c r="U64" s="162">
        <v>0</v>
      </c>
      <c r="V64" s="162">
        <v>0</v>
      </c>
      <c r="W64" s="162">
        <v>0</v>
      </c>
      <c r="X64" s="162">
        <v>0</v>
      </c>
      <c r="Y64" s="162">
        <v>0</v>
      </c>
      <c r="Z64" s="162">
        <v>0</v>
      </c>
      <c r="AA64" s="162">
        <v>0</v>
      </c>
      <c r="AB64" s="162">
        <v>0</v>
      </c>
      <c r="AC64" s="162">
        <v>0</v>
      </c>
      <c r="AD64" s="162">
        <v>0</v>
      </c>
      <c r="AE64" s="162">
        <v>0</v>
      </c>
      <c r="AF64" s="162">
        <v>0</v>
      </c>
      <c r="AG64" s="162">
        <v>0</v>
      </c>
      <c r="AH64" s="162">
        <v>0</v>
      </c>
      <c r="AI64" s="162">
        <v>0</v>
      </c>
      <c r="AJ64" s="162">
        <v>0</v>
      </c>
      <c r="AK64" s="162">
        <v>0</v>
      </c>
      <c r="AL64" s="162">
        <v>0</v>
      </c>
      <c r="AM64" s="162">
        <v>0</v>
      </c>
      <c r="AN64" s="162">
        <v>0</v>
      </c>
      <c r="AO64" s="162">
        <v>0</v>
      </c>
    </row>
    <row r="65" spans="3:41" x14ac:dyDescent="0.3">
      <c r="C65" s="162">
        <v>46</v>
      </c>
      <c r="D65" s="162">
        <v>10</v>
      </c>
      <c r="E65" s="162">
        <v>5</v>
      </c>
      <c r="F65" s="162">
        <v>477</v>
      </c>
      <c r="G65" s="162">
        <v>477</v>
      </c>
      <c r="H65" s="162">
        <v>0</v>
      </c>
      <c r="I65" s="162">
        <v>0</v>
      </c>
      <c r="J65" s="162">
        <v>0</v>
      </c>
      <c r="K65" s="162">
        <v>0</v>
      </c>
      <c r="L65" s="162">
        <v>0</v>
      </c>
      <c r="M65" s="162">
        <v>0</v>
      </c>
      <c r="N65" s="162">
        <v>0</v>
      </c>
      <c r="O65" s="162">
        <v>0</v>
      </c>
      <c r="P65" s="162">
        <v>0</v>
      </c>
      <c r="Q65" s="162">
        <v>0</v>
      </c>
      <c r="R65" s="162">
        <v>0</v>
      </c>
      <c r="S65" s="162">
        <v>0</v>
      </c>
      <c r="T65" s="162">
        <v>0</v>
      </c>
      <c r="U65" s="162">
        <v>0</v>
      </c>
      <c r="V65" s="162">
        <v>0</v>
      </c>
      <c r="W65" s="162">
        <v>0</v>
      </c>
      <c r="X65" s="162">
        <v>0</v>
      </c>
      <c r="Y65" s="162">
        <v>0</v>
      </c>
      <c r="Z65" s="162">
        <v>0</v>
      </c>
      <c r="AA65" s="162">
        <v>0</v>
      </c>
      <c r="AB65" s="162">
        <v>0</v>
      </c>
      <c r="AC65" s="162">
        <v>0</v>
      </c>
      <c r="AD65" s="162">
        <v>0</v>
      </c>
      <c r="AE65" s="162">
        <v>0</v>
      </c>
      <c r="AF65" s="162">
        <v>0</v>
      </c>
      <c r="AG65" s="162">
        <v>0</v>
      </c>
      <c r="AH65" s="162">
        <v>0</v>
      </c>
      <c r="AI65" s="162">
        <v>0</v>
      </c>
      <c r="AJ65" s="162">
        <v>0</v>
      </c>
      <c r="AK65" s="162">
        <v>0</v>
      </c>
      <c r="AL65" s="162">
        <v>0</v>
      </c>
      <c r="AM65" s="162">
        <v>0</v>
      </c>
      <c r="AN65" s="162">
        <v>0</v>
      </c>
      <c r="AO65" s="162">
        <v>0</v>
      </c>
    </row>
    <row r="66" spans="3:41" x14ac:dyDescent="0.3">
      <c r="C66" s="162">
        <v>46</v>
      </c>
      <c r="D66" s="162">
        <v>10</v>
      </c>
      <c r="E66" s="162">
        <v>6</v>
      </c>
      <c r="F66" s="162">
        <v>159765</v>
      </c>
      <c r="G66" s="162">
        <v>34650</v>
      </c>
      <c r="H66" s="162">
        <v>100671</v>
      </c>
      <c r="I66" s="162">
        <v>0</v>
      </c>
      <c r="J66" s="162">
        <v>0</v>
      </c>
      <c r="K66" s="162">
        <v>0</v>
      </c>
      <c r="L66" s="162">
        <v>0</v>
      </c>
      <c r="M66" s="162">
        <v>0</v>
      </c>
      <c r="N66" s="162">
        <v>0</v>
      </c>
      <c r="O66" s="162">
        <v>0</v>
      </c>
      <c r="P66" s="162">
        <v>0</v>
      </c>
      <c r="Q66" s="162">
        <v>0</v>
      </c>
      <c r="R66" s="162">
        <v>0</v>
      </c>
      <c r="S66" s="162">
        <v>0</v>
      </c>
      <c r="T66" s="162">
        <v>0</v>
      </c>
      <c r="U66" s="162">
        <v>0</v>
      </c>
      <c r="V66" s="162">
        <v>0</v>
      </c>
      <c r="W66" s="162">
        <v>0</v>
      </c>
      <c r="X66" s="162">
        <v>0</v>
      </c>
      <c r="Y66" s="162">
        <v>0</v>
      </c>
      <c r="Z66" s="162">
        <v>0</v>
      </c>
      <c r="AA66" s="162">
        <v>0</v>
      </c>
      <c r="AB66" s="162">
        <v>0</v>
      </c>
      <c r="AC66" s="162">
        <v>0</v>
      </c>
      <c r="AD66" s="162">
        <v>0</v>
      </c>
      <c r="AE66" s="162">
        <v>0</v>
      </c>
      <c r="AF66" s="162">
        <v>0</v>
      </c>
      <c r="AG66" s="162">
        <v>0</v>
      </c>
      <c r="AH66" s="162">
        <v>0</v>
      </c>
      <c r="AI66" s="162">
        <v>0</v>
      </c>
      <c r="AJ66" s="162">
        <v>0</v>
      </c>
      <c r="AK66" s="162">
        <v>0</v>
      </c>
      <c r="AL66" s="162">
        <v>0</v>
      </c>
      <c r="AM66" s="162">
        <v>0</v>
      </c>
      <c r="AN66" s="162">
        <v>24444</v>
      </c>
      <c r="AO66" s="162">
        <v>0</v>
      </c>
    </row>
    <row r="67" spans="3:41" x14ac:dyDescent="0.3">
      <c r="C67" s="162">
        <v>46</v>
      </c>
      <c r="D67" s="162">
        <v>10</v>
      </c>
      <c r="E67" s="162">
        <v>11</v>
      </c>
      <c r="F67" s="162">
        <v>282.79961333580138</v>
      </c>
      <c r="G67" s="162">
        <v>0</v>
      </c>
      <c r="H67" s="162">
        <v>282.79961333580138</v>
      </c>
      <c r="I67" s="162">
        <v>0</v>
      </c>
      <c r="J67" s="162">
        <v>0</v>
      </c>
      <c r="K67" s="162">
        <v>0</v>
      </c>
      <c r="L67" s="162">
        <v>0</v>
      </c>
      <c r="M67" s="162">
        <v>0</v>
      </c>
      <c r="N67" s="162">
        <v>0</v>
      </c>
      <c r="O67" s="162">
        <v>0</v>
      </c>
      <c r="P67" s="162">
        <v>0</v>
      </c>
      <c r="Q67" s="162">
        <v>0</v>
      </c>
      <c r="R67" s="162">
        <v>0</v>
      </c>
      <c r="S67" s="162">
        <v>0</v>
      </c>
      <c r="T67" s="162">
        <v>0</v>
      </c>
      <c r="U67" s="162">
        <v>0</v>
      </c>
      <c r="V67" s="162">
        <v>0</v>
      </c>
      <c r="W67" s="162">
        <v>0</v>
      </c>
      <c r="X67" s="162">
        <v>0</v>
      </c>
      <c r="Y67" s="162">
        <v>0</v>
      </c>
      <c r="Z67" s="162">
        <v>0</v>
      </c>
      <c r="AA67" s="162">
        <v>0</v>
      </c>
      <c r="AB67" s="162">
        <v>0</v>
      </c>
      <c r="AC67" s="162">
        <v>0</v>
      </c>
      <c r="AD67" s="162">
        <v>0</v>
      </c>
      <c r="AE67" s="162">
        <v>0</v>
      </c>
      <c r="AF67" s="162">
        <v>0</v>
      </c>
      <c r="AG67" s="162">
        <v>0</v>
      </c>
      <c r="AH67" s="162">
        <v>0</v>
      </c>
      <c r="AI67" s="162">
        <v>0</v>
      </c>
      <c r="AJ67" s="162">
        <v>0</v>
      </c>
      <c r="AK67" s="162">
        <v>0</v>
      </c>
      <c r="AL67" s="162">
        <v>0</v>
      </c>
      <c r="AM67" s="162">
        <v>0</v>
      </c>
      <c r="AN67" s="162">
        <v>0</v>
      </c>
      <c r="AO67" s="16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Motivace</vt:lpstr>
      <vt:lpstr>HI</vt:lpstr>
      <vt:lpstr>Man Tab</vt:lpstr>
      <vt:lpstr>HV</vt:lpstr>
      <vt:lpstr>Materiál Žádanky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2015-11-24T08:55:28Z</dcterms:modified>
</cp:coreProperties>
</file>