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F26" i="419" l="1"/>
  <c r="F27" i="419" s="1"/>
  <c r="F25" i="419"/>
  <c r="E26" i="419"/>
  <c r="F28" i="419" l="1"/>
  <c r="E25" i="419"/>
  <c r="C25" i="419"/>
  <c r="F20" i="419"/>
  <c r="F19" i="419"/>
  <c r="F17" i="419"/>
  <c r="F16" i="419"/>
  <c r="F14" i="419"/>
  <c r="F13" i="419"/>
  <c r="F12" i="419"/>
  <c r="F11" i="419"/>
  <c r="AW3" i="418"/>
  <c r="AV3" i="418"/>
  <c r="AU3" i="418"/>
  <c r="AT3" i="418"/>
  <c r="AS3" i="418"/>
  <c r="AR3" i="418"/>
  <c r="AQ3" i="418"/>
  <c r="AP3" i="418"/>
  <c r="F18" i="419" l="1"/>
  <c r="B25" i="419"/>
  <c r="E27" i="419" l="1"/>
  <c r="B26" i="419"/>
  <c r="B27" i="419" s="1"/>
  <c r="E28" i="419"/>
  <c r="A7" i="414"/>
  <c r="E21" i="419" l="1"/>
  <c r="E20" i="419"/>
  <c r="E19" i="419"/>
  <c r="E17" i="419"/>
  <c r="E16" i="419"/>
  <c r="E14" i="419"/>
  <c r="E13" i="419"/>
  <c r="E12" i="419"/>
  <c r="E11" i="419"/>
  <c r="E18" i="419" l="1"/>
  <c r="E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F6" i="419" l="1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2" i="414"/>
  <c r="D15" i="414"/>
  <c r="D12" i="414"/>
  <c r="C15" i="414"/>
  <c r="C11" i="414" l="1"/>
  <c r="C7" i="414"/>
  <c r="E11" i="414" l="1"/>
  <c r="E7" i="414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<sst xmlns="http://schemas.openxmlformats.org/spreadsheetml/2006/main" count="431" uniqueCount="260">
  <si>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</si>
  <si>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</si>
  <si>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</si>
  <si>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</si>
  <si>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</si>
  <si>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</si>
  <si>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</si>
  <si>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</si>
  <si>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</si>
  <si>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</si>
  <si>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</si>
  <si>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</si>
  <si>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</si>
  <si>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</si>
  <si>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</si>
  <si>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</si>
  <si>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</si>
  <si>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</si>
  <si>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</si>
  <si>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</si>
  <si>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</si>
  <si>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</si>
  <si>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</si>
  <si>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</si>
  <si>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</si>
  <si>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</si>
  <si>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</si>
  <si>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</si>
  <si>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</si>
  <si>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</si>
  <si>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</si>
  <si>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</si>
  <si>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</si>
  <si>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</si>
  <si>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</si>
  <si>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</si>
  <si>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</si>
  <si>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</si>
  <si>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</si>
  <si>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</si>
  <si>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</si>
  <si>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</si>
  <si>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</si>
  <si>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</si>
  <si>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</si>
  <si>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</si>
  <si>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</si>
  <si>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</si>
  <si>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</si>
  <si>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</si>
  <si>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</si>
  <si>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</si>
  <si>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</si>
  <si>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</si>
  <si>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</si>
  <si>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</si>
  <si>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</si>
  <si>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</si>
  <si>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</si>
  <si>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</si>
  <si>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</si>
  <si>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</si>
  <si>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</si>
  <si>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</si>
  <si>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</si>
  <si>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</si>
  <si>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</si>
  <si>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</si>
  <si>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</si>
  <si>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</si>
  <si>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</si>
  <si>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</si>
  <si>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</si>
  <si>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</si>
  <si>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</si>
  <si>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</si>
  <si>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</si>
  <si>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</si>
  <si>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</si>
  <si>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</si>
  <si>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</si>
  <si>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</si>
  <si>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</si>
  <si>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</si>
  <si>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</si>
  <si>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</si>
  <si>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</si>
  <si>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</si>
  <si>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</si>
  <si>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</si>
  <si>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</si>
  <si>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</si>
  <si>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</si>
  <si>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</si>
  <si>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</si>
  <si>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</si>
  <si>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</si>
  <si>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</si>
  <si>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</si>
  <si>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</si>
  <si>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</si>
  <si>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</si>
  <si>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</si>
  <si>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</si>
  <si>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</si>
  <si>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</si>
  <si>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</si>
  <si>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</si>
  <si>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</si>
  <si>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</si>
  <si>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</si>
  <si>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</si>
  <si>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</si>
  <si>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</si>
  <si>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</si>
  <si>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</si>
  <si>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</si>
  <si>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</si>
  <si>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</si>
  <si>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</si>
  <si>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</si>
  <si>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</si>
  <si>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</si>
  <si>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</si>
  <si>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</si>
  <si>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</si>
  <si>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</si>
  <si>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</si>
  <si>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</si>
  <si>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</si>
  <si>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</si>
  <si>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</si>
  <si>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</si>
  <si>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</si>
  <si>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</si>
  <si>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</si>
  <si>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</si>
  <si>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</si>
  <si>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</si>
  <si>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</si>
  <si>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</si>
  <si>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</si>
  <si>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</si>
  <si>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</si>
  <si>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</si>
  <si>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</si>
  <si>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</si>
  <si>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</si>
  <si>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</si>
  <si>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</si>
  <si>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</si>
  <si>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</si>
  <si>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</si>
  <si>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</si>
  <si>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</si>
  <si>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</si>
  <si>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</si>
  <si>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</si>
  <si>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</si>
  <si>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</si>
  <si>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</si>
  <si>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</si>
  <si>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--</t>
  </si>
  <si>
    <t>50118007     ND - doprava (sk.A50)</t>
  </si>
  <si>
    <t>50119     DDHM a textil</t>
  </si>
  <si>
    <t>50119077     OOPP a prádlo pro zaměstnance (sk.T14)</t>
  </si>
  <si>
    <t>50180     Materiál z darů, FKSP</t>
  </si>
  <si>
    <t>50180000     spotř.nák.- z fin. darů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</si>
  <si>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</si>
  <si>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</si>
  <si>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</si>
  <si>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</si>
  <si>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</si>
  <si>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</si>
  <si>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</si>
  <si>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</si>
  <si>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</si>
  <si>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</si>
  <si>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</si>
  <si>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</si>
  <si>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</si>
  <si>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</si>
  <si>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</si>
  <si>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</si>
  <si>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</si>
  <si>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</si>
  <si>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</si>
  <si>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</si>
  <si>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</si>
  <si>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</si>
  <si>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</si>
  <si>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</si>
  <si>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</si>
  <si>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</si>
  <si>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</si>
  <si>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</si>
  <si>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</si>
  <si>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</si>
  <si>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</si>
  <si>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</si>
  <si>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</si>
  <si>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</si>
  <si>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</si>
  <si>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</si>
  <si>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</si>
  <si>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</si>
  <si>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</si>
  <si>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</si>
  <si>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</si>
  <si>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</si>
  <si>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</si>
  <si>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</si>
  <si>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</si>
  <si>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</si>
  <si>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</si>
  <si>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</si>
  <si>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</si>
  <si>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</si>
  <si>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</si>
  <si>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</si>
  <si>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</si>
  <si>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</si>
  <si>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</si>
  <si>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</si>
  <si>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55802     DDHM - provozní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</si>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</sst>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5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1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1" fontId="28" fillId="3" borderId="25" xfId="80" applyNumberFormat="1" applyFont="1" applyFill="1" applyBorder="1"/>
    <xf numFmtId="171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6" xfId="0" applyFont="1" applyFill="1" applyBorder="1" applyAlignment="1"/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5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3" fillId="4" borderId="31" xfId="1" applyFont="1" applyFill="1" applyBorder="1"/>
    <xf numFmtId="0" fontId="43" fillId="4" borderId="15" xfId="1" applyFont="1" applyFill="1" applyBorder="1"/>
    <xf numFmtId="0" fontId="43" fillId="3" borderId="16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4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5" xfId="0" applyNumberFormat="1" applyFont="1" applyFill="1" applyBorder="1"/>
    <xf numFmtId="0" fontId="47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3" fillId="2" borderId="32" xfId="1" applyFont="1" applyFill="1" applyBorder="1" applyAlignment="1">
      <alignment horizontal="left" indent="2"/>
    </xf>
    <xf numFmtId="0" fontId="47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7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7" fillId="4" borderId="43" xfId="1" applyFont="1" applyFill="1" applyBorder="1" applyAlignment="1">
      <alignment horizontal="left"/>
    </xf>
    <xf numFmtId="0" fontId="47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8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8" xfId="0" applyNumberFormat="1" applyFont="1" applyFill="1" applyBorder="1"/>
    <xf numFmtId="3" fontId="50" fillId="8" borderId="49" xfId="0" applyNumberFormat="1" applyFont="1" applyFill="1" applyBorder="1"/>
    <xf numFmtId="3" fontId="50" fillId="8" borderId="48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2" xfId="0" applyNumberFormat="1" applyFont="1" applyFill="1" applyBorder="1" applyAlignment="1">
      <alignment horizontal="center" vertical="center"/>
    </xf>
    <xf numFmtId="3" fontId="52" fillId="2" borderId="55" xfId="0" applyNumberFormat="1" applyFont="1" applyFill="1" applyBorder="1" applyAlignment="1">
      <alignment horizontal="center" vertical="center" wrapText="1"/>
    </xf>
    <xf numFmtId="0" fontId="39" fillId="2" borderId="58" xfId="0" applyFont="1" applyFill="1" applyBorder="1" applyAlignment="1"/>
    <xf numFmtId="0" fontId="39" fillId="2" borderId="60" xfId="0" applyFont="1" applyFill="1" applyBorder="1" applyAlignment="1">
      <alignment horizontal="left" indent="1"/>
    </xf>
    <xf numFmtId="0" fontId="39" fillId="2" borderId="65" xfId="0" applyFont="1" applyFill="1" applyBorder="1" applyAlignment="1">
      <alignment horizontal="left" indent="1"/>
    </xf>
    <xf numFmtId="0" fontId="39" fillId="4" borderId="58" xfId="0" applyFont="1" applyFill="1" applyBorder="1" applyAlignment="1"/>
    <xf numFmtId="0" fontId="39" fillId="4" borderId="60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2" borderId="60" xfId="0" quotePrefix="1" applyFont="1" applyFill="1" applyBorder="1" applyAlignment="1">
      <alignment horizontal="left" indent="2"/>
    </xf>
    <xf numFmtId="0" fontId="32" fillId="2" borderId="65" xfId="0" quotePrefix="1" applyFont="1" applyFill="1" applyBorder="1" applyAlignment="1">
      <alignment horizontal="left" indent="2"/>
    </xf>
    <xf numFmtId="0" fontId="39" fillId="2" borderId="58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5" xfId="0" applyFont="1" applyFill="1" applyBorder="1" applyAlignment="1">
      <alignment horizontal="left" indent="1"/>
    </xf>
    <xf numFmtId="0" fontId="32" fillId="0" borderId="74" xfId="0" applyFont="1" applyBorder="1"/>
    <xf numFmtId="3" fontId="32" fillId="0" borderId="74" xfId="0" applyNumberFormat="1" applyFont="1" applyBorder="1"/>
    <xf numFmtId="0" fontId="39" fillId="4" borderId="50" xfId="0" applyFont="1" applyFill="1" applyBorder="1" applyAlignment="1">
      <alignment horizontal="center" vertical="center"/>
    </xf>
    <xf numFmtId="0" fontId="39" fillId="4" borderId="46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3" xfId="0" applyNumberFormat="1" applyFont="1" applyFill="1" applyBorder="1" applyAlignment="1">
      <alignment horizontal="center" vertical="center"/>
    </xf>
    <xf numFmtId="3" fontId="52" fillId="2" borderId="71" xfId="0" applyNumberFormat="1" applyFont="1" applyFill="1" applyBorder="1" applyAlignment="1">
      <alignment horizontal="center" vertical="center" wrapText="1"/>
    </xf>
    <xf numFmtId="173" fontId="39" fillId="4" borderId="59" xfId="0" applyNumberFormat="1" applyFont="1" applyFill="1" applyBorder="1" applyAlignment="1"/>
    <xf numFmtId="173" fontId="39" fillId="4" borderId="52" xfId="0" applyNumberFormat="1" applyFont="1" applyFill="1" applyBorder="1" applyAlignment="1"/>
    <xf numFmtId="173" fontId="39" fillId="4" borderId="53" xfId="0" applyNumberFormat="1" applyFont="1" applyFill="1" applyBorder="1" applyAlignment="1"/>
    <xf numFmtId="173" fontId="39" fillId="0" borderId="61" xfId="0" applyNumberFormat="1" applyFont="1" applyBorder="1"/>
    <xf numFmtId="173" fontId="32" fillId="0" borderId="64" xfId="0" applyNumberFormat="1" applyFont="1" applyBorder="1"/>
    <xf numFmtId="173" fontId="32" fillId="0" borderId="63" xfId="0" applyNumberFormat="1" applyFont="1" applyBorder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56" xfId="0" applyNumberFormat="1" applyFont="1" applyBorder="1"/>
    <xf numFmtId="173" fontId="39" fillId="2" borderId="72" xfId="0" applyNumberFormat="1" applyFont="1" applyFill="1" applyBorder="1" applyAlignment="1"/>
    <xf numFmtId="173" fontId="39" fillId="2" borderId="52" xfId="0" applyNumberFormat="1" applyFont="1" applyFill="1" applyBorder="1" applyAlignment="1"/>
    <xf numFmtId="173" fontId="39" fillId="2" borderId="53" xfId="0" applyNumberFormat="1" applyFont="1" applyFill="1" applyBorder="1" applyAlignment="1"/>
    <xf numFmtId="173" fontId="39" fillId="0" borderId="66" xfId="0" applyNumberFormat="1" applyFont="1" applyBorder="1"/>
    <xf numFmtId="173" fontId="32" fillId="0" borderId="67" xfId="0" applyNumberFormat="1" applyFont="1" applyBorder="1"/>
    <xf numFmtId="173" fontId="32" fillId="0" borderId="68" xfId="0" applyNumberFormat="1" applyFont="1" applyBorder="1"/>
    <xf numFmtId="173" fontId="39" fillId="0" borderId="59" xfId="0" applyNumberFormat="1" applyFont="1" applyBorder="1"/>
    <xf numFmtId="173" fontId="32" fillId="0" borderId="73" xfId="0" applyNumberFormat="1" applyFont="1" applyBorder="1"/>
    <xf numFmtId="173" fontId="32" fillId="0" borderId="53" xfId="0" applyNumberFormat="1" applyFont="1" applyBorder="1"/>
    <xf numFmtId="174" fontId="39" fillId="2" borderId="59" xfId="0" applyNumberFormat="1" applyFont="1" applyFill="1" applyBorder="1" applyAlignment="1"/>
    <xf numFmtId="174" fontId="32" fillId="2" borderId="52" xfId="0" applyNumberFormat="1" applyFont="1" applyFill="1" applyBorder="1" applyAlignment="1"/>
    <xf numFmtId="174" fontId="32" fillId="2" borderId="53" xfId="0" applyNumberFormat="1" applyFont="1" applyFill="1" applyBorder="1" applyAlignment="1"/>
    <xf numFmtId="174" fontId="39" fillId="0" borderId="61" xfId="0" applyNumberFormat="1" applyFont="1" applyBorder="1"/>
    <xf numFmtId="174" fontId="32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9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59" xfId="0" applyNumberFormat="1" applyFont="1" applyFill="1" applyBorder="1" applyAlignment="1">
      <alignment horizontal="center"/>
    </xf>
    <xf numFmtId="175" fontId="39" fillId="0" borderId="66" xfId="0" applyNumberFormat="1" applyFont="1" applyBorder="1"/>
    <xf numFmtId="0" fontId="31" fillId="2" borderId="80" xfId="74" applyFont="1" applyFill="1" applyBorder="1" applyAlignment="1">
      <alignment horizontal="center"/>
    </xf>
    <xf numFmtId="0" fontId="31" fillId="2" borderId="54" xfId="80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" fillId="2" borderId="17" xfId="79" applyFont="1" applyFill="1" applyBorder="1" applyAlignment="1"/>
    <xf numFmtId="0" fontId="3" fillId="2" borderId="25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2" xfId="1" applyFill="1" applyBorder="1" applyAlignment="1">
      <alignment horizontal="left" indent="4"/>
    </xf>
    <xf numFmtId="9" fontId="39" fillId="0" borderId="61" xfId="0" applyNumberFormat="1" applyFont="1" applyBorder="1"/>
    <xf numFmtId="9" fontId="32" fillId="0" borderId="64" xfId="0" applyNumberFormat="1" applyFont="1" applyBorder="1"/>
    <xf numFmtId="9" fontId="32" fillId="0" borderId="63" xfId="0" applyNumberFormat="1" applyFont="1" applyBorder="1"/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7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7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6" fontId="39" fillId="2" borderId="5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2" xfId="0" applyNumberFormat="1" applyFont="1" applyFill="1" applyBorder="1" applyAlignment="1">
      <alignment horizontal="right" vertical="top"/>
    </xf>
    <xf numFmtId="3" fontId="33" fillId="9" borderId="83" xfId="0" applyNumberFormat="1" applyFont="1" applyFill="1" applyBorder="1" applyAlignment="1">
      <alignment horizontal="right" vertical="top"/>
    </xf>
    <xf numFmtId="176" fontId="33" fillId="9" borderId="84" xfId="0" applyNumberFormat="1" applyFont="1" applyFill="1" applyBorder="1" applyAlignment="1">
      <alignment horizontal="right" vertical="top"/>
    </xf>
    <xf numFmtId="3" fontId="33" fillId="0" borderId="82" xfId="0" applyNumberFormat="1" applyFont="1" applyBorder="1" applyAlignment="1">
      <alignment horizontal="right" vertical="top"/>
    </xf>
    <xf numFmtId="176" fontId="33" fillId="9" borderId="85" xfId="0" applyNumberFormat="1" applyFont="1" applyFill="1" applyBorder="1" applyAlignment="1">
      <alignment horizontal="right" vertical="top"/>
    </xf>
    <xf numFmtId="3" fontId="35" fillId="9" borderId="87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176" fontId="35" fillId="9" borderId="89" xfId="0" applyNumberFormat="1" applyFont="1" applyFill="1" applyBorder="1" applyAlignment="1">
      <alignment horizontal="right" vertical="top"/>
    </xf>
    <xf numFmtId="3" fontId="35" fillId="0" borderId="87" xfId="0" applyNumberFormat="1" applyFont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0" fontId="33" fillId="9" borderId="84" xfId="0" applyFont="1" applyFill="1" applyBorder="1" applyAlignment="1">
      <alignment horizontal="right" vertical="top"/>
    </xf>
    <xf numFmtId="0" fontId="35" fillId="9" borderId="89" xfId="0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0" fontId="35" fillId="0" borderId="93" xfId="0" applyFont="1" applyBorder="1" applyAlignment="1">
      <alignment horizontal="right" vertical="top"/>
    </xf>
    <xf numFmtId="176" fontId="35" fillId="9" borderId="94" xfId="0" applyNumberFormat="1" applyFont="1" applyFill="1" applyBorder="1" applyAlignment="1">
      <alignment horizontal="right" vertical="top"/>
    </xf>
    <xf numFmtId="0" fontId="37" fillId="10" borderId="81" xfId="0" applyFont="1" applyFill="1" applyBorder="1" applyAlignment="1">
      <alignment vertical="top"/>
    </xf>
    <xf numFmtId="0" fontId="37" fillId="10" borderId="81" xfId="0" applyFont="1" applyFill="1" applyBorder="1" applyAlignment="1">
      <alignment vertical="top" indent="2"/>
    </xf>
    <xf numFmtId="0" fontId="37" fillId="10" borderId="81" xfId="0" applyFont="1" applyFill="1" applyBorder="1" applyAlignment="1">
      <alignment vertical="top" indent="4"/>
    </xf>
    <xf numFmtId="0" fontId="38" fillId="10" borderId="86" xfId="0" applyFont="1" applyFill="1" applyBorder="1" applyAlignment="1">
      <alignment vertical="top" indent="6"/>
    </xf>
    <xf numFmtId="0" fontId="37" fillId="10" borderId="81" xfId="0" applyFont="1" applyFill="1" applyBorder="1" applyAlignment="1">
      <alignment vertical="top" indent="8"/>
    </xf>
    <xf numFmtId="0" fontId="38" fillId="10" borderId="86" xfId="0" applyFont="1" applyFill="1" applyBorder="1" applyAlignment="1">
      <alignment vertical="top" indent="2"/>
    </xf>
    <xf numFmtId="0" fontId="37" fillId="10" borderId="81" xfId="0" applyFont="1" applyFill="1" applyBorder="1" applyAlignment="1">
      <alignment vertical="top" indent="6"/>
    </xf>
    <xf numFmtId="0" fontId="38" fillId="10" borderId="86" xfId="0" applyFont="1" applyFill="1" applyBorder="1" applyAlignment="1">
      <alignment vertical="top" indent="4"/>
    </xf>
    <xf numFmtId="0" fontId="38" fillId="10" borderId="86" xfId="0" applyFont="1" applyFill="1" applyBorder="1" applyAlignment="1">
      <alignment vertical="top"/>
    </xf>
    <xf numFmtId="0" fontId="32" fillId="10" borderId="81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0" fillId="0" borderId="95" xfId="0" applyBorder="1" applyAlignment="1"/>
    <xf numFmtId="173" fontId="39" fillId="4" borderId="96" xfId="0" applyNumberFormat="1" applyFont="1" applyFill="1" applyBorder="1" applyAlignment="1">
      <alignment horizontal="center"/>
    </xf>
    <xf numFmtId="0" fontId="0" fillId="0" borderId="97" xfId="0" applyBorder="1" applyAlignment="1">
      <alignment horizontal="right"/>
    </xf>
    <xf numFmtId="173" fontId="32" fillId="0" borderId="98" xfId="0" applyNumberFormat="1" applyFont="1" applyBorder="1" applyAlignment="1">
      <alignment horizontal="right"/>
    </xf>
    <xf numFmtId="173" fontId="32" fillId="0" borderId="98" xfId="0" applyNumberFormat="1" applyFont="1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0" fontId="0" fillId="0" borderId="99" xfId="0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0" fontId="39" fillId="2" borderId="77" xfId="0" applyFont="1" applyFill="1" applyBorder="1" applyAlignment="1">
      <alignment horizontal="center" vertical="center"/>
    </xf>
    <xf numFmtId="0" fontId="52" fillId="2" borderId="76" xfId="0" applyFont="1" applyFill="1" applyBorder="1" applyAlignment="1">
      <alignment horizontal="center" vertical="center" wrapText="1"/>
    </xf>
    <xf numFmtId="174" fontId="32" fillId="2" borderId="77" xfId="0" applyNumberFormat="1" applyFont="1" applyFill="1" applyBorder="1" applyAlignment="1"/>
    <xf numFmtId="174" fontId="32" fillId="0" borderId="75" xfId="0" applyNumberFormat="1" applyFont="1" applyBorder="1"/>
    <xf numFmtId="174" fontId="32" fillId="0" borderId="102" xfId="0" applyNumberFormat="1" applyFont="1" applyBorder="1"/>
    <xf numFmtId="173" fontId="39" fillId="4" borderId="77" xfId="0" applyNumberFormat="1" applyFont="1" applyFill="1" applyBorder="1" applyAlignment="1"/>
    <xf numFmtId="173" fontId="32" fillId="0" borderId="75" xfId="0" applyNumberFormat="1" applyFont="1" applyBorder="1"/>
    <xf numFmtId="173" fontId="32" fillId="0" borderId="76" xfId="0" applyNumberFormat="1" applyFont="1" applyBorder="1"/>
    <xf numFmtId="173" fontId="39" fillId="2" borderId="77" xfId="0" applyNumberFormat="1" applyFont="1" applyFill="1" applyBorder="1" applyAlignment="1"/>
    <xf numFmtId="173" fontId="32" fillId="0" borderId="102" xfId="0" applyNumberFormat="1" applyFont="1" applyBorder="1"/>
    <xf numFmtId="173" fontId="32" fillId="0" borderId="77" xfId="0" applyNumberFormat="1" applyFont="1" applyBorder="1"/>
    <xf numFmtId="173" fontId="39" fillId="4" borderId="103" xfId="0" applyNumberFormat="1" applyFont="1" applyFill="1" applyBorder="1" applyAlignment="1">
      <alignment horizontal="center"/>
    </xf>
    <xf numFmtId="173" fontId="32" fillId="0" borderId="104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01" xfId="0" applyBorder="1"/>
    <xf numFmtId="173" fontId="39" fillId="4" borderId="31" xfId="0" applyNumberFormat="1" applyFont="1" applyFill="1" applyBorder="1" applyAlignment="1">
      <alignment horizontal="center"/>
    </xf>
    <xf numFmtId="173" fontId="32" fillId="0" borderId="60" xfId="0" applyNumberFormat="1" applyFont="1" applyBorder="1" applyAlignment="1">
      <alignment horizontal="right"/>
    </xf>
    <xf numFmtId="175" fontId="32" fillId="0" borderId="60" xfId="0" applyNumberFormat="1" applyFont="1" applyBorder="1" applyAlignment="1">
      <alignment horizontal="right"/>
    </xf>
    <xf numFmtId="173" fontId="32" fillId="0" borderId="69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38" t="s">
        <v>53</v>
      </c>
      <c r="B1" s="238"/>
    </row>
    <row r="2" spans="1:3" ht="14.4" customHeight="1" thickBot="1" x14ac:dyDescent="0.35">
      <c r="A2" s="166" t="s">
        <v>145</v>
      </c>
      <c r="B2" s="41"/>
    </row>
    <row r="3" spans="1:3" ht="14.4" customHeight="1" thickBot="1" x14ac:dyDescent="0.35">
      <c r="A3" s="234" t="s">
        <v>64</v>
      </c>
      <c r="B3" s="235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147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6" t="s">
        <v>54</v>
      </c>
      <c r="B9" s="235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7" t="s">
        <v>55</v>
      </c>
      <c r="B13" s="235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38" t="s">
        <v>60</v>
      </c>
      <c r="B1" s="238"/>
      <c r="C1" s="239"/>
      <c r="D1" s="239"/>
      <c r="E1" s="239"/>
    </row>
    <row r="2" spans="1:5" ht="14.4" customHeight="1" thickBot="1" x14ac:dyDescent="0.35">
      <c r="A2" s="166" t="s">
        <v>145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692.82886493447995</v>
      </c>
      <c r="D4" s="120">
        <f ca="1">IF(ISERROR(VLOOKUP("Náklady celkem",INDIRECT("HI!$A:$G"),5,0)),0,VLOOKUP("Náklady celkem",INDIRECT("HI!$A:$G"),5,0))</f>
        <v>689.11818999999991</v>
      </c>
      <c r="E4" s="121">
        <f ca="1">IF(C4=0,0,D4/C4)</f>
        <v>0.99464416810227596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2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29" t="s">
        <v>67</v>
      </c>
      <c r="B8" s="127"/>
      <c r="C8" s="128"/>
      <c r="D8" s="128"/>
      <c r="E8" s="125"/>
    </row>
    <row r="9" spans="1:5" ht="14.4" customHeight="1" x14ac:dyDescent="0.3">
      <c r="A9" s="129" t="s">
        <v>68</v>
      </c>
      <c r="B9" s="127"/>
      <c r="C9" s="128"/>
      <c r="D9" s="128"/>
      <c r="E9" s="125"/>
    </row>
    <row r="10" spans="1:5" ht="14.4" customHeight="1" x14ac:dyDescent="0.3">
      <c r="A10" s="130" t="s">
        <v>72</v>
      </c>
      <c r="B10" s="127"/>
      <c r="C10" s="124"/>
      <c r="D10" s="124"/>
      <c r="E10" s="125"/>
    </row>
    <row r="11" spans="1:5" ht="14.4" customHeight="1" x14ac:dyDescent="0.3">
      <c r="A11" s="1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26.250007235961249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2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624.50017214697255</v>
      </c>
      <c r="D12" s="124">
        <f ca="1">IF(ISERROR(VLOOKUP("Osobní náklady (Kč) *",INDIRECT("HI!$A:$G"),5,0)),0,VLOOKUP("Osobní náklady (Kč) *",INDIRECT("HI!$A:$G"),5,0))</f>
        <v>646.11572000000001</v>
      </c>
      <c r="E12" s="125">
        <f ca="1">IF(C12=0,0,D12/C12)</f>
        <v>1.0346125570769904</v>
      </c>
    </row>
    <row r="13" spans="1:5" ht="14.4" customHeight="1" thickBot="1" x14ac:dyDescent="0.35">
      <c r="A13" s="136"/>
      <c r="B13" s="137"/>
      <c r="C13" s="138"/>
      <c r="D13" s="138"/>
      <c r="E13" s="139"/>
    </row>
    <row r="14" spans="1:5" ht="14.4" customHeight="1" thickBot="1" x14ac:dyDescent="0.35">
      <c r="A14" s="140" t="str">
        <f>HYPERLINK("#HI!A1","VÝNOSY CELKEM (v tisících)")</f>
        <v>VÝNOSY CELKEM (v tisících)</v>
      </c>
      <c r="B14" s="141"/>
      <c r="C14" s="142">
        <f ca="1">IF(ISERROR(VLOOKUP("Výnosy celkem",INDIRECT("HI!$A:$G"),6,0)),0,VLOOKUP("Výnosy celkem",INDIRECT("HI!$A:$G"),6,0))</f>
        <v>0</v>
      </c>
      <c r="D14" s="142">
        <f ca="1">IF(ISERROR(VLOOKUP("Výnosy celkem",INDIRECT("HI!$A:$G"),5,0)),0,VLOOKUP("Výnosy celkem",INDIRECT("HI!$A:$G"),5,0))</f>
        <v>0</v>
      </c>
      <c r="E14" s="143">
        <f t="shared" ref="E14:E15" ca="1" si="1">IF(C14=0,0,D14/C14)</f>
        <v>0</v>
      </c>
    </row>
    <row r="15" spans="1:5" ht="14.4" customHeight="1" x14ac:dyDescent="0.3">
      <c r="A15" s="144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5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6" t="s">
        <v>69</v>
      </c>
      <c r="B17" s="133"/>
      <c r="C17" s="134"/>
      <c r="D17" s="134"/>
      <c r="E17" s="135"/>
    </row>
    <row r="18" spans="1:5" ht="14.4" customHeight="1" thickBot="1" x14ac:dyDescent="0.35">
      <c r="A18" s="147"/>
      <c r="B18" s="148"/>
      <c r="C18" s="149"/>
      <c r="D18" s="149"/>
      <c r="E18" s="150"/>
    </row>
    <row r="19" spans="1:5" ht="14.4" customHeight="1" thickBot="1" x14ac:dyDescent="0.35">
      <c r="A19" s="151" t="s">
        <v>70</v>
      </c>
      <c r="B19" s="152"/>
      <c r="C19" s="153"/>
      <c r="D19" s="153"/>
      <c r="E19" s="154"/>
    </row>
  </sheetData>
  <mergeCells count="1">
    <mergeCell ref="A1:E1"/>
  </mergeCells>
  <conditionalFormatting sqref="E5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3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3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9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38" t="s">
        <v>62</v>
      </c>
      <c r="B1" s="238"/>
      <c r="C1" s="238"/>
      <c r="D1" s="238"/>
      <c r="E1" s="238"/>
      <c r="F1" s="238"/>
      <c r="G1" s="239"/>
      <c r="H1" s="239"/>
    </row>
    <row r="2" spans="1:8" ht="14.4" customHeight="1" thickBot="1" x14ac:dyDescent="0.35">
      <c r="A2" s="166" t="s">
        <v>145</v>
      </c>
      <c r="B2" s="74"/>
      <c r="C2" s="74"/>
      <c r="D2" s="74"/>
      <c r="E2" s="74"/>
      <c r="F2" s="74"/>
    </row>
    <row r="3" spans="1:8" ht="14.4" customHeight="1" x14ac:dyDescent="0.3">
      <c r="A3" s="240"/>
      <c r="B3" s="70">
        <v>2014</v>
      </c>
      <c r="C3" s="40">
        <v>2015</v>
      </c>
      <c r="D3" s="7"/>
      <c r="E3" s="244">
        <v>2016</v>
      </c>
      <c r="F3" s="245"/>
      <c r="G3" s="245"/>
      <c r="H3" s="246"/>
    </row>
    <row r="4" spans="1:8" ht="14.4" customHeight="1" thickBot="1" x14ac:dyDescent="0.35">
      <c r="A4" s="241"/>
      <c r="B4" s="242" t="s">
        <v>45</v>
      </c>
      <c r="C4" s="243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26.250007235961249</v>
      </c>
      <c r="G6" s="82">
        <f>E6-F6</f>
        <v>-26.250007235961249</v>
      </c>
      <c r="H6" s="86">
        <f>IF(F6&lt;0.00000001,"",E6/F6)</f>
        <v>0</v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530.77591000000098</v>
      </c>
      <c r="C7" s="31">
        <v>617.87066000000004</v>
      </c>
      <c r="D7" s="8"/>
      <c r="E7" s="81">
        <v>646.11572000000001</v>
      </c>
      <c r="F7" s="30">
        <v>624.50017214697255</v>
      </c>
      <c r="G7" s="82">
        <f>E7-F7</f>
        <v>21.615547853027465</v>
      </c>
      <c r="H7" s="86">
        <f>IF(F7&lt;0.00000001,"",E7/F7)</f>
        <v>1.0346125570769904</v>
      </c>
    </row>
    <row r="8" spans="1:8" ht="14.4" customHeight="1" thickBot="1" x14ac:dyDescent="0.35">
      <c r="A8" s="1" t="s">
        <v>48</v>
      </c>
      <c r="B8" s="11">
        <v>29.297490000000039</v>
      </c>
      <c r="C8" s="33">
        <v>35.388790000000995</v>
      </c>
      <c r="D8" s="8"/>
      <c r="E8" s="83">
        <v>43.002469999999903</v>
      </c>
      <c r="F8" s="32">
        <v>42.078685551546158</v>
      </c>
      <c r="G8" s="84">
        <f>E8-F8</f>
        <v>0.92378444845374474</v>
      </c>
      <c r="H8" s="87">
        <f>IF(F8&lt;0.00000001,"",E8/F8)</f>
        <v>1.0219537382488366</v>
      </c>
    </row>
    <row r="9" spans="1:8" ht="14.4" customHeight="1" thickBot="1" x14ac:dyDescent="0.35">
      <c r="A9" s="2" t="s">
        <v>49</v>
      </c>
      <c r="B9" s="3">
        <v>560.07340000000102</v>
      </c>
      <c r="C9" s="35">
        <v>653.25945000000104</v>
      </c>
      <c r="D9" s="8"/>
      <c r="E9" s="3">
        <v>689.11818999999991</v>
      </c>
      <c r="F9" s="34">
        <v>692.82886493447995</v>
      </c>
      <c r="G9" s="34">
        <f>E9-F9</f>
        <v>-3.7106749344800392</v>
      </c>
      <c r="H9" s="88">
        <f>IF(F9&lt;0.00000001,"",E9/F9)</f>
        <v>0.99464416810227596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17" t="s">
        <v>104</v>
      </c>
      <c r="B18" s="218"/>
      <c r="C18" s="218"/>
      <c r="D18" s="218"/>
      <c r="E18" s="218"/>
      <c r="F18" s="218"/>
      <c r="G18" s="218"/>
      <c r="H18" s="218"/>
    </row>
    <row r="19" spans="1:8" x14ac:dyDescent="0.3">
      <c r="A19" s="216" t="s">
        <v>103</v>
      </c>
      <c r="B19" s="218"/>
      <c r="C19" s="218"/>
      <c r="D19" s="218"/>
      <c r="E19" s="218"/>
      <c r="F19" s="218"/>
      <c r="G19" s="218"/>
      <c r="H19" s="218"/>
    </row>
    <row r="20" spans="1:8" ht="14.4" customHeight="1" x14ac:dyDescent="0.3">
      <c r="A20" s="77" t="s">
        <v>117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144</v>
      </c>
    </row>
    <row r="23" spans="1:8" ht="14.4" customHeight="1" x14ac:dyDescent="0.3">
      <c r="A23" s="78" t="s">
        <v>75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7" priority="4" operator="greaterThan">
      <formula>0</formula>
    </cfRule>
  </conditionalFormatting>
  <conditionalFormatting sqref="G11:G13 G15">
    <cfRule type="cellIs" dxfId="26" priority="3" operator="lessThan">
      <formula>0</formula>
    </cfRule>
  </conditionalFormatting>
  <conditionalFormatting sqref="H5:H9">
    <cfRule type="cellIs" dxfId="25" priority="2" operator="greaterThan">
      <formula>1</formula>
    </cfRule>
  </conditionalFormatting>
  <conditionalFormatting sqref="H11:H13 H15">
    <cfRule type="cellIs" dxfId="2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5" customFormat="1" ht="18.600000000000001" customHeight="1" thickBot="1" x14ac:dyDescent="0.4">
      <c r="A1" s="247" t="s">
        <v>147</v>
      </c>
      <c r="B1" s="247"/>
      <c r="C1" s="247"/>
      <c r="D1" s="247"/>
      <c r="E1" s="247"/>
      <c r="F1" s="247"/>
      <c r="G1" s="247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s="155" customFormat="1" ht="14.4" customHeight="1" thickBot="1" x14ac:dyDescent="0.3">
      <c r="A2" s="166" t="s">
        <v>145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4.4" customHeight="1" x14ac:dyDescent="0.3">
      <c r="A3" s="57"/>
      <c r="B3" s="248" t="s">
        <v>4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101"/>
      <c r="Q3" s="103"/>
    </row>
    <row r="4" spans="1:17" ht="14.4" customHeight="1" x14ac:dyDescent="0.3">
      <c r="A4" s="58"/>
      <c r="B4" s="20">
        <v>2016</v>
      </c>
      <c r="C4" s="102" t="s">
        <v>5</v>
      </c>
      <c r="D4" s="92" t="s">
        <v>124</v>
      </c>
      <c r="E4" s="92" t="s">
        <v>125</v>
      </c>
      <c r="F4" s="92" t="s">
        <v>126</v>
      </c>
      <c r="G4" s="92" t="s">
        <v>127</v>
      </c>
      <c r="H4" s="92" t="s">
        <v>128</v>
      </c>
      <c r="I4" s="92" t="s">
        <v>129</v>
      </c>
      <c r="J4" s="92" t="s">
        <v>130</v>
      </c>
      <c r="K4" s="92" t="s">
        <v>131</v>
      </c>
      <c r="L4" s="92" t="s">
        <v>132</v>
      </c>
      <c r="M4" s="92" t="s">
        <v>133</v>
      </c>
      <c r="N4" s="92" t="s">
        <v>134</v>
      </c>
      <c r="O4" s="92" t="s">
        <v>135</v>
      </c>
      <c r="P4" s="250" t="s">
        <v>2</v>
      </c>
      <c r="Q4" s="251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146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146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146</v>
      </c>
    </row>
    <row r="9" spans="1:17" ht="14.4" customHeight="1" x14ac:dyDescent="0.3">
      <c r="A9" s="15" t="s">
        <v>12</v>
      </c>
      <c r="B9" s="46">
        <v>105.000028943845</v>
      </c>
      <c r="C9" s="47">
        <v>8.7500024119869995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146</v>
      </c>
    </row>
    <row r="11" spans="1:17" ht="14.4" customHeight="1" x14ac:dyDescent="0.3">
      <c r="A11" s="15" t="s">
        <v>14</v>
      </c>
      <c r="B11" s="46">
        <v>22.140098305576</v>
      </c>
      <c r="C11" s="47">
        <v>1.845008192131</v>
      </c>
      <c r="D11" s="47">
        <v>0</v>
      </c>
      <c r="E11" s="47">
        <v>0.30069000000000001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0.30069000000000001</v>
      </c>
      <c r="Q11" s="67">
        <v>5.4324962039000002E-2</v>
      </c>
    </row>
    <row r="12" spans="1:17" ht="14.4" customHeight="1" x14ac:dyDescent="0.3">
      <c r="A12" s="15" t="s">
        <v>15</v>
      </c>
      <c r="B12" s="46">
        <v>14.401048119521001</v>
      </c>
      <c r="C12" s="47">
        <v>1.2000873432929999</v>
      </c>
      <c r="D12" s="47">
        <v>2.1186199999999999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2.1186199999999999</v>
      </c>
      <c r="Q12" s="67">
        <v>0.58846272366100005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146</v>
      </c>
    </row>
    <row r="14" spans="1:17" ht="14.4" customHeight="1" x14ac:dyDescent="0.3">
      <c r="A14" s="15" t="s">
        <v>17</v>
      </c>
      <c r="B14" s="46">
        <v>23.859383901729</v>
      </c>
      <c r="C14" s="47">
        <v>1.9882819918100001</v>
      </c>
      <c r="D14" s="47">
        <v>3.6120000000000001</v>
      </c>
      <c r="E14" s="47">
        <v>2.6360000000000001</v>
      </c>
      <c r="F14" s="47">
        <v>2.82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9.0679999999999996</v>
      </c>
      <c r="Q14" s="67">
        <v>1.5202404282269999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146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146</v>
      </c>
    </row>
    <row r="17" spans="1:17" ht="14.4" customHeight="1" x14ac:dyDescent="0.3">
      <c r="A17" s="15" t="s">
        <v>20</v>
      </c>
      <c r="B17" s="46">
        <v>19.137485448618001</v>
      </c>
      <c r="C17" s="47">
        <v>1.5947904540510001</v>
      </c>
      <c r="D17" s="47">
        <v>0</v>
      </c>
      <c r="E17" s="47">
        <v>0.73480000000000001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0.73480000000000001</v>
      </c>
      <c r="Q17" s="67">
        <v>0.15358339568099999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0.91</v>
      </c>
      <c r="E18" s="47">
        <v>0</v>
      </c>
      <c r="F18" s="47">
        <v>0.628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1.538</v>
      </c>
      <c r="Q18" s="67" t="s">
        <v>146</v>
      </c>
    </row>
    <row r="19" spans="1:17" ht="14.4" customHeight="1" x14ac:dyDescent="0.3">
      <c r="A19" s="15" t="s">
        <v>22</v>
      </c>
      <c r="B19" s="46">
        <v>6.122351177104</v>
      </c>
      <c r="C19" s="47">
        <v>0.51019593142499997</v>
      </c>
      <c r="D19" s="47">
        <v>0.62192000000000003</v>
      </c>
      <c r="E19" s="47">
        <v>0.68291999999999997</v>
      </c>
      <c r="F19" s="47">
        <v>0.68291999999999997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1.98776</v>
      </c>
      <c r="Q19" s="67">
        <v>1.298690612478</v>
      </c>
    </row>
    <row r="20" spans="1:17" ht="14.4" customHeight="1" x14ac:dyDescent="0.3">
      <c r="A20" s="15" t="s">
        <v>23</v>
      </c>
      <c r="B20" s="46">
        <v>2498.0006885878902</v>
      </c>
      <c r="C20" s="47">
        <v>208.166724048991</v>
      </c>
      <c r="D20" s="47">
        <v>223.70940999999999</v>
      </c>
      <c r="E20" s="47">
        <v>206.60213999999999</v>
      </c>
      <c r="F20" s="47">
        <v>215.80417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646.11572000000001</v>
      </c>
      <c r="Q20" s="67">
        <v>1.0346125570760001</v>
      </c>
    </row>
    <row r="21" spans="1:17" ht="14.4" customHeight="1" x14ac:dyDescent="0.3">
      <c r="A21" s="16" t="s">
        <v>24</v>
      </c>
      <c r="B21" s="46">
        <v>49.000122237176001</v>
      </c>
      <c r="C21" s="47">
        <v>4.083343519764</v>
      </c>
      <c r="D21" s="47">
        <v>3.984</v>
      </c>
      <c r="E21" s="47">
        <v>3.984</v>
      </c>
      <c r="F21" s="47">
        <v>3.9830000000000001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11.951000000000001</v>
      </c>
      <c r="Q21" s="67">
        <v>0.97558940299399999</v>
      </c>
    </row>
    <row r="22" spans="1:17" ht="14.4" customHeight="1" x14ac:dyDescent="0.3">
      <c r="A22" s="15" t="s">
        <v>25</v>
      </c>
      <c r="B22" s="46">
        <v>7.4813581004690004</v>
      </c>
      <c r="C22" s="47">
        <v>0.623446508372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>
        <v>0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146</v>
      </c>
    </row>
    <row r="24" spans="1:17" ht="14.4" customHeight="1" x14ac:dyDescent="0.3">
      <c r="A24" s="16" t="s">
        <v>27</v>
      </c>
      <c r="B24" s="46">
        <v>26.172894915992</v>
      </c>
      <c r="C24" s="47">
        <v>2.1810745763320001</v>
      </c>
      <c r="D24" s="47">
        <v>5.5130999999999997</v>
      </c>
      <c r="E24" s="47">
        <v>8.2268000000000008</v>
      </c>
      <c r="F24" s="47">
        <v>1.563699999999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15.303599999999999</v>
      </c>
      <c r="Q24" s="67">
        <v>2.3388471239599999</v>
      </c>
    </row>
    <row r="25" spans="1:17" ht="14.4" customHeight="1" x14ac:dyDescent="0.3">
      <c r="A25" s="17" t="s">
        <v>28</v>
      </c>
      <c r="B25" s="49">
        <v>2771.3154597379198</v>
      </c>
      <c r="C25" s="50">
        <v>230.94295497816</v>
      </c>
      <c r="D25" s="50">
        <v>240.46905000000001</v>
      </c>
      <c r="E25" s="50">
        <v>223.16735</v>
      </c>
      <c r="F25" s="50">
        <v>225.48178999999999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689.11819000000003</v>
      </c>
      <c r="Q25" s="68">
        <v>0.99464416810199996</v>
      </c>
    </row>
    <row r="26" spans="1:17" ht="14.4" customHeight="1" x14ac:dyDescent="0.3">
      <c r="A26" s="15" t="s">
        <v>29</v>
      </c>
      <c r="B26" s="46">
        <v>0</v>
      </c>
      <c r="C26" s="47">
        <v>0</v>
      </c>
      <c r="D26" s="47">
        <v>2.0402499999999999</v>
      </c>
      <c r="E26" s="47">
        <v>2.7388699999999999</v>
      </c>
      <c r="F26" s="47">
        <v>1.95801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6.7371299999999996</v>
      </c>
      <c r="Q26" s="67" t="s">
        <v>146</v>
      </c>
    </row>
    <row r="27" spans="1:17" ht="14.4" customHeight="1" x14ac:dyDescent="0.3">
      <c r="A27" s="18" t="s">
        <v>30</v>
      </c>
      <c r="B27" s="49">
        <v>2771.3154597379198</v>
      </c>
      <c r="C27" s="50">
        <v>230.94295497816</v>
      </c>
      <c r="D27" s="50">
        <v>242.5093</v>
      </c>
      <c r="E27" s="50">
        <v>225.90621999999999</v>
      </c>
      <c r="F27" s="50">
        <v>227.43979999999999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695.85532000000001</v>
      </c>
      <c r="Q27" s="68">
        <v>1.0043682577590001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12.5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146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10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146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136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7" t="s">
        <v>36</v>
      </c>
      <c r="B1" s="247"/>
      <c r="C1" s="247"/>
      <c r="D1" s="247"/>
      <c r="E1" s="247"/>
      <c r="F1" s="247"/>
      <c r="G1" s="247"/>
      <c r="H1" s="252"/>
      <c r="I1" s="252"/>
      <c r="J1" s="252"/>
      <c r="K1" s="252"/>
    </row>
    <row r="2" spans="1:11" s="55" customFormat="1" ht="14.4" customHeight="1" thickBot="1" x14ac:dyDescent="0.35">
      <c r="A2" s="166" t="s">
        <v>145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48" t="s">
        <v>37</v>
      </c>
      <c r="C3" s="249"/>
      <c r="D3" s="249"/>
      <c r="E3" s="249"/>
      <c r="F3" s="255" t="s">
        <v>38</v>
      </c>
      <c r="G3" s="249"/>
      <c r="H3" s="249"/>
      <c r="I3" s="249"/>
      <c r="J3" s="249"/>
      <c r="K3" s="256"/>
    </row>
    <row r="4" spans="1:11" ht="14.4" customHeight="1" x14ac:dyDescent="0.3">
      <c r="A4" s="58"/>
      <c r="B4" s="253"/>
      <c r="C4" s="254"/>
      <c r="D4" s="254"/>
      <c r="E4" s="254"/>
      <c r="F4" s="257" t="s">
        <v>141</v>
      </c>
      <c r="G4" s="259" t="s">
        <v>39</v>
      </c>
      <c r="H4" s="104" t="s">
        <v>65</v>
      </c>
      <c r="I4" s="257" t="s">
        <v>40</v>
      </c>
      <c r="J4" s="259" t="s">
        <v>118</v>
      </c>
      <c r="K4" s="260" t="s">
        <v>143</v>
      </c>
    </row>
    <row r="5" spans="1:11" ht="42" thickBot="1" x14ac:dyDescent="0.35">
      <c r="A5" s="59"/>
      <c r="B5" s="24" t="s">
        <v>137</v>
      </c>
      <c r="C5" s="25" t="s">
        <v>138</v>
      </c>
      <c r="D5" s="26" t="s">
        <v>139</v>
      </c>
      <c r="E5" s="26" t="s">
        <v>140</v>
      </c>
      <c r="F5" s="258"/>
      <c r="G5" s="258"/>
      <c r="H5" s="25" t="s">
        <v>142</v>
      </c>
      <c r="I5" s="258"/>
      <c r="J5" s="258"/>
      <c r="K5" s="261"/>
    </row>
    <row r="6" spans="1:11" ht="14.4" customHeight="1" thickBot="1" x14ac:dyDescent="0.35">
      <c r="A6" s="291" t="s">
        <v>148</v>
      </c>
      <c r="B6" s="273">
        <v>3483.4139388693202</v>
      </c>
      <c r="C6" s="273">
        <v>2930.002</v>
      </c>
      <c r="D6" s="274">
        <v>-553.41193886932297</v>
      </c>
      <c r="E6" s="275">
        <v>0.84112943549499997</v>
      </c>
      <c r="F6" s="273">
        <v>2771.3154597379198</v>
      </c>
      <c r="G6" s="274">
        <v>692.82886493448098</v>
      </c>
      <c r="H6" s="276">
        <v>225.48178999999999</v>
      </c>
      <c r="I6" s="273">
        <v>689.11819000000003</v>
      </c>
      <c r="J6" s="274">
        <v>-3.7106749344800001</v>
      </c>
      <c r="K6" s="277">
        <v>0.248661042025</v>
      </c>
    </row>
    <row r="7" spans="1:11" ht="14.4" customHeight="1" thickBot="1" x14ac:dyDescent="0.35">
      <c r="A7" s="292" t="s">
        <v>149</v>
      </c>
      <c r="B7" s="273">
        <v>177.052932683877</v>
      </c>
      <c r="C7" s="273">
        <v>147.75882999999999</v>
      </c>
      <c r="D7" s="274">
        <v>-29.294102683876002</v>
      </c>
      <c r="E7" s="275">
        <v>0.83454607478200005</v>
      </c>
      <c r="F7" s="273">
        <v>180.400563405508</v>
      </c>
      <c r="G7" s="274">
        <v>45.100140851376999</v>
      </c>
      <c r="H7" s="276">
        <v>3.9337</v>
      </c>
      <c r="I7" s="273">
        <v>15.010910000000001</v>
      </c>
      <c r="J7" s="274">
        <v>-30.089230851377</v>
      </c>
      <c r="K7" s="277">
        <v>8.3208775607999996E-2</v>
      </c>
    </row>
    <row r="8" spans="1:11" ht="14.4" customHeight="1" thickBot="1" x14ac:dyDescent="0.35">
      <c r="A8" s="293" t="s">
        <v>150</v>
      </c>
      <c r="B8" s="273">
        <v>152.724747390044</v>
      </c>
      <c r="C8" s="273">
        <v>123.77083</v>
      </c>
      <c r="D8" s="274">
        <v>-28.953917390044001</v>
      </c>
      <c r="E8" s="275">
        <v>0.81041764425899998</v>
      </c>
      <c r="F8" s="273">
        <v>156.54117950377801</v>
      </c>
      <c r="G8" s="274">
        <v>39.135294875943998</v>
      </c>
      <c r="H8" s="276">
        <v>1.1136999999999999</v>
      </c>
      <c r="I8" s="273">
        <v>5.9429100000000004</v>
      </c>
      <c r="J8" s="274">
        <v>-33.192384875944001</v>
      </c>
      <c r="K8" s="277">
        <v>3.7963876462000001E-2</v>
      </c>
    </row>
    <row r="9" spans="1:11" ht="14.4" customHeight="1" thickBot="1" x14ac:dyDescent="0.35">
      <c r="A9" s="294" t="s">
        <v>151</v>
      </c>
      <c r="B9" s="278">
        <v>20</v>
      </c>
      <c r="C9" s="278">
        <v>14.615970000000001</v>
      </c>
      <c r="D9" s="279">
        <v>-5.3840300000000001</v>
      </c>
      <c r="E9" s="280">
        <v>0.73079850000000002</v>
      </c>
      <c r="F9" s="278">
        <v>15.000004134835001</v>
      </c>
      <c r="G9" s="279">
        <v>3.7500010337080001</v>
      </c>
      <c r="H9" s="281">
        <v>1.1136999999999999</v>
      </c>
      <c r="I9" s="278">
        <v>3.5236000000000001</v>
      </c>
      <c r="J9" s="279">
        <v>-0.22640103370799999</v>
      </c>
      <c r="K9" s="282">
        <v>0.234906601913</v>
      </c>
    </row>
    <row r="10" spans="1:11" ht="14.4" customHeight="1" thickBot="1" x14ac:dyDescent="0.35">
      <c r="A10" s="295" t="s">
        <v>152</v>
      </c>
      <c r="B10" s="273">
        <v>20</v>
      </c>
      <c r="C10" s="273">
        <v>14.615970000000001</v>
      </c>
      <c r="D10" s="274">
        <v>-5.3840300000000001</v>
      </c>
      <c r="E10" s="275">
        <v>0.73079850000000002</v>
      </c>
      <c r="F10" s="273">
        <v>15.000004134835001</v>
      </c>
      <c r="G10" s="274">
        <v>3.7500010337080001</v>
      </c>
      <c r="H10" s="276">
        <v>1.1136999999999999</v>
      </c>
      <c r="I10" s="273">
        <v>3.5236000000000001</v>
      </c>
      <c r="J10" s="274">
        <v>-0.22640103370799999</v>
      </c>
      <c r="K10" s="277">
        <v>0.234906601913</v>
      </c>
    </row>
    <row r="11" spans="1:11" ht="14.4" customHeight="1" thickBot="1" x14ac:dyDescent="0.35">
      <c r="A11" s="294" t="s">
        <v>153</v>
      </c>
      <c r="B11" s="278">
        <v>104.999996692754</v>
      </c>
      <c r="C11" s="278">
        <v>99.328999999998999</v>
      </c>
      <c r="D11" s="279">
        <v>-5.6709966927539996</v>
      </c>
      <c r="E11" s="280">
        <v>0.94599050598599999</v>
      </c>
      <c r="F11" s="278">
        <v>105.000028943845</v>
      </c>
      <c r="G11" s="279">
        <v>26.250007235961</v>
      </c>
      <c r="H11" s="281">
        <v>0</v>
      </c>
      <c r="I11" s="278">
        <v>0</v>
      </c>
      <c r="J11" s="279">
        <v>-26.250007235961</v>
      </c>
      <c r="K11" s="282">
        <v>0</v>
      </c>
    </row>
    <row r="12" spans="1:11" ht="14.4" customHeight="1" thickBot="1" x14ac:dyDescent="0.35">
      <c r="A12" s="295" t="s">
        <v>154</v>
      </c>
      <c r="B12" s="273">
        <v>104.999996692754</v>
      </c>
      <c r="C12" s="273">
        <v>99.328999999998999</v>
      </c>
      <c r="D12" s="274">
        <v>-5.6709966927539996</v>
      </c>
      <c r="E12" s="275">
        <v>0.94599050598599999</v>
      </c>
      <c r="F12" s="273">
        <v>105.000028943845</v>
      </c>
      <c r="G12" s="274">
        <v>26.250007235961</v>
      </c>
      <c r="H12" s="276">
        <v>0</v>
      </c>
      <c r="I12" s="273">
        <v>0</v>
      </c>
      <c r="J12" s="274">
        <v>-26.250007235961</v>
      </c>
      <c r="K12" s="277">
        <v>0</v>
      </c>
    </row>
    <row r="13" spans="1:11" ht="14.4" customHeight="1" thickBot="1" x14ac:dyDescent="0.35">
      <c r="A13" s="294" t="s">
        <v>155</v>
      </c>
      <c r="B13" s="278">
        <v>17.532565404869999</v>
      </c>
      <c r="C13" s="278">
        <v>5.1610199999999997</v>
      </c>
      <c r="D13" s="279">
        <v>-12.37154540487</v>
      </c>
      <c r="E13" s="280">
        <v>0.29436764562500001</v>
      </c>
      <c r="F13" s="278">
        <v>22.140098305576</v>
      </c>
      <c r="G13" s="279">
        <v>5.535024576394</v>
      </c>
      <c r="H13" s="281">
        <v>0</v>
      </c>
      <c r="I13" s="278">
        <v>0.30069000000000001</v>
      </c>
      <c r="J13" s="279">
        <v>-5.2343345763939997</v>
      </c>
      <c r="K13" s="282">
        <v>1.3581240509E-2</v>
      </c>
    </row>
    <row r="14" spans="1:11" ht="14.4" customHeight="1" thickBot="1" x14ac:dyDescent="0.35">
      <c r="A14" s="295" t="s">
        <v>156</v>
      </c>
      <c r="B14" s="273">
        <v>0</v>
      </c>
      <c r="C14" s="273">
        <v>0</v>
      </c>
      <c r="D14" s="274">
        <v>0</v>
      </c>
      <c r="E14" s="283" t="s">
        <v>146</v>
      </c>
      <c r="F14" s="273">
        <v>2.000000551311</v>
      </c>
      <c r="G14" s="274">
        <v>0.50000013782700004</v>
      </c>
      <c r="H14" s="276">
        <v>0</v>
      </c>
      <c r="I14" s="273">
        <v>0</v>
      </c>
      <c r="J14" s="274">
        <v>-0.50000013782700004</v>
      </c>
      <c r="K14" s="277">
        <v>0</v>
      </c>
    </row>
    <row r="15" spans="1:11" ht="14.4" customHeight="1" thickBot="1" x14ac:dyDescent="0.35">
      <c r="A15" s="295" t="s">
        <v>157</v>
      </c>
      <c r="B15" s="273">
        <v>1.999999937004</v>
      </c>
      <c r="C15" s="273">
        <v>0.61509999999999998</v>
      </c>
      <c r="D15" s="274">
        <v>-1.384899937004</v>
      </c>
      <c r="E15" s="275">
        <v>0.30755000968700003</v>
      </c>
      <c r="F15" s="273">
        <v>8.5879105989669995</v>
      </c>
      <c r="G15" s="274">
        <v>2.1469776497409998</v>
      </c>
      <c r="H15" s="276">
        <v>0</v>
      </c>
      <c r="I15" s="273">
        <v>0.30069000000000001</v>
      </c>
      <c r="J15" s="274">
        <v>-1.8462876497409999</v>
      </c>
      <c r="K15" s="277">
        <v>3.5013173056999997E-2</v>
      </c>
    </row>
    <row r="16" spans="1:11" ht="14.4" customHeight="1" thickBot="1" x14ac:dyDescent="0.35">
      <c r="A16" s="295" t="s">
        <v>158</v>
      </c>
      <c r="B16" s="273">
        <v>2.532565467865</v>
      </c>
      <c r="C16" s="273">
        <v>2.9594999999999998</v>
      </c>
      <c r="D16" s="274">
        <v>0.42693453213400001</v>
      </c>
      <c r="E16" s="275">
        <v>1.1685778857639999</v>
      </c>
      <c r="F16" s="273">
        <v>5.2743909089240004</v>
      </c>
      <c r="G16" s="274">
        <v>1.3185977272310001</v>
      </c>
      <c r="H16" s="276">
        <v>0</v>
      </c>
      <c r="I16" s="273">
        <v>0</v>
      </c>
      <c r="J16" s="274">
        <v>-1.3185977272310001</v>
      </c>
      <c r="K16" s="277">
        <v>0</v>
      </c>
    </row>
    <row r="17" spans="1:11" ht="14.4" customHeight="1" thickBot="1" x14ac:dyDescent="0.35">
      <c r="A17" s="295" t="s">
        <v>159</v>
      </c>
      <c r="B17" s="273">
        <v>13</v>
      </c>
      <c r="C17" s="273">
        <v>1.5864199999999999</v>
      </c>
      <c r="D17" s="274">
        <v>-11.41358</v>
      </c>
      <c r="E17" s="275">
        <v>0.12203230769200001</v>
      </c>
      <c r="F17" s="273">
        <v>6.2777962463719996</v>
      </c>
      <c r="G17" s="274">
        <v>1.5694490615929999</v>
      </c>
      <c r="H17" s="276">
        <v>0</v>
      </c>
      <c r="I17" s="273">
        <v>0</v>
      </c>
      <c r="J17" s="274">
        <v>-1.5694490615929999</v>
      </c>
      <c r="K17" s="277">
        <v>0</v>
      </c>
    </row>
    <row r="18" spans="1:11" ht="14.4" customHeight="1" thickBot="1" x14ac:dyDescent="0.35">
      <c r="A18" s="294" t="s">
        <v>160</v>
      </c>
      <c r="B18" s="278">
        <v>10.192185292417999</v>
      </c>
      <c r="C18" s="278">
        <v>3.7898999999999998</v>
      </c>
      <c r="D18" s="279">
        <v>-6.402285292418</v>
      </c>
      <c r="E18" s="280">
        <v>0.37184371077099998</v>
      </c>
      <c r="F18" s="278">
        <v>14.401048119521001</v>
      </c>
      <c r="G18" s="279">
        <v>3.6002620298800001</v>
      </c>
      <c r="H18" s="281">
        <v>0</v>
      </c>
      <c r="I18" s="278">
        <v>2.1186199999999999</v>
      </c>
      <c r="J18" s="279">
        <v>-1.4816420298799999</v>
      </c>
      <c r="K18" s="282">
        <v>0.14711568091499999</v>
      </c>
    </row>
    <row r="19" spans="1:11" ht="14.4" customHeight="1" thickBot="1" x14ac:dyDescent="0.35">
      <c r="A19" s="295" t="s">
        <v>161</v>
      </c>
      <c r="B19" s="273">
        <v>0</v>
      </c>
      <c r="C19" s="273">
        <v>3.7898999999999998</v>
      </c>
      <c r="D19" s="274">
        <v>3.7898999999999998</v>
      </c>
      <c r="E19" s="283" t="s">
        <v>162</v>
      </c>
      <c r="F19" s="273">
        <v>4.4010453629650002</v>
      </c>
      <c r="G19" s="274">
        <v>1.100261340741</v>
      </c>
      <c r="H19" s="276">
        <v>0</v>
      </c>
      <c r="I19" s="273">
        <v>0</v>
      </c>
      <c r="J19" s="274">
        <v>-1.100261340741</v>
      </c>
      <c r="K19" s="277">
        <v>0</v>
      </c>
    </row>
    <row r="20" spans="1:11" ht="14.4" customHeight="1" thickBot="1" x14ac:dyDescent="0.35">
      <c r="A20" s="295" t="s">
        <v>163</v>
      </c>
      <c r="B20" s="273">
        <v>10.192185292417999</v>
      </c>
      <c r="C20" s="273">
        <v>0</v>
      </c>
      <c r="D20" s="274">
        <v>-10.192185292417999</v>
      </c>
      <c r="E20" s="275">
        <v>0</v>
      </c>
      <c r="F20" s="273">
        <v>10.000002756556</v>
      </c>
      <c r="G20" s="274">
        <v>2.5000006891390001</v>
      </c>
      <c r="H20" s="276">
        <v>0</v>
      </c>
      <c r="I20" s="273">
        <v>2.1186199999999999</v>
      </c>
      <c r="J20" s="274">
        <v>-0.38138068913899997</v>
      </c>
      <c r="K20" s="277">
        <v>0.21186194159899999</v>
      </c>
    </row>
    <row r="21" spans="1:11" ht="14.4" customHeight="1" thickBot="1" x14ac:dyDescent="0.35">
      <c r="A21" s="294" t="s">
        <v>164</v>
      </c>
      <c r="B21" s="278">
        <v>0</v>
      </c>
      <c r="C21" s="278">
        <v>0.57594000000000001</v>
      </c>
      <c r="D21" s="279">
        <v>0.57594000000000001</v>
      </c>
      <c r="E21" s="284" t="s">
        <v>162</v>
      </c>
      <c r="F21" s="278">
        <v>0</v>
      </c>
      <c r="G21" s="279">
        <v>0</v>
      </c>
      <c r="H21" s="281">
        <v>0</v>
      </c>
      <c r="I21" s="278">
        <v>0</v>
      </c>
      <c r="J21" s="279">
        <v>0</v>
      </c>
      <c r="K21" s="282">
        <v>3</v>
      </c>
    </row>
    <row r="22" spans="1:11" ht="14.4" customHeight="1" thickBot="1" x14ac:dyDescent="0.35">
      <c r="A22" s="295" t="s">
        <v>165</v>
      </c>
      <c r="B22" s="273">
        <v>0</v>
      </c>
      <c r="C22" s="273">
        <v>0.57594000000000001</v>
      </c>
      <c r="D22" s="274">
        <v>0.57594000000000001</v>
      </c>
      <c r="E22" s="283" t="s">
        <v>162</v>
      </c>
      <c r="F22" s="273">
        <v>0</v>
      </c>
      <c r="G22" s="274">
        <v>0</v>
      </c>
      <c r="H22" s="276">
        <v>0</v>
      </c>
      <c r="I22" s="273">
        <v>0</v>
      </c>
      <c r="J22" s="274">
        <v>0</v>
      </c>
      <c r="K22" s="277">
        <v>3</v>
      </c>
    </row>
    <row r="23" spans="1:11" ht="14.4" customHeight="1" thickBot="1" x14ac:dyDescent="0.35">
      <c r="A23" s="294" t="s">
        <v>166</v>
      </c>
      <c r="B23" s="278">
        <v>0</v>
      </c>
      <c r="C23" s="278">
        <v>0.29899999999999999</v>
      </c>
      <c r="D23" s="279">
        <v>0.29899999999999999</v>
      </c>
      <c r="E23" s="284" t="s">
        <v>162</v>
      </c>
      <c r="F23" s="278">
        <v>0</v>
      </c>
      <c r="G23" s="279">
        <v>0</v>
      </c>
      <c r="H23" s="281">
        <v>0</v>
      </c>
      <c r="I23" s="278">
        <v>0</v>
      </c>
      <c r="J23" s="279">
        <v>0</v>
      </c>
      <c r="K23" s="285" t="s">
        <v>146</v>
      </c>
    </row>
    <row r="24" spans="1:11" ht="14.4" customHeight="1" thickBot="1" x14ac:dyDescent="0.35">
      <c r="A24" s="295" t="s">
        <v>167</v>
      </c>
      <c r="B24" s="273">
        <v>0</v>
      </c>
      <c r="C24" s="273">
        <v>0.29899999999999999</v>
      </c>
      <c r="D24" s="274">
        <v>0.29899999999999999</v>
      </c>
      <c r="E24" s="283" t="s">
        <v>162</v>
      </c>
      <c r="F24" s="273">
        <v>0</v>
      </c>
      <c r="G24" s="274">
        <v>0</v>
      </c>
      <c r="H24" s="276">
        <v>0</v>
      </c>
      <c r="I24" s="273">
        <v>0</v>
      </c>
      <c r="J24" s="274">
        <v>0</v>
      </c>
      <c r="K24" s="286" t="s">
        <v>146</v>
      </c>
    </row>
    <row r="25" spans="1:11" ht="14.4" customHeight="1" thickBot="1" x14ac:dyDescent="0.35">
      <c r="A25" s="293" t="s">
        <v>17</v>
      </c>
      <c r="B25" s="273">
        <v>24.328185293832</v>
      </c>
      <c r="C25" s="273">
        <v>23.988</v>
      </c>
      <c r="D25" s="274">
        <v>-0.34018529383200002</v>
      </c>
      <c r="E25" s="275">
        <v>0.98601682411799996</v>
      </c>
      <c r="F25" s="273">
        <v>23.859383901729</v>
      </c>
      <c r="G25" s="274">
        <v>5.9648459754319996</v>
      </c>
      <c r="H25" s="276">
        <v>2.82</v>
      </c>
      <c r="I25" s="273">
        <v>9.0679999999999996</v>
      </c>
      <c r="J25" s="274">
        <v>3.103154024567</v>
      </c>
      <c r="K25" s="277">
        <v>0.38006010705600002</v>
      </c>
    </row>
    <row r="26" spans="1:11" ht="14.4" customHeight="1" thickBot="1" x14ac:dyDescent="0.35">
      <c r="A26" s="294" t="s">
        <v>168</v>
      </c>
      <c r="B26" s="278">
        <v>24.328185293832</v>
      </c>
      <c r="C26" s="278">
        <v>23.988</v>
      </c>
      <c r="D26" s="279">
        <v>-0.34018529383200002</v>
      </c>
      <c r="E26" s="280">
        <v>0.98601682411799996</v>
      </c>
      <c r="F26" s="278">
        <v>23.859383901729</v>
      </c>
      <c r="G26" s="279">
        <v>5.9648459754319996</v>
      </c>
      <c r="H26" s="281">
        <v>2.82</v>
      </c>
      <c r="I26" s="278">
        <v>9.0679999999999996</v>
      </c>
      <c r="J26" s="279">
        <v>3.103154024567</v>
      </c>
      <c r="K26" s="282">
        <v>0.38006010705600002</v>
      </c>
    </row>
    <row r="27" spans="1:11" ht="14.4" customHeight="1" thickBot="1" x14ac:dyDescent="0.35">
      <c r="A27" s="295" t="s">
        <v>169</v>
      </c>
      <c r="B27" s="273">
        <v>6.3281858607880004</v>
      </c>
      <c r="C27" s="273">
        <v>5.3570000000000002</v>
      </c>
      <c r="D27" s="274">
        <v>-0.97118586078799995</v>
      </c>
      <c r="E27" s="275">
        <v>0.846530130095</v>
      </c>
      <c r="F27" s="273">
        <v>5.4720149007009997</v>
      </c>
      <c r="G27" s="274">
        <v>1.3680037251749999</v>
      </c>
      <c r="H27" s="276">
        <v>0.49399999999999999</v>
      </c>
      <c r="I27" s="273">
        <v>1.4610000000000001</v>
      </c>
      <c r="J27" s="274">
        <v>9.2996274823999997E-2</v>
      </c>
      <c r="K27" s="277">
        <v>0.26699488698599999</v>
      </c>
    </row>
    <row r="28" spans="1:11" ht="14.4" customHeight="1" thickBot="1" x14ac:dyDescent="0.35">
      <c r="A28" s="295" t="s">
        <v>170</v>
      </c>
      <c r="B28" s="273">
        <v>17.999999433043001</v>
      </c>
      <c r="C28" s="273">
        <v>18.631</v>
      </c>
      <c r="D28" s="274">
        <v>0.63100056695600004</v>
      </c>
      <c r="E28" s="275">
        <v>1.0350555881570001</v>
      </c>
      <c r="F28" s="273">
        <v>18.387369001027</v>
      </c>
      <c r="G28" s="274">
        <v>4.5968422502559996</v>
      </c>
      <c r="H28" s="276">
        <v>2.3260000000000001</v>
      </c>
      <c r="I28" s="273">
        <v>7.6070000000000002</v>
      </c>
      <c r="J28" s="274">
        <v>3.0101577497430001</v>
      </c>
      <c r="K28" s="277">
        <v>0.41370791001000001</v>
      </c>
    </row>
    <row r="29" spans="1:11" ht="14.4" customHeight="1" thickBot="1" x14ac:dyDescent="0.35">
      <c r="A29" s="296" t="s">
        <v>171</v>
      </c>
      <c r="B29" s="278">
        <v>30.899808146449001</v>
      </c>
      <c r="C29" s="278">
        <v>43.114339999999999</v>
      </c>
      <c r="D29" s="279">
        <v>12.21453185355</v>
      </c>
      <c r="E29" s="280">
        <v>1.3952947473220001</v>
      </c>
      <c r="F29" s="278">
        <v>25.259836625723</v>
      </c>
      <c r="G29" s="279">
        <v>6.3149591564299996</v>
      </c>
      <c r="H29" s="281">
        <v>1.3109200000000001</v>
      </c>
      <c r="I29" s="278">
        <v>4.2605599999999999</v>
      </c>
      <c r="J29" s="279">
        <v>-2.0543991564300002</v>
      </c>
      <c r="K29" s="282">
        <v>0.16866934110099999</v>
      </c>
    </row>
    <row r="30" spans="1:11" ht="14.4" customHeight="1" thickBot="1" x14ac:dyDescent="0.35">
      <c r="A30" s="293" t="s">
        <v>20</v>
      </c>
      <c r="B30" s="273">
        <v>20</v>
      </c>
      <c r="C30" s="273">
        <v>29.67942</v>
      </c>
      <c r="D30" s="274">
        <v>9.6794200000000004</v>
      </c>
      <c r="E30" s="275">
        <v>1.4839709999999999</v>
      </c>
      <c r="F30" s="273">
        <v>19.137485448618001</v>
      </c>
      <c r="G30" s="274">
        <v>4.7843713621540003</v>
      </c>
      <c r="H30" s="276">
        <v>0</v>
      </c>
      <c r="I30" s="273">
        <v>0.73480000000000001</v>
      </c>
      <c r="J30" s="274">
        <v>-4.0495713621540004</v>
      </c>
      <c r="K30" s="277">
        <v>3.8395848920000003E-2</v>
      </c>
    </row>
    <row r="31" spans="1:11" ht="14.4" customHeight="1" thickBot="1" x14ac:dyDescent="0.35">
      <c r="A31" s="297" t="s">
        <v>172</v>
      </c>
      <c r="B31" s="273">
        <v>20</v>
      </c>
      <c r="C31" s="273">
        <v>29.67942</v>
      </c>
      <c r="D31" s="274">
        <v>9.6794200000000004</v>
      </c>
      <c r="E31" s="275">
        <v>1.4839709999999999</v>
      </c>
      <c r="F31" s="273">
        <v>19.137485448618001</v>
      </c>
      <c r="G31" s="274">
        <v>4.7843713621540003</v>
      </c>
      <c r="H31" s="276">
        <v>0</v>
      </c>
      <c r="I31" s="273">
        <v>0.73480000000000001</v>
      </c>
      <c r="J31" s="274">
        <v>-4.0495713621540004</v>
      </c>
      <c r="K31" s="277">
        <v>3.8395848920000003E-2</v>
      </c>
    </row>
    <row r="32" spans="1:11" ht="14.4" customHeight="1" thickBot="1" x14ac:dyDescent="0.35">
      <c r="A32" s="295" t="s">
        <v>173</v>
      </c>
      <c r="B32" s="273">
        <v>0</v>
      </c>
      <c r="C32" s="273">
        <v>1.7763568394002501E-15</v>
      </c>
      <c r="D32" s="274">
        <v>1.7763568394002501E-15</v>
      </c>
      <c r="E32" s="283" t="s">
        <v>162</v>
      </c>
      <c r="F32" s="273">
        <v>-4.4129998311919998</v>
      </c>
      <c r="G32" s="274">
        <v>-1.1032499577979999</v>
      </c>
      <c r="H32" s="276">
        <v>0</v>
      </c>
      <c r="I32" s="273">
        <v>0</v>
      </c>
      <c r="J32" s="274">
        <v>1.1032499577979999</v>
      </c>
      <c r="K32" s="277">
        <v>0</v>
      </c>
    </row>
    <row r="33" spans="1:11" ht="14.4" customHeight="1" thickBot="1" x14ac:dyDescent="0.35">
      <c r="A33" s="295" t="s">
        <v>174</v>
      </c>
      <c r="B33" s="273">
        <v>0</v>
      </c>
      <c r="C33" s="273">
        <v>2.4695200000000002</v>
      </c>
      <c r="D33" s="274">
        <v>2.4695200000000002</v>
      </c>
      <c r="E33" s="283" t="s">
        <v>162</v>
      </c>
      <c r="F33" s="273">
        <v>3.5504797666979999</v>
      </c>
      <c r="G33" s="274">
        <v>0.88761994167400005</v>
      </c>
      <c r="H33" s="276">
        <v>0</v>
      </c>
      <c r="I33" s="273">
        <v>0.73480000000000001</v>
      </c>
      <c r="J33" s="274">
        <v>-0.15281994167400001</v>
      </c>
      <c r="K33" s="277">
        <v>0.20695794604699999</v>
      </c>
    </row>
    <row r="34" spans="1:11" ht="14.4" customHeight="1" thickBot="1" x14ac:dyDescent="0.35">
      <c r="A34" s="295" t="s">
        <v>175</v>
      </c>
      <c r="B34" s="273">
        <v>20</v>
      </c>
      <c r="C34" s="273">
        <v>27.209900000000001</v>
      </c>
      <c r="D34" s="274">
        <v>7.2099000000000002</v>
      </c>
      <c r="E34" s="275">
        <v>1.360495</v>
      </c>
      <c r="F34" s="273">
        <v>20.000005513112999</v>
      </c>
      <c r="G34" s="274">
        <v>5.0000013782780002</v>
      </c>
      <c r="H34" s="276">
        <v>0</v>
      </c>
      <c r="I34" s="273">
        <v>0</v>
      </c>
      <c r="J34" s="274">
        <v>-5.0000013782780002</v>
      </c>
      <c r="K34" s="277">
        <v>0</v>
      </c>
    </row>
    <row r="35" spans="1:11" ht="14.4" customHeight="1" thickBot="1" x14ac:dyDescent="0.35">
      <c r="A35" s="298" t="s">
        <v>21</v>
      </c>
      <c r="B35" s="278">
        <v>0</v>
      </c>
      <c r="C35" s="278">
        <v>7.5</v>
      </c>
      <c r="D35" s="279">
        <v>7.5</v>
      </c>
      <c r="E35" s="284" t="s">
        <v>146</v>
      </c>
      <c r="F35" s="278">
        <v>0</v>
      </c>
      <c r="G35" s="279">
        <v>0</v>
      </c>
      <c r="H35" s="281">
        <v>0.628</v>
      </c>
      <c r="I35" s="278">
        <v>1.538</v>
      </c>
      <c r="J35" s="279">
        <v>1.538</v>
      </c>
      <c r="K35" s="285" t="s">
        <v>146</v>
      </c>
    </row>
    <row r="36" spans="1:11" ht="14.4" customHeight="1" thickBot="1" x14ac:dyDescent="0.35">
      <c r="A36" s="294" t="s">
        <v>176</v>
      </c>
      <c r="B36" s="278">
        <v>0</v>
      </c>
      <c r="C36" s="278">
        <v>7.5</v>
      </c>
      <c r="D36" s="279">
        <v>7.5</v>
      </c>
      <c r="E36" s="284" t="s">
        <v>146</v>
      </c>
      <c r="F36" s="278">
        <v>0</v>
      </c>
      <c r="G36" s="279">
        <v>0</v>
      </c>
      <c r="H36" s="281">
        <v>0.628</v>
      </c>
      <c r="I36" s="278">
        <v>1.538</v>
      </c>
      <c r="J36" s="279">
        <v>1.538</v>
      </c>
      <c r="K36" s="285" t="s">
        <v>146</v>
      </c>
    </row>
    <row r="37" spans="1:11" ht="14.4" customHeight="1" thickBot="1" x14ac:dyDescent="0.35">
      <c r="A37" s="295" t="s">
        <v>177</v>
      </c>
      <c r="B37" s="273">
        <v>0</v>
      </c>
      <c r="C37" s="273">
        <v>7.5</v>
      </c>
      <c r="D37" s="274">
        <v>7.5</v>
      </c>
      <c r="E37" s="283" t="s">
        <v>146</v>
      </c>
      <c r="F37" s="273">
        <v>0</v>
      </c>
      <c r="G37" s="274">
        <v>0</v>
      </c>
      <c r="H37" s="276">
        <v>0.628</v>
      </c>
      <c r="I37" s="273">
        <v>1.538</v>
      </c>
      <c r="J37" s="274">
        <v>1.538</v>
      </c>
      <c r="K37" s="286" t="s">
        <v>146</v>
      </c>
    </row>
    <row r="38" spans="1:11" ht="14.4" customHeight="1" thickBot="1" x14ac:dyDescent="0.35">
      <c r="A38" s="293" t="s">
        <v>22</v>
      </c>
      <c r="B38" s="273">
        <v>10.899808146449001</v>
      </c>
      <c r="C38" s="273">
        <v>5.93492</v>
      </c>
      <c r="D38" s="274">
        <v>-4.9648881464489998</v>
      </c>
      <c r="E38" s="275">
        <v>0.54449765722999999</v>
      </c>
      <c r="F38" s="273">
        <v>6.122351177104</v>
      </c>
      <c r="G38" s="274">
        <v>1.530587794276</v>
      </c>
      <c r="H38" s="276">
        <v>0.68291999999999997</v>
      </c>
      <c r="I38" s="273">
        <v>1.98776</v>
      </c>
      <c r="J38" s="274">
        <v>0.45717220572299999</v>
      </c>
      <c r="K38" s="277">
        <v>0.32467265311900001</v>
      </c>
    </row>
    <row r="39" spans="1:11" ht="14.4" customHeight="1" thickBot="1" x14ac:dyDescent="0.35">
      <c r="A39" s="294" t="s">
        <v>178</v>
      </c>
      <c r="B39" s="278">
        <v>3.5118875280970001</v>
      </c>
      <c r="C39" s="278">
        <v>1.92811</v>
      </c>
      <c r="D39" s="279">
        <v>-1.5837775280969999</v>
      </c>
      <c r="E39" s="280">
        <v>0.54902384674100002</v>
      </c>
      <c r="F39" s="278">
        <v>2.1204523687110002</v>
      </c>
      <c r="G39" s="279">
        <v>0.53011309217699998</v>
      </c>
      <c r="H39" s="281">
        <v>0.13328999999999999</v>
      </c>
      <c r="I39" s="278">
        <v>0.33887</v>
      </c>
      <c r="J39" s="279">
        <v>-0.191243092177</v>
      </c>
      <c r="K39" s="282">
        <v>0.15981023907899999</v>
      </c>
    </row>
    <row r="40" spans="1:11" ht="14.4" customHeight="1" thickBot="1" x14ac:dyDescent="0.35">
      <c r="A40" s="295" t="s">
        <v>179</v>
      </c>
      <c r="B40" s="273">
        <v>7.2010478259000005E-2</v>
      </c>
      <c r="C40" s="273">
        <v>0</v>
      </c>
      <c r="D40" s="274">
        <v>-7.2010478259000005E-2</v>
      </c>
      <c r="E40" s="275">
        <v>0</v>
      </c>
      <c r="F40" s="273">
        <v>0</v>
      </c>
      <c r="G40" s="274">
        <v>0</v>
      </c>
      <c r="H40" s="276">
        <v>0</v>
      </c>
      <c r="I40" s="273">
        <v>0</v>
      </c>
      <c r="J40" s="274">
        <v>0</v>
      </c>
      <c r="K40" s="277">
        <v>3</v>
      </c>
    </row>
    <row r="41" spans="1:11" ht="14.4" customHeight="1" thickBot="1" x14ac:dyDescent="0.35">
      <c r="A41" s="295" t="s">
        <v>180</v>
      </c>
      <c r="B41" s="273">
        <v>3.439877049838</v>
      </c>
      <c r="C41" s="273">
        <v>1.92811</v>
      </c>
      <c r="D41" s="274">
        <v>-1.511767049838</v>
      </c>
      <c r="E41" s="275">
        <v>0.56051712664800002</v>
      </c>
      <c r="F41" s="273">
        <v>2.1204523687110002</v>
      </c>
      <c r="G41" s="274">
        <v>0.53011309217699998</v>
      </c>
      <c r="H41" s="276">
        <v>0.13328999999999999</v>
      </c>
      <c r="I41" s="273">
        <v>0.33887</v>
      </c>
      <c r="J41" s="274">
        <v>-0.191243092177</v>
      </c>
      <c r="K41" s="277">
        <v>0.15981023907899999</v>
      </c>
    </row>
    <row r="42" spans="1:11" ht="14.4" customHeight="1" thickBot="1" x14ac:dyDescent="0.35">
      <c r="A42" s="294" t="s">
        <v>181</v>
      </c>
      <c r="B42" s="278">
        <v>0.139834418648</v>
      </c>
      <c r="C42" s="278">
        <v>0</v>
      </c>
      <c r="D42" s="279">
        <v>-0.139834418648</v>
      </c>
      <c r="E42" s="280">
        <v>0</v>
      </c>
      <c r="F42" s="278">
        <v>0</v>
      </c>
      <c r="G42" s="279">
        <v>0</v>
      </c>
      <c r="H42" s="281">
        <v>0</v>
      </c>
      <c r="I42" s="278">
        <v>0</v>
      </c>
      <c r="J42" s="279">
        <v>0</v>
      </c>
      <c r="K42" s="282">
        <v>3</v>
      </c>
    </row>
    <row r="43" spans="1:11" ht="14.4" customHeight="1" thickBot="1" x14ac:dyDescent="0.35">
      <c r="A43" s="295" t="s">
        <v>182</v>
      </c>
      <c r="B43" s="273">
        <v>0.139834418648</v>
      </c>
      <c r="C43" s="273">
        <v>0</v>
      </c>
      <c r="D43" s="274">
        <v>-0.139834418648</v>
      </c>
      <c r="E43" s="275">
        <v>0</v>
      </c>
      <c r="F43" s="273">
        <v>0</v>
      </c>
      <c r="G43" s="274">
        <v>0</v>
      </c>
      <c r="H43" s="276">
        <v>0</v>
      </c>
      <c r="I43" s="273">
        <v>0</v>
      </c>
      <c r="J43" s="274">
        <v>0</v>
      </c>
      <c r="K43" s="277">
        <v>3</v>
      </c>
    </row>
    <row r="44" spans="1:11" ht="14.4" customHeight="1" thickBot="1" x14ac:dyDescent="0.35">
      <c r="A44" s="294" t="s">
        <v>183</v>
      </c>
      <c r="B44" s="278">
        <v>6.2480861997029997</v>
      </c>
      <c r="C44" s="278">
        <v>3.9089999999999998</v>
      </c>
      <c r="D44" s="279">
        <v>-2.3390861997029999</v>
      </c>
      <c r="E44" s="280">
        <v>0.62563157342200004</v>
      </c>
      <c r="F44" s="278">
        <v>4.0018988083920002</v>
      </c>
      <c r="G44" s="279">
        <v>1.000474702098</v>
      </c>
      <c r="H44" s="281">
        <v>0.33304</v>
      </c>
      <c r="I44" s="278">
        <v>0.99912000000000001</v>
      </c>
      <c r="J44" s="279">
        <v>-1.354702098E-3</v>
      </c>
      <c r="K44" s="282">
        <v>0.249661485169</v>
      </c>
    </row>
    <row r="45" spans="1:11" ht="14.4" customHeight="1" thickBot="1" x14ac:dyDescent="0.35">
      <c r="A45" s="295" t="s">
        <v>184</v>
      </c>
      <c r="B45" s="273">
        <v>5.9016605070079997</v>
      </c>
      <c r="C45" s="273">
        <v>3.9089999999999998</v>
      </c>
      <c r="D45" s="274">
        <v>-1.9926605070079999</v>
      </c>
      <c r="E45" s="275">
        <v>0.66235595818399995</v>
      </c>
      <c r="F45" s="273">
        <v>4.0018988083920002</v>
      </c>
      <c r="G45" s="274">
        <v>1.000474702098</v>
      </c>
      <c r="H45" s="276">
        <v>0.33304</v>
      </c>
      <c r="I45" s="273">
        <v>0.99912000000000001</v>
      </c>
      <c r="J45" s="274">
        <v>-1.354702098E-3</v>
      </c>
      <c r="K45" s="277">
        <v>0.249661485169</v>
      </c>
    </row>
    <row r="46" spans="1:11" ht="14.4" customHeight="1" thickBot="1" x14ac:dyDescent="0.35">
      <c r="A46" s="295" t="s">
        <v>185</v>
      </c>
      <c r="B46" s="273">
        <v>0.34642569269399998</v>
      </c>
      <c r="C46" s="273">
        <v>0</v>
      </c>
      <c r="D46" s="274">
        <v>-0.34642569269399998</v>
      </c>
      <c r="E46" s="275">
        <v>0</v>
      </c>
      <c r="F46" s="273">
        <v>0</v>
      </c>
      <c r="G46" s="274">
        <v>0</v>
      </c>
      <c r="H46" s="276">
        <v>0</v>
      </c>
      <c r="I46" s="273">
        <v>0</v>
      </c>
      <c r="J46" s="274">
        <v>0</v>
      </c>
      <c r="K46" s="277">
        <v>3</v>
      </c>
    </row>
    <row r="47" spans="1:11" ht="14.4" customHeight="1" thickBot="1" x14ac:dyDescent="0.35">
      <c r="A47" s="294" t="s">
        <v>186</v>
      </c>
      <c r="B47" s="278">
        <v>1</v>
      </c>
      <c r="C47" s="278">
        <v>9.7809999999999994E-2</v>
      </c>
      <c r="D47" s="279">
        <v>-0.90219000000000005</v>
      </c>
      <c r="E47" s="280">
        <v>9.7809999999999994E-2</v>
      </c>
      <c r="F47" s="278">
        <v>0</v>
      </c>
      <c r="G47" s="279">
        <v>0</v>
      </c>
      <c r="H47" s="281">
        <v>0.21659</v>
      </c>
      <c r="I47" s="278">
        <v>0.64976999999999996</v>
      </c>
      <c r="J47" s="279">
        <v>0.64976999999999996</v>
      </c>
      <c r="K47" s="285" t="s">
        <v>162</v>
      </c>
    </row>
    <row r="48" spans="1:11" ht="14.4" customHeight="1" thickBot="1" x14ac:dyDescent="0.35">
      <c r="A48" s="295" t="s">
        <v>187</v>
      </c>
      <c r="B48" s="273">
        <v>1</v>
      </c>
      <c r="C48" s="273">
        <v>9.7809999999999994E-2</v>
      </c>
      <c r="D48" s="274">
        <v>-0.90219000000000005</v>
      </c>
      <c r="E48" s="275">
        <v>9.7809999999999994E-2</v>
      </c>
      <c r="F48" s="273">
        <v>0</v>
      </c>
      <c r="G48" s="274">
        <v>0</v>
      </c>
      <c r="H48" s="276">
        <v>0.21659</v>
      </c>
      <c r="I48" s="273">
        <v>0.64976999999999996</v>
      </c>
      <c r="J48" s="274">
        <v>0.64976999999999996</v>
      </c>
      <c r="K48" s="286" t="s">
        <v>162</v>
      </c>
    </row>
    <row r="49" spans="1:11" ht="14.4" customHeight="1" thickBot="1" x14ac:dyDescent="0.35">
      <c r="A49" s="292" t="s">
        <v>23</v>
      </c>
      <c r="B49" s="273">
        <v>3214.9998987352901</v>
      </c>
      <c r="C49" s="273">
        <v>2601.1542300000001</v>
      </c>
      <c r="D49" s="274">
        <v>-613.84566873529297</v>
      </c>
      <c r="E49" s="275">
        <v>0.80906821521899996</v>
      </c>
      <c r="F49" s="273">
        <v>2498.0006885878902</v>
      </c>
      <c r="G49" s="274">
        <v>624.50017214697198</v>
      </c>
      <c r="H49" s="276">
        <v>215.80417</v>
      </c>
      <c r="I49" s="273">
        <v>646.11572000000001</v>
      </c>
      <c r="J49" s="274">
        <v>21.615547853027</v>
      </c>
      <c r="K49" s="277">
        <v>0.25865313926900002</v>
      </c>
    </row>
    <row r="50" spans="1:11" ht="14.4" customHeight="1" thickBot="1" x14ac:dyDescent="0.35">
      <c r="A50" s="298" t="s">
        <v>188</v>
      </c>
      <c r="B50" s="278">
        <v>2549.99991968118</v>
      </c>
      <c r="C50" s="278">
        <v>1937.7750000000001</v>
      </c>
      <c r="D50" s="279">
        <v>-612.22491968118004</v>
      </c>
      <c r="E50" s="280">
        <v>0.75991178864099995</v>
      </c>
      <c r="F50" s="278">
        <v>1954.0005386312</v>
      </c>
      <c r="G50" s="279">
        <v>488.5001346578</v>
      </c>
      <c r="H50" s="281">
        <v>159.84299999999999</v>
      </c>
      <c r="I50" s="278">
        <v>478.45299999999997</v>
      </c>
      <c r="J50" s="279">
        <v>-10.047134657799001</v>
      </c>
      <c r="K50" s="282">
        <v>0.244858172012</v>
      </c>
    </row>
    <row r="51" spans="1:11" ht="14.4" customHeight="1" thickBot="1" x14ac:dyDescent="0.35">
      <c r="A51" s="294" t="s">
        <v>189</v>
      </c>
      <c r="B51" s="278">
        <v>1899.9999401546099</v>
      </c>
      <c r="C51" s="278">
        <v>1519.37</v>
      </c>
      <c r="D51" s="279">
        <v>-380.62994015460498</v>
      </c>
      <c r="E51" s="280">
        <v>0.79966844624</v>
      </c>
      <c r="F51" s="278">
        <v>1530.00042175319</v>
      </c>
      <c r="G51" s="279">
        <v>382.50010543829802</v>
      </c>
      <c r="H51" s="281">
        <v>129.29300000000001</v>
      </c>
      <c r="I51" s="278">
        <v>376.04</v>
      </c>
      <c r="J51" s="279">
        <v>-6.460105438297</v>
      </c>
      <c r="K51" s="282">
        <v>0.245777710027</v>
      </c>
    </row>
    <row r="52" spans="1:11" ht="14.4" customHeight="1" thickBot="1" x14ac:dyDescent="0.35">
      <c r="A52" s="295" t="s">
        <v>190</v>
      </c>
      <c r="B52" s="273">
        <v>1899.9999401546099</v>
      </c>
      <c r="C52" s="273">
        <v>1519.37</v>
      </c>
      <c r="D52" s="274">
        <v>-380.62994015460498</v>
      </c>
      <c r="E52" s="275">
        <v>0.79966844624</v>
      </c>
      <c r="F52" s="273">
        <v>1530.00042175319</v>
      </c>
      <c r="G52" s="274">
        <v>382.50010543829802</v>
      </c>
      <c r="H52" s="276">
        <v>129.29300000000001</v>
      </c>
      <c r="I52" s="273">
        <v>376.04</v>
      </c>
      <c r="J52" s="274">
        <v>-6.460105438297</v>
      </c>
      <c r="K52" s="277">
        <v>0.245777710027</v>
      </c>
    </row>
    <row r="53" spans="1:11" ht="14.4" customHeight="1" thickBot="1" x14ac:dyDescent="0.35">
      <c r="A53" s="294" t="s">
        <v>191</v>
      </c>
      <c r="B53" s="278">
        <v>643.99997971556104</v>
      </c>
      <c r="C53" s="278">
        <v>418.40499999999997</v>
      </c>
      <c r="D53" s="279">
        <v>-225.59497971556101</v>
      </c>
      <c r="E53" s="280">
        <v>0.64969722543200004</v>
      </c>
      <c r="F53" s="278">
        <v>420.00011577538601</v>
      </c>
      <c r="G53" s="279">
        <v>105.000028943846</v>
      </c>
      <c r="H53" s="281">
        <v>30.55</v>
      </c>
      <c r="I53" s="278">
        <v>102.413</v>
      </c>
      <c r="J53" s="279">
        <v>-2.5870289438460001</v>
      </c>
      <c r="K53" s="282">
        <v>0.243840408974</v>
      </c>
    </row>
    <row r="54" spans="1:11" ht="14.4" customHeight="1" thickBot="1" x14ac:dyDescent="0.35">
      <c r="A54" s="295" t="s">
        <v>192</v>
      </c>
      <c r="B54" s="273">
        <v>643.99997971556104</v>
      </c>
      <c r="C54" s="273">
        <v>418.40499999999997</v>
      </c>
      <c r="D54" s="274">
        <v>-225.59497971556101</v>
      </c>
      <c r="E54" s="275">
        <v>0.64969722543200004</v>
      </c>
      <c r="F54" s="273">
        <v>420.00011577538601</v>
      </c>
      <c r="G54" s="274">
        <v>105.000028943846</v>
      </c>
      <c r="H54" s="276">
        <v>30.55</v>
      </c>
      <c r="I54" s="273">
        <v>102.413</v>
      </c>
      <c r="J54" s="274">
        <v>-2.5870289438460001</v>
      </c>
      <c r="K54" s="277">
        <v>0.243840408974</v>
      </c>
    </row>
    <row r="55" spans="1:11" ht="14.4" customHeight="1" thickBot="1" x14ac:dyDescent="0.35">
      <c r="A55" s="294" t="s">
        <v>193</v>
      </c>
      <c r="B55" s="278">
        <v>5.9999998110139998</v>
      </c>
      <c r="C55" s="278">
        <v>0</v>
      </c>
      <c r="D55" s="279">
        <v>-5.9999998110139998</v>
      </c>
      <c r="E55" s="280">
        <v>0</v>
      </c>
      <c r="F55" s="278">
        <v>4.0000011026219999</v>
      </c>
      <c r="G55" s="279">
        <v>1.0000002756549999</v>
      </c>
      <c r="H55" s="281">
        <v>0</v>
      </c>
      <c r="I55" s="278">
        <v>0</v>
      </c>
      <c r="J55" s="279">
        <v>-1.0000002756549999</v>
      </c>
      <c r="K55" s="282">
        <v>0</v>
      </c>
    </row>
    <row r="56" spans="1:11" ht="14.4" customHeight="1" thickBot="1" x14ac:dyDescent="0.35">
      <c r="A56" s="295" t="s">
        <v>194</v>
      </c>
      <c r="B56" s="273">
        <v>5.9999998110139998</v>
      </c>
      <c r="C56" s="273">
        <v>0</v>
      </c>
      <c r="D56" s="274">
        <v>-5.9999998110139998</v>
      </c>
      <c r="E56" s="275">
        <v>0</v>
      </c>
      <c r="F56" s="273">
        <v>4.0000011026219999</v>
      </c>
      <c r="G56" s="274">
        <v>1.0000002756549999</v>
      </c>
      <c r="H56" s="276">
        <v>0</v>
      </c>
      <c r="I56" s="273">
        <v>0</v>
      </c>
      <c r="J56" s="274">
        <v>-1.0000002756549999</v>
      </c>
      <c r="K56" s="277">
        <v>0</v>
      </c>
    </row>
    <row r="57" spans="1:11" ht="14.4" customHeight="1" thickBot="1" x14ac:dyDescent="0.35">
      <c r="A57" s="293" t="s">
        <v>195</v>
      </c>
      <c r="B57" s="273">
        <v>645.99997965256603</v>
      </c>
      <c r="C57" s="273">
        <v>648.18326999999999</v>
      </c>
      <c r="D57" s="274">
        <v>2.1832903474340002</v>
      </c>
      <c r="E57" s="275">
        <v>1.0033797065259999</v>
      </c>
      <c r="F57" s="273">
        <v>521.00014361660897</v>
      </c>
      <c r="G57" s="274">
        <v>130.25003590415201</v>
      </c>
      <c r="H57" s="276">
        <v>54.022750000000002</v>
      </c>
      <c r="I57" s="273">
        <v>162.02345</v>
      </c>
      <c r="J57" s="274">
        <v>31.773414095846999</v>
      </c>
      <c r="K57" s="277">
        <v>0.31098542291199999</v>
      </c>
    </row>
    <row r="58" spans="1:11" ht="14.4" customHeight="1" thickBot="1" x14ac:dyDescent="0.35">
      <c r="A58" s="294" t="s">
        <v>196</v>
      </c>
      <c r="B58" s="278">
        <v>170.999994613914</v>
      </c>
      <c r="C58" s="278">
        <v>173.00676999999999</v>
      </c>
      <c r="D58" s="279">
        <v>2.0067753860850002</v>
      </c>
      <c r="E58" s="280">
        <v>1.0117355289429999</v>
      </c>
      <c r="F58" s="278">
        <v>138.00003804048399</v>
      </c>
      <c r="G58" s="279">
        <v>34.500009510120996</v>
      </c>
      <c r="H58" s="281">
        <v>14.061999999999999</v>
      </c>
      <c r="I58" s="278">
        <v>42.410200000000003</v>
      </c>
      <c r="J58" s="279">
        <v>7.9101904898789996</v>
      </c>
      <c r="K58" s="282">
        <v>0.30732020514000002</v>
      </c>
    </row>
    <row r="59" spans="1:11" ht="14.4" customHeight="1" thickBot="1" x14ac:dyDescent="0.35">
      <c r="A59" s="295" t="s">
        <v>197</v>
      </c>
      <c r="B59" s="273">
        <v>170.999994613914</v>
      </c>
      <c r="C59" s="273">
        <v>173.00676999999999</v>
      </c>
      <c r="D59" s="274">
        <v>2.0067753860850002</v>
      </c>
      <c r="E59" s="275">
        <v>1.0117355289429999</v>
      </c>
      <c r="F59" s="273">
        <v>138.00003804048399</v>
      </c>
      <c r="G59" s="274">
        <v>34.500009510120996</v>
      </c>
      <c r="H59" s="276">
        <v>14.061999999999999</v>
      </c>
      <c r="I59" s="273">
        <v>42.410200000000003</v>
      </c>
      <c r="J59" s="274">
        <v>7.9101904898789996</v>
      </c>
      <c r="K59" s="277">
        <v>0.30732020514000002</v>
      </c>
    </row>
    <row r="60" spans="1:11" ht="14.4" customHeight="1" thickBot="1" x14ac:dyDescent="0.35">
      <c r="A60" s="294" t="s">
        <v>198</v>
      </c>
      <c r="B60" s="278">
        <v>474.999985038651</v>
      </c>
      <c r="C60" s="278">
        <v>475.17649999999998</v>
      </c>
      <c r="D60" s="279">
        <v>0.17651496134799999</v>
      </c>
      <c r="E60" s="280">
        <v>1.0003716104560001</v>
      </c>
      <c r="F60" s="278">
        <v>383.00010557612597</v>
      </c>
      <c r="G60" s="279">
        <v>95.750026394030996</v>
      </c>
      <c r="H60" s="281">
        <v>39.960749999999997</v>
      </c>
      <c r="I60" s="278">
        <v>119.61324999999999</v>
      </c>
      <c r="J60" s="279">
        <v>23.863223605967999</v>
      </c>
      <c r="K60" s="282">
        <v>0.31230604968100001</v>
      </c>
    </row>
    <row r="61" spans="1:11" ht="14.4" customHeight="1" thickBot="1" x14ac:dyDescent="0.35">
      <c r="A61" s="295" t="s">
        <v>199</v>
      </c>
      <c r="B61" s="273">
        <v>474.999985038651</v>
      </c>
      <c r="C61" s="273">
        <v>475.17649999999998</v>
      </c>
      <c r="D61" s="274">
        <v>0.17651496134799999</v>
      </c>
      <c r="E61" s="275">
        <v>1.0003716104560001</v>
      </c>
      <c r="F61" s="273">
        <v>383.00010557612597</v>
      </c>
      <c r="G61" s="274">
        <v>95.750026394030996</v>
      </c>
      <c r="H61" s="276">
        <v>39.960749999999997</v>
      </c>
      <c r="I61" s="273">
        <v>119.61324999999999</v>
      </c>
      <c r="J61" s="274">
        <v>23.863223605967999</v>
      </c>
      <c r="K61" s="277">
        <v>0.31230604968100001</v>
      </c>
    </row>
    <row r="62" spans="1:11" ht="14.4" customHeight="1" thickBot="1" x14ac:dyDescent="0.35">
      <c r="A62" s="293" t="s">
        <v>200</v>
      </c>
      <c r="B62" s="273">
        <v>18.999999401545999</v>
      </c>
      <c r="C62" s="273">
        <v>15.195959999999999</v>
      </c>
      <c r="D62" s="274">
        <v>-3.804039401546</v>
      </c>
      <c r="E62" s="275">
        <v>0.79978739361200002</v>
      </c>
      <c r="F62" s="273">
        <v>23.000006340079999</v>
      </c>
      <c r="G62" s="274">
        <v>5.7500015850199997</v>
      </c>
      <c r="H62" s="276">
        <v>1.93842</v>
      </c>
      <c r="I62" s="273">
        <v>5.6392699999999998</v>
      </c>
      <c r="J62" s="274">
        <v>-0.11073158502</v>
      </c>
      <c r="K62" s="277">
        <v>0.24518558458699999</v>
      </c>
    </row>
    <row r="63" spans="1:11" ht="14.4" customHeight="1" thickBot="1" x14ac:dyDescent="0.35">
      <c r="A63" s="294" t="s">
        <v>201</v>
      </c>
      <c r="B63" s="278">
        <v>18.999999401545999</v>
      </c>
      <c r="C63" s="278">
        <v>15.195959999999999</v>
      </c>
      <c r="D63" s="279">
        <v>-3.804039401546</v>
      </c>
      <c r="E63" s="280">
        <v>0.79978739361200002</v>
      </c>
      <c r="F63" s="278">
        <v>23.000006340079999</v>
      </c>
      <c r="G63" s="279">
        <v>5.7500015850199997</v>
      </c>
      <c r="H63" s="281">
        <v>1.93842</v>
      </c>
      <c r="I63" s="278">
        <v>5.6392699999999998</v>
      </c>
      <c r="J63" s="279">
        <v>-0.11073158502</v>
      </c>
      <c r="K63" s="282">
        <v>0.24518558458699999</v>
      </c>
    </row>
    <row r="64" spans="1:11" ht="14.4" customHeight="1" thickBot="1" x14ac:dyDescent="0.35">
      <c r="A64" s="295" t="s">
        <v>202</v>
      </c>
      <c r="B64" s="273">
        <v>18.999999401545999</v>
      </c>
      <c r="C64" s="273">
        <v>15.195959999999999</v>
      </c>
      <c r="D64" s="274">
        <v>-3.804039401546</v>
      </c>
      <c r="E64" s="275">
        <v>0.79978739361200002</v>
      </c>
      <c r="F64" s="273">
        <v>23.000006340079999</v>
      </c>
      <c r="G64" s="274">
        <v>5.7500015850199997</v>
      </c>
      <c r="H64" s="276">
        <v>1.93842</v>
      </c>
      <c r="I64" s="273">
        <v>5.6392699999999998</v>
      </c>
      <c r="J64" s="274">
        <v>-0.11073158502</v>
      </c>
      <c r="K64" s="277">
        <v>0.24518558458699999</v>
      </c>
    </row>
    <row r="65" spans="1:11" ht="14.4" customHeight="1" thickBot="1" x14ac:dyDescent="0.35">
      <c r="A65" s="292" t="s">
        <v>203</v>
      </c>
      <c r="B65" s="273">
        <v>1.4613710448020001</v>
      </c>
      <c r="C65" s="273">
        <v>3.3</v>
      </c>
      <c r="D65" s="274">
        <v>1.8386289551970001</v>
      </c>
      <c r="E65" s="275">
        <v>2.2581534044590001</v>
      </c>
      <c r="F65" s="273">
        <v>1.0000002756549999</v>
      </c>
      <c r="G65" s="274">
        <v>0.25000006891299997</v>
      </c>
      <c r="H65" s="276">
        <v>0.45</v>
      </c>
      <c r="I65" s="273">
        <v>1.95</v>
      </c>
      <c r="J65" s="274">
        <v>1.6999999310859999</v>
      </c>
      <c r="K65" s="277">
        <v>1.949999462471</v>
      </c>
    </row>
    <row r="66" spans="1:11" ht="14.4" customHeight="1" thickBot="1" x14ac:dyDescent="0.35">
      <c r="A66" s="293" t="s">
        <v>204</v>
      </c>
      <c r="B66" s="273">
        <v>0</v>
      </c>
      <c r="C66" s="273">
        <v>1.8</v>
      </c>
      <c r="D66" s="274">
        <v>1.8</v>
      </c>
      <c r="E66" s="283" t="s">
        <v>146</v>
      </c>
      <c r="F66" s="273">
        <v>0</v>
      </c>
      <c r="G66" s="274">
        <v>0</v>
      </c>
      <c r="H66" s="276">
        <v>0.45</v>
      </c>
      <c r="I66" s="273">
        <v>0.45</v>
      </c>
      <c r="J66" s="274">
        <v>0.45</v>
      </c>
      <c r="K66" s="286" t="s">
        <v>146</v>
      </c>
    </row>
    <row r="67" spans="1:11" ht="14.4" customHeight="1" thickBot="1" x14ac:dyDescent="0.35">
      <c r="A67" s="294" t="s">
        <v>205</v>
      </c>
      <c r="B67" s="278">
        <v>0</v>
      </c>
      <c r="C67" s="278">
        <v>1.8</v>
      </c>
      <c r="D67" s="279">
        <v>1.8</v>
      </c>
      <c r="E67" s="284" t="s">
        <v>146</v>
      </c>
      <c r="F67" s="278">
        <v>0</v>
      </c>
      <c r="G67" s="279">
        <v>0</v>
      </c>
      <c r="H67" s="281">
        <v>0.45</v>
      </c>
      <c r="I67" s="278">
        <v>0.45</v>
      </c>
      <c r="J67" s="279">
        <v>0.45</v>
      </c>
      <c r="K67" s="285" t="s">
        <v>146</v>
      </c>
    </row>
    <row r="68" spans="1:11" ht="14.4" customHeight="1" thickBot="1" x14ac:dyDescent="0.35">
      <c r="A68" s="295" t="s">
        <v>206</v>
      </c>
      <c r="B68" s="273">
        <v>0</v>
      </c>
      <c r="C68" s="273">
        <v>1.8</v>
      </c>
      <c r="D68" s="274">
        <v>1.8</v>
      </c>
      <c r="E68" s="283" t="s">
        <v>146</v>
      </c>
      <c r="F68" s="273">
        <v>0</v>
      </c>
      <c r="G68" s="274">
        <v>0</v>
      </c>
      <c r="H68" s="276">
        <v>0.45</v>
      </c>
      <c r="I68" s="273">
        <v>0.45</v>
      </c>
      <c r="J68" s="274">
        <v>0.45</v>
      </c>
      <c r="K68" s="286" t="s">
        <v>146</v>
      </c>
    </row>
    <row r="69" spans="1:11" ht="14.4" customHeight="1" thickBot="1" x14ac:dyDescent="0.35">
      <c r="A69" s="293" t="s">
        <v>207</v>
      </c>
      <c r="B69" s="273">
        <v>1.4613710448020001</v>
      </c>
      <c r="C69" s="273">
        <v>1.5</v>
      </c>
      <c r="D69" s="274">
        <v>3.8628955196999999E-2</v>
      </c>
      <c r="E69" s="275">
        <v>1.026433365663</v>
      </c>
      <c r="F69" s="273">
        <v>1.0000002756549999</v>
      </c>
      <c r="G69" s="274">
        <v>0.25000006891299997</v>
      </c>
      <c r="H69" s="276">
        <v>0</v>
      </c>
      <c r="I69" s="273">
        <v>1.5</v>
      </c>
      <c r="J69" s="274">
        <v>1.2499999310859999</v>
      </c>
      <c r="K69" s="277">
        <v>1.4999995865160001</v>
      </c>
    </row>
    <row r="70" spans="1:11" ht="14.4" customHeight="1" thickBot="1" x14ac:dyDescent="0.35">
      <c r="A70" s="294" t="s">
        <v>208</v>
      </c>
      <c r="B70" s="278">
        <v>1.4613710448020001</v>
      </c>
      <c r="C70" s="278">
        <v>1.5</v>
      </c>
      <c r="D70" s="279">
        <v>3.8628955196999999E-2</v>
      </c>
      <c r="E70" s="280">
        <v>1.026433365663</v>
      </c>
      <c r="F70" s="278">
        <v>1.0000002756549999</v>
      </c>
      <c r="G70" s="279">
        <v>0.25000006891299997</v>
      </c>
      <c r="H70" s="281">
        <v>0</v>
      </c>
      <c r="I70" s="278">
        <v>1.5</v>
      </c>
      <c r="J70" s="279">
        <v>1.2499999310859999</v>
      </c>
      <c r="K70" s="282">
        <v>1.4999995865160001</v>
      </c>
    </row>
    <row r="71" spans="1:11" ht="14.4" customHeight="1" thickBot="1" x14ac:dyDescent="0.35">
      <c r="A71" s="295" t="s">
        <v>209</v>
      </c>
      <c r="B71" s="273">
        <v>1.4613710448020001</v>
      </c>
      <c r="C71" s="273">
        <v>1.5</v>
      </c>
      <c r="D71" s="274">
        <v>3.8628955196999999E-2</v>
      </c>
      <c r="E71" s="275">
        <v>1.026433365663</v>
      </c>
      <c r="F71" s="273">
        <v>1.0000002756549999</v>
      </c>
      <c r="G71" s="274">
        <v>0.25000006891299997</v>
      </c>
      <c r="H71" s="276">
        <v>0</v>
      </c>
      <c r="I71" s="273">
        <v>1.5</v>
      </c>
      <c r="J71" s="274">
        <v>1.2499999310859999</v>
      </c>
      <c r="K71" s="277">
        <v>1.4999995865160001</v>
      </c>
    </row>
    <row r="72" spans="1:11" ht="14.4" customHeight="1" thickBot="1" x14ac:dyDescent="0.35">
      <c r="A72" s="292" t="s">
        <v>210</v>
      </c>
      <c r="B72" s="273">
        <v>10</v>
      </c>
      <c r="C72" s="273">
        <v>7.79</v>
      </c>
      <c r="D72" s="274">
        <v>-2.21</v>
      </c>
      <c r="E72" s="275">
        <v>0.77900000000000003</v>
      </c>
      <c r="F72" s="273">
        <v>10.172890505501</v>
      </c>
      <c r="G72" s="274">
        <v>2.543222626375</v>
      </c>
      <c r="H72" s="276">
        <v>0</v>
      </c>
      <c r="I72" s="273">
        <v>9.83</v>
      </c>
      <c r="J72" s="274">
        <v>7.286777373624</v>
      </c>
      <c r="K72" s="277">
        <v>0.96629369938499998</v>
      </c>
    </row>
    <row r="73" spans="1:11" ht="14.4" customHeight="1" thickBot="1" x14ac:dyDescent="0.35">
      <c r="A73" s="293" t="s">
        <v>211</v>
      </c>
      <c r="B73" s="273">
        <v>10</v>
      </c>
      <c r="C73" s="273">
        <v>7.79</v>
      </c>
      <c r="D73" s="274">
        <v>-2.21</v>
      </c>
      <c r="E73" s="275">
        <v>0.77900000000000003</v>
      </c>
      <c r="F73" s="273">
        <v>10.172890505501</v>
      </c>
      <c r="G73" s="274">
        <v>2.543222626375</v>
      </c>
      <c r="H73" s="276">
        <v>0</v>
      </c>
      <c r="I73" s="273">
        <v>9.83</v>
      </c>
      <c r="J73" s="274">
        <v>7.286777373624</v>
      </c>
      <c r="K73" s="277">
        <v>0.96629369938499998</v>
      </c>
    </row>
    <row r="74" spans="1:11" ht="14.4" customHeight="1" thickBot="1" x14ac:dyDescent="0.35">
      <c r="A74" s="294" t="s">
        <v>212</v>
      </c>
      <c r="B74" s="278">
        <v>0</v>
      </c>
      <c r="C74" s="278">
        <v>0.2</v>
      </c>
      <c r="D74" s="279">
        <v>0.2</v>
      </c>
      <c r="E74" s="284" t="s">
        <v>146</v>
      </c>
      <c r="F74" s="278">
        <v>0.172887748945</v>
      </c>
      <c r="G74" s="279">
        <v>4.3221937235999999E-2</v>
      </c>
      <c r="H74" s="281">
        <v>0</v>
      </c>
      <c r="I74" s="278">
        <v>7.3</v>
      </c>
      <c r="J74" s="279">
        <v>7.2567780627629999</v>
      </c>
      <c r="K74" s="282">
        <v>42.223928789306001</v>
      </c>
    </row>
    <row r="75" spans="1:11" ht="14.4" customHeight="1" thickBot="1" x14ac:dyDescent="0.35">
      <c r="A75" s="295" t="s">
        <v>213</v>
      </c>
      <c r="B75" s="273">
        <v>0</v>
      </c>
      <c r="C75" s="273">
        <v>0</v>
      </c>
      <c r="D75" s="274">
        <v>0</v>
      </c>
      <c r="E75" s="275">
        <v>1</v>
      </c>
      <c r="F75" s="273">
        <v>0</v>
      </c>
      <c r="G75" s="274">
        <v>0</v>
      </c>
      <c r="H75" s="276">
        <v>0</v>
      </c>
      <c r="I75" s="273">
        <v>7.3</v>
      </c>
      <c r="J75" s="274">
        <v>7.3</v>
      </c>
      <c r="K75" s="286" t="s">
        <v>162</v>
      </c>
    </row>
    <row r="76" spans="1:11" ht="14.4" customHeight="1" thickBot="1" x14ac:dyDescent="0.35">
      <c r="A76" s="295" t="s">
        <v>214</v>
      </c>
      <c r="B76" s="273">
        <v>0</v>
      </c>
      <c r="C76" s="273">
        <v>0.2</v>
      </c>
      <c r="D76" s="274">
        <v>0.2</v>
      </c>
      <c r="E76" s="283" t="s">
        <v>146</v>
      </c>
      <c r="F76" s="273">
        <v>0.172887748945</v>
      </c>
      <c r="G76" s="274">
        <v>4.3221937235999999E-2</v>
      </c>
      <c r="H76" s="276">
        <v>0</v>
      </c>
      <c r="I76" s="273">
        <v>0</v>
      </c>
      <c r="J76" s="274">
        <v>-4.3221937235999999E-2</v>
      </c>
      <c r="K76" s="277">
        <v>0</v>
      </c>
    </row>
    <row r="77" spans="1:11" ht="14.4" customHeight="1" thickBot="1" x14ac:dyDescent="0.35">
      <c r="A77" s="294" t="s">
        <v>215</v>
      </c>
      <c r="B77" s="278">
        <v>10</v>
      </c>
      <c r="C77" s="278">
        <v>7.59</v>
      </c>
      <c r="D77" s="279">
        <v>-2.41</v>
      </c>
      <c r="E77" s="280">
        <v>0.75900000000000001</v>
      </c>
      <c r="F77" s="278">
        <v>10.000002756556</v>
      </c>
      <c r="G77" s="279">
        <v>2.5000006891390001</v>
      </c>
      <c r="H77" s="281">
        <v>0</v>
      </c>
      <c r="I77" s="278">
        <v>2.5299999999999998</v>
      </c>
      <c r="J77" s="279">
        <v>2.999931086E-2</v>
      </c>
      <c r="K77" s="282">
        <v>0.25299993025900003</v>
      </c>
    </row>
    <row r="78" spans="1:11" ht="14.4" customHeight="1" thickBot="1" x14ac:dyDescent="0.35">
      <c r="A78" s="295" t="s">
        <v>216</v>
      </c>
      <c r="B78" s="273">
        <v>10</v>
      </c>
      <c r="C78" s="273">
        <v>7.59</v>
      </c>
      <c r="D78" s="274">
        <v>-2.41</v>
      </c>
      <c r="E78" s="275">
        <v>0.75900000000000001</v>
      </c>
      <c r="F78" s="273">
        <v>10.000002756556</v>
      </c>
      <c r="G78" s="274">
        <v>2.5000006891390001</v>
      </c>
      <c r="H78" s="276">
        <v>0</v>
      </c>
      <c r="I78" s="273">
        <v>2.5299999999999998</v>
      </c>
      <c r="J78" s="274">
        <v>2.999931086E-2</v>
      </c>
      <c r="K78" s="277">
        <v>0.25299993025900003</v>
      </c>
    </row>
    <row r="79" spans="1:11" ht="14.4" customHeight="1" thickBot="1" x14ac:dyDescent="0.35">
      <c r="A79" s="292" t="s">
        <v>217</v>
      </c>
      <c r="B79" s="273">
        <v>48.999928258902003</v>
      </c>
      <c r="C79" s="273">
        <v>126.88460000000001</v>
      </c>
      <c r="D79" s="274">
        <v>77.884671741096994</v>
      </c>
      <c r="E79" s="275">
        <v>2.5894854239290002</v>
      </c>
      <c r="F79" s="273">
        <v>56.481480337645003</v>
      </c>
      <c r="G79" s="274">
        <v>14.120370084411</v>
      </c>
      <c r="H79" s="276">
        <v>3.9830000000000001</v>
      </c>
      <c r="I79" s="273">
        <v>11.951000000000001</v>
      </c>
      <c r="J79" s="274">
        <v>-2.1693700844110002</v>
      </c>
      <c r="K79" s="277">
        <v>0.211591479694</v>
      </c>
    </row>
    <row r="80" spans="1:11" ht="14.4" customHeight="1" thickBot="1" x14ac:dyDescent="0.35">
      <c r="A80" s="293" t="s">
        <v>218</v>
      </c>
      <c r="B80" s="273">
        <v>48.999928258902003</v>
      </c>
      <c r="C80" s="273">
        <v>47.808</v>
      </c>
      <c r="D80" s="274">
        <v>-1.1919282589019999</v>
      </c>
      <c r="E80" s="275">
        <v>0.97567489787700001</v>
      </c>
      <c r="F80" s="273">
        <v>49.000122237176001</v>
      </c>
      <c r="G80" s="274">
        <v>12.250030559294</v>
      </c>
      <c r="H80" s="276">
        <v>3.9830000000000001</v>
      </c>
      <c r="I80" s="273">
        <v>11.951000000000001</v>
      </c>
      <c r="J80" s="274">
        <v>-0.29903055929400002</v>
      </c>
      <c r="K80" s="277">
        <v>0.24389735074800001</v>
      </c>
    </row>
    <row r="81" spans="1:11" ht="14.4" customHeight="1" thickBot="1" x14ac:dyDescent="0.35">
      <c r="A81" s="294" t="s">
        <v>219</v>
      </c>
      <c r="B81" s="278">
        <v>48.999928258902003</v>
      </c>
      <c r="C81" s="278">
        <v>47.808</v>
      </c>
      <c r="D81" s="279">
        <v>-1.1919282589019999</v>
      </c>
      <c r="E81" s="280">
        <v>0.97567489787700001</v>
      </c>
      <c r="F81" s="278">
        <v>49.000122237176001</v>
      </c>
      <c r="G81" s="279">
        <v>12.250030559294</v>
      </c>
      <c r="H81" s="281">
        <v>3.9830000000000001</v>
      </c>
      <c r="I81" s="278">
        <v>11.951000000000001</v>
      </c>
      <c r="J81" s="279">
        <v>-0.29903055929400002</v>
      </c>
      <c r="K81" s="282">
        <v>0.24389735074800001</v>
      </c>
    </row>
    <row r="82" spans="1:11" ht="14.4" customHeight="1" thickBot="1" x14ac:dyDescent="0.35">
      <c r="A82" s="295" t="s">
        <v>220</v>
      </c>
      <c r="B82" s="273">
        <v>2.9999999055069999</v>
      </c>
      <c r="C82" s="273">
        <v>2.6520000000000001</v>
      </c>
      <c r="D82" s="274">
        <v>-0.347999905507</v>
      </c>
      <c r="E82" s="275">
        <v>0.88400002784300002</v>
      </c>
      <c r="F82" s="273">
        <v>3.000007483908</v>
      </c>
      <c r="G82" s="274">
        <v>0.750001870977</v>
      </c>
      <c r="H82" s="276">
        <v>0.221</v>
      </c>
      <c r="I82" s="273">
        <v>0.66300000000000003</v>
      </c>
      <c r="J82" s="274">
        <v>-8.7001870977000004E-2</v>
      </c>
      <c r="K82" s="277">
        <v>0.22099944868599999</v>
      </c>
    </row>
    <row r="83" spans="1:11" ht="14.4" customHeight="1" thickBot="1" x14ac:dyDescent="0.35">
      <c r="A83" s="295" t="s">
        <v>221</v>
      </c>
      <c r="B83" s="273">
        <v>24.000200039031</v>
      </c>
      <c r="C83" s="273">
        <v>23.603999999999999</v>
      </c>
      <c r="D83" s="274">
        <v>-0.39620003903099998</v>
      </c>
      <c r="E83" s="275">
        <v>0.98349180263500002</v>
      </c>
      <c r="F83" s="273">
        <v>24.00005987127</v>
      </c>
      <c r="G83" s="274">
        <v>6.0000149678170001</v>
      </c>
      <c r="H83" s="276">
        <v>1.966</v>
      </c>
      <c r="I83" s="273">
        <v>5.9</v>
      </c>
      <c r="J83" s="274">
        <v>-0.10001496781700001</v>
      </c>
      <c r="K83" s="277">
        <v>0.24583272007000001</v>
      </c>
    </row>
    <row r="84" spans="1:11" ht="14.4" customHeight="1" thickBot="1" x14ac:dyDescent="0.35">
      <c r="A84" s="295" t="s">
        <v>222</v>
      </c>
      <c r="B84" s="273">
        <v>21.999728314363001</v>
      </c>
      <c r="C84" s="273">
        <v>21.552</v>
      </c>
      <c r="D84" s="274">
        <v>-0.44772831436299998</v>
      </c>
      <c r="E84" s="275">
        <v>0.97964846165499997</v>
      </c>
      <c r="F84" s="273">
        <v>22.000054881996999</v>
      </c>
      <c r="G84" s="274">
        <v>5.5000137204990001</v>
      </c>
      <c r="H84" s="276">
        <v>1.796</v>
      </c>
      <c r="I84" s="273">
        <v>5.3879999999999999</v>
      </c>
      <c r="J84" s="274">
        <v>-0.11201372049900001</v>
      </c>
      <c r="K84" s="277">
        <v>0.24490847995100001</v>
      </c>
    </row>
    <row r="85" spans="1:11" ht="14.4" customHeight="1" thickBot="1" x14ac:dyDescent="0.35">
      <c r="A85" s="293" t="s">
        <v>223</v>
      </c>
      <c r="B85" s="273">
        <v>0</v>
      </c>
      <c r="C85" s="273">
        <v>79.076599999999999</v>
      </c>
      <c r="D85" s="274">
        <v>79.076599999999999</v>
      </c>
      <c r="E85" s="283" t="s">
        <v>162</v>
      </c>
      <c r="F85" s="273">
        <v>7.4813581004690004</v>
      </c>
      <c r="G85" s="274">
        <v>1.8703395251170001</v>
      </c>
      <c r="H85" s="276">
        <v>0</v>
      </c>
      <c r="I85" s="273">
        <v>0</v>
      </c>
      <c r="J85" s="274">
        <v>-1.8703395251170001</v>
      </c>
      <c r="K85" s="277">
        <v>0</v>
      </c>
    </row>
    <row r="86" spans="1:11" ht="14.4" customHeight="1" thickBot="1" x14ac:dyDescent="0.35">
      <c r="A86" s="294" t="s">
        <v>224</v>
      </c>
      <c r="B86" s="278">
        <v>0</v>
      </c>
      <c r="C86" s="278">
        <v>11.97</v>
      </c>
      <c r="D86" s="279">
        <v>11.97</v>
      </c>
      <c r="E86" s="284" t="s">
        <v>162</v>
      </c>
      <c r="F86" s="278">
        <v>0</v>
      </c>
      <c r="G86" s="279">
        <v>0</v>
      </c>
      <c r="H86" s="281">
        <v>0</v>
      </c>
      <c r="I86" s="278">
        <v>0</v>
      </c>
      <c r="J86" s="279">
        <v>0</v>
      </c>
      <c r="K86" s="285" t="s">
        <v>146</v>
      </c>
    </row>
    <row r="87" spans="1:11" ht="14.4" customHeight="1" thickBot="1" x14ac:dyDescent="0.35">
      <c r="A87" s="295" t="s">
        <v>225</v>
      </c>
      <c r="B87" s="273">
        <v>0</v>
      </c>
      <c r="C87" s="273">
        <v>11.97</v>
      </c>
      <c r="D87" s="274">
        <v>11.97</v>
      </c>
      <c r="E87" s="283" t="s">
        <v>162</v>
      </c>
      <c r="F87" s="273">
        <v>0</v>
      </c>
      <c r="G87" s="274">
        <v>0</v>
      </c>
      <c r="H87" s="276">
        <v>0</v>
      </c>
      <c r="I87" s="273">
        <v>0</v>
      </c>
      <c r="J87" s="274">
        <v>0</v>
      </c>
      <c r="K87" s="286" t="s">
        <v>146</v>
      </c>
    </row>
    <row r="88" spans="1:11" ht="14.4" customHeight="1" thickBot="1" x14ac:dyDescent="0.35">
      <c r="A88" s="294" t="s">
        <v>226</v>
      </c>
      <c r="B88" s="278">
        <v>0</v>
      </c>
      <c r="C88" s="278">
        <v>3.0249999999999999</v>
      </c>
      <c r="D88" s="279">
        <v>3.0249999999999999</v>
      </c>
      <c r="E88" s="284" t="s">
        <v>162</v>
      </c>
      <c r="F88" s="278">
        <v>7.4813581004690004</v>
      </c>
      <c r="G88" s="279">
        <v>1.8703395251170001</v>
      </c>
      <c r="H88" s="281">
        <v>0</v>
      </c>
      <c r="I88" s="278">
        <v>0</v>
      </c>
      <c r="J88" s="279">
        <v>-1.8703395251170001</v>
      </c>
      <c r="K88" s="282">
        <v>0</v>
      </c>
    </row>
    <row r="89" spans="1:11" ht="14.4" customHeight="1" thickBot="1" x14ac:dyDescent="0.35">
      <c r="A89" s="295" t="s">
        <v>227</v>
      </c>
      <c r="B89" s="273">
        <v>0</v>
      </c>
      <c r="C89" s="273">
        <v>3.0249999999999999</v>
      </c>
      <c r="D89" s="274">
        <v>3.0249999999999999</v>
      </c>
      <c r="E89" s="283" t="s">
        <v>162</v>
      </c>
      <c r="F89" s="273">
        <v>7.4813581004690004</v>
      </c>
      <c r="G89" s="274">
        <v>1.8703395251170001</v>
      </c>
      <c r="H89" s="276">
        <v>0</v>
      </c>
      <c r="I89" s="273">
        <v>0</v>
      </c>
      <c r="J89" s="274">
        <v>-1.8703395251170001</v>
      </c>
      <c r="K89" s="277">
        <v>0</v>
      </c>
    </row>
    <row r="90" spans="1:11" ht="14.4" customHeight="1" thickBot="1" x14ac:dyDescent="0.35">
      <c r="A90" s="294" t="s">
        <v>228</v>
      </c>
      <c r="B90" s="278">
        <v>0</v>
      </c>
      <c r="C90" s="278">
        <v>64.081599999999995</v>
      </c>
      <c r="D90" s="279">
        <v>64.081599999999995</v>
      </c>
      <c r="E90" s="284" t="s">
        <v>162</v>
      </c>
      <c r="F90" s="278">
        <v>0</v>
      </c>
      <c r="G90" s="279">
        <v>0</v>
      </c>
      <c r="H90" s="281">
        <v>0</v>
      </c>
      <c r="I90" s="278">
        <v>0</v>
      </c>
      <c r="J90" s="279">
        <v>0</v>
      </c>
      <c r="K90" s="285" t="s">
        <v>146</v>
      </c>
    </row>
    <row r="91" spans="1:11" ht="14.4" customHeight="1" thickBot="1" x14ac:dyDescent="0.35">
      <c r="A91" s="295" t="s">
        <v>229</v>
      </c>
      <c r="B91" s="273">
        <v>0</v>
      </c>
      <c r="C91" s="273">
        <v>64.081599999999995</v>
      </c>
      <c r="D91" s="274">
        <v>64.081599999999995</v>
      </c>
      <c r="E91" s="283" t="s">
        <v>162</v>
      </c>
      <c r="F91" s="273">
        <v>0</v>
      </c>
      <c r="G91" s="274">
        <v>0</v>
      </c>
      <c r="H91" s="276">
        <v>0</v>
      </c>
      <c r="I91" s="273">
        <v>0</v>
      </c>
      <c r="J91" s="274">
        <v>0</v>
      </c>
      <c r="K91" s="286" t="s">
        <v>146</v>
      </c>
    </row>
    <row r="92" spans="1:11" ht="14.4" customHeight="1" thickBot="1" x14ac:dyDescent="0.35">
      <c r="A92" s="291" t="s">
        <v>230</v>
      </c>
      <c r="B92" s="273">
        <v>0</v>
      </c>
      <c r="C92" s="273">
        <v>12.269</v>
      </c>
      <c r="D92" s="274">
        <v>12.269</v>
      </c>
      <c r="E92" s="283" t="s">
        <v>146</v>
      </c>
      <c r="F92" s="273">
        <v>0</v>
      </c>
      <c r="G92" s="274">
        <v>0</v>
      </c>
      <c r="H92" s="276">
        <v>0</v>
      </c>
      <c r="I92" s="273">
        <v>0</v>
      </c>
      <c r="J92" s="274">
        <v>0</v>
      </c>
      <c r="K92" s="286" t="s">
        <v>146</v>
      </c>
    </row>
    <row r="93" spans="1:11" ht="14.4" customHeight="1" thickBot="1" x14ac:dyDescent="0.35">
      <c r="A93" s="292" t="s">
        <v>231</v>
      </c>
      <c r="B93" s="273">
        <v>0</v>
      </c>
      <c r="C93" s="273">
        <v>12.269</v>
      </c>
      <c r="D93" s="274">
        <v>12.269</v>
      </c>
      <c r="E93" s="283" t="s">
        <v>146</v>
      </c>
      <c r="F93" s="273">
        <v>0</v>
      </c>
      <c r="G93" s="274">
        <v>0</v>
      </c>
      <c r="H93" s="276">
        <v>0</v>
      </c>
      <c r="I93" s="273">
        <v>0</v>
      </c>
      <c r="J93" s="274">
        <v>0</v>
      </c>
      <c r="K93" s="286" t="s">
        <v>146</v>
      </c>
    </row>
    <row r="94" spans="1:11" ht="14.4" customHeight="1" thickBot="1" x14ac:dyDescent="0.35">
      <c r="A94" s="293" t="s">
        <v>232</v>
      </c>
      <c r="B94" s="273">
        <v>0</v>
      </c>
      <c r="C94" s="273">
        <v>12.269</v>
      </c>
      <c r="D94" s="274">
        <v>12.269</v>
      </c>
      <c r="E94" s="283" t="s">
        <v>162</v>
      </c>
      <c r="F94" s="273">
        <v>0</v>
      </c>
      <c r="G94" s="274">
        <v>0</v>
      </c>
      <c r="H94" s="276">
        <v>0</v>
      </c>
      <c r="I94" s="273">
        <v>0</v>
      </c>
      <c r="J94" s="274">
        <v>0</v>
      </c>
      <c r="K94" s="286" t="s">
        <v>146</v>
      </c>
    </row>
    <row r="95" spans="1:11" ht="14.4" customHeight="1" thickBot="1" x14ac:dyDescent="0.35">
      <c r="A95" s="294" t="s">
        <v>233</v>
      </c>
      <c r="B95" s="278">
        <v>0</v>
      </c>
      <c r="C95" s="278">
        <v>12.269</v>
      </c>
      <c r="D95" s="279">
        <v>12.269</v>
      </c>
      <c r="E95" s="284" t="s">
        <v>162</v>
      </c>
      <c r="F95" s="278">
        <v>0</v>
      </c>
      <c r="G95" s="279">
        <v>0</v>
      </c>
      <c r="H95" s="281">
        <v>0</v>
      </c>
      <c r="I95" s="278">
        <v>0</v>
      </c>
      <c r="J95" s="279">
        <v>0</v>
      </c>
      <c r="K95" s="285" t="s">
        <v>146</v>
      </c>
    </row>
    <row r="96" spans="1:11" ht="14.4" customHeight="1" thickBot="1" x14ac:dyDescent="0.35">
      <c r="A96" s="295" t="s">
        <v>234</v>
      </c>
      <c r="B96" s="273">
        <v>0</v>
      </c>
      <c r="C96" s="273">
        <v>12.269</v>
      </c>
      <c r="D96" s="274">
        <v>12.269</v>
      </c>
      <c r="E96" s="283" t="s">
        <v>162</v>
      </c>
      <c r="F96" s="273">
        <v>0</v>
      </c>
      <c r="G96" s="274">
        <v>0</v>
      </c>
      <c r="H96" s="276">
        <v>0</v>
      </c>
      <c r="I96" s="273">
        <v>0</v>
      </c>
      <c r="J96" s="274">
        <v>0</v>
      </c>
      <c r="K96" s="286" t="s">
        <v>146</v>
      </c>
    </row>
    <row r="97" spans="1:11" ht="14.4" customHeight="1" thickBot="1" x14ac:dyDescent="0.35">
      <c r="A97" s="291" t="s">
        <v>235</v>
      </c>
      <c r="B97" s="273">
        <v>63</v>
      </c>
      <c r="C97" s="273">
        <v>220.20953</v>
      </c>
      <c r="D97" s="274">
        <v>157.20953</v>
      </c>
      <c r="E97" s="275">
        <v>3.4953893650790002</v>
      </c>
      <c r="F97" s="273">
        <v>0</v>
      </c>
      <c r="G97" s="274">
        <v>0</v>
      </c>
      <c r="H97" s="276">
        <v>1.95801</v>
      </c>
      <c r="I97" s="273">
        <v>6.7371299999999996</v>
      </c>
      <c r="J97" s="274">
        <v>6.7371299999999996</v>
      </c>
      <c r="K97" s="286" t="s">
        <v>162</v>
      </c>
    </row>
    <row r="98" spans="1:11" ht="14.4" customHeight="1" thickBot="1" x14ac:dyDescent="0.35">
      <c r="A98" s="296" t="s">
        <v>236</v>
      </c>
      <c r="B98" s="278">
        <v>63</v>
      </c>
      <c r="C98" s="278">
        <v>220.20953</v>
      </c>
      <c r="D98" s="279">
        <v>157.20953</v>
      </c>
      <c r="E98" s="280">
        <v>3.4953893650790002</v>
      </c>
      <c r="F98" s="278">
        <v>0</v>
      </c>
      <c r="G98" s="279">
        <v>0</v>
      </c>
      <c r="H98" s="281">
        <v>1.95801</v>
      </c>
      <c r="I98" s="278">
        <v>6.7371299999999996</v>
      </c>
      <c r="J98" s="279">
        <v>6.7371299999999996</v>
      </c>
      <c r="K98" s="285" t="s">
        <v>162</v>
      </c>
    </row>
    <row r="99" spans="1:11" ht="14.4" customHeight="1" thickBot="1" x14ac:dyDescent="0.35">
      <c r="A99" s="298" t="s">
        <v>29</v>
      </c>
      <c r="B99" s="278">
        <v>63</v>
      </c>
      <c r="C99" s="278">
        <v>220.20953</v>
      </c>
      <c r="D99" s="279">
        <v>157.20953</v>
      </c>
      <c r="E99" s="280">
        <v>3.4953893650790002</v>
      </c>
      <c r="F99" s="278">
        <v>0</v>
      </c>
      <c r="G99" s="279">
        <v>0</v>
      </c>
      <c r="H99" s="281">
        <v>1.95801</v>
      </c>
      <c r="I99" s="278">
        <v>6.7371299999999996</v>
      </c>
      <c r="J99" s="279">
        <v>6.7371299999999996</v>
      </c>
      <c r="K99" s="285" t="s">
        <v>162</v>
      </c>
    </row>
    <row r="100" spans="1:11" ht="14.4" customHeight="1" thickBot="1" x14ac:dyDescent="0.35">
      <c r="A100" s="294" t="s">
        <v>237</v>
      </c>
      <c r="B100" s="278">
        <v>0</v>
      </c>
      <c r="C100" s="278">
        <v>2.5792999999999999</v>
      </c>
      <c r="D100" s="279">
        <v>2.5792999999999999</v>
      </c>
      <c r="E100" s="284" t="s">
        <v>146</v>
      </c>
      <c r="F100" s="278">
        <v>0</v>
      </c>
      <c r="G100" s="279">
        <v>0</v>
      </c>
      <c r="H100" s="281">
        <v>0</v>
      </c>
      <c r="I100" s="278">
        <v>0</v>
      </c>
      <c r="J100" s="279">
        <v>0</v>
      </c>
      <c r="K100" s="282">
        <v>3</v>
      </c>
    </row>
    <row r="101" spans="1:11" ht="14.4" customHeight="1" thickBot="1" x14ac:dyDescent="0.35">
      <c r="A101" s="295" t="s">
        <v>238</v>
      </c>
      <c r="B101" s="273">
        <v>0</v>
      </c>
      <c r="C101" s="273">
        <v>2.5057999999999998</v>
      </c>
      <c r="D101" s="274">
        <v>2.5057999999999998</v>
      </c>
      <c r="E101" s="283" t="s">
        <v>146</v>
      </c>
      <c r="F101" s="273">
        <v>0</v>
      </c>
      <c r="G101" s="274">
        <v>0</v>
      </c>
      <c r="H101" s="276">
        <v>0</v>
      </c>
      <c r="I101" s="273">
        <v>0</v>
      </c>
      <c r="J101" s="274">
        <v>0</v>
      </c>
      <c r="K101" s="277">
        <v>3</v>
      </c>
    </row>
    <row r="102" spans="1:11" ht="14.4" customHeight="1" thickBot="1" x14ac:dyDescent="0.35">
      <c r="A102" s="295" t="s">
        <v>239</v>
      </c>
      <c r="B102" s="273">
        <v>0</v>
      </c>
      <c r="C102" s="273">
        <v>7.3499999999999996E-2</v>
      </c>
      <c r="D102" s="274">
        <v>7.3499999999999996E-2</v>
      </c>
      <c r="E102" s="283" t="s">
        <v>162</v>
      </c>
      <c r="F102" s="273">
        <v>0</v>
      </c>
      <c r="G102" s="274">
        <v>0</v>
      </c>
      <c r="H102" s="276">
        <v>0</v>
      </c>
      <c r="I102" s="273">
        <v>0</v>
      </c>
      <c r="J102" s="274">
        <v>0</v>
      </c>
      <c r="K102" s="277">
        <v>3</v>
      </c>
    </row>
    <row r="103" spans="1:11" ht="14.4" customHeight="1" thickBot="1" x14ac:dyDescent="0.35">
      <c r="A103" s="294" t="s">
        <v>240</v>
      </c>
      <c r="B103" s="278">
        <v>63</v>
      </c>
      <c r="C103" s="278">
        <v>57.148989999999998</v>
      </c>
      <c r="D103" s="279">
        <v>-5.8510099999990004</v>
      </c>
      <c r="E103" s="280">
        <v>0.90712682539599998</v>
      </c>
      <c r="F103" s="278">
        <v>0</v>
      </c>
      <c r="G103" s="279">
        <v>0</v>
      </c>
      <c r="H103" s="281">
        <v>1.95801</v>
      </c>
      <c r="I103" s="278">
        <v>6.7371299999999996</v>
      </c>
      <c r="J103" s="279">
        <v>6.7371299999999996</v>
      </c>
      <c r="K103" s="285" t="s">
        <v>162</v>
      </c>
    </row>
    <row r="104" spans="1:11" ht="14.4" customHeight="1" thickBot="1" x14ac:dyDescent="0.35">
      <c r="A104" s="295" t="s">
        <v>241</v>
      </c>
      <c r="B104" s="273">
        <v>63</v>
      </c>
      <c r="C104" s="273">
        <v>57.148989999999998</v>
      </c>
      <c r="D104" s="274">
        <v>-5.8510099999990004</v>
      </c>
      <c r="E104" s="275">
        <v>0.90712682539599998</v>
      </c>
      <c r="F104" s="273">
        <v>0</v>
      </c>
      <c r="G104" s="274">
        <v>0</v>
      </c>
      <c r="H104" s="276">
        <v>1.95801</v>
      </c>
      <c r="I104" s="273">
        <v>6.7371299999999996</v>
      </c>
      <c r="J104" s="274">
        <v>6.7371299999999996</v>
      </c>
      <c r="K104" s="286" t="s">
        <v>162</v>
      </c>
    </row>
    <row r="105" spans="1:11" ht="14.4" customHeight="1" thickBot="1" x14ac:dyDescent="0.35">
      <c r="A105" s="294" t="s">
        <v>242</v>
      </c>
      <c r="B105" s="278">
        <v>0</v>
      </c>
      <c r="C105" s="278">
        <v>160.48124000000001</v>
      </c>
      <c r="D105" s="279">
        <v>160.48124000000001</v>
      </c>
      <c r="E105" s="284" t="s">
        <v>146</v>
      </c>
      <c r="F105" s="278">
        <v>0</v>
      </c>
      <c r="G105" s="279">
        <v>0</v>
      </c>
      <c r="H105" s="281">
        <v>0</v>
      </c>
      <c r="I105" s="278">
        <v>0</v>
      </c>
      <c r="J105" s="279">
        <v>0</v>
      </c>
      <c r="K105" s="282">
        <v>3</v>
      </c>
    </row>
    <row r="106" spans="1:11" ht="14.4" customHeight="1" thickBot="1" x14ac:dyDescent="0.35">
      <c r="A106" s="295" t="s">
        <v>243</v>
      </c>
      <c r="B106" s="273">
        <v>0</v>
      </c>
      <c r="C106" s="273">
        <v>160.48124000000001</v>
      </c>
      <c r="D106" s="274">
        <v>160.48124000000001</v>
      </c>
      <c r="E106" s="283" t="s">
        <v>146</v>
      </c>
      <c r="F106" s="273">
        <v>0</v>
      </c>
      <c r="G106" s="274">
        <v>0</v>
      </c>
      <c r="H106" s="276">
        <v>0</v>
      </c>
      <c r="I106" s="273">
        <v>0</v>
      </c>
      <c r="J106" s="274">
        <v>0</v>
      </c>
      <c r="K106" s="277">
        <v>3</v>
      </c>
    </row>
    <row r="107" spans="1:11" ht="14.4" customHeight="1" thickBot="1" x14ac:dyDescent="0.35">
      <c r="A107" s="299" t="s">
        <v>244</v>
      </c>
      <c r="B107" s="278">
        <v>3546</v>
      </c>
      <c r="C107" s="278">
        <v>3137.9425299999998</v>
      </c>
      <c r="D107" s="279">
        <v>-408.05747000000002</v>
      </c>
      <c r="E107" s="280">
        <v>0.88492457134699998</v>
      </c>
      <c r="F107" s="278">
        <v>0</v>
      </c>
      <c r="G107" s="279">
        <v>0</v>
      </c>
      <c r="H107" s="281">
        <v>227.43979999999999</v>
      </c>
      <c r="I107" s="278">
        <v>695.85532000000001</v>
      </c>
      <c r="J107" s="279">
        <v>695.85532000000001</v>
      </c>
      <c r="K107" s="285" t="s">
        <v>162</v>
      </c>
    </row>
    <row r="108" spans="1:11" ht="14.4" customHeight="1" thickBot="1" x14ac:dyDescent="0.35">
      <c r="A108" s="296" t="s">
        <v>245</v>
      </c>
      <c r="B108" s="278">
        <v>3546</v>
      </c>
      <c r="C108" s="278">
        <v>3137.9425299999998</v>
      </c>
      <c r="D108" s="279">
        <v>-408.05747000000002</v>
      </c>
      <c r="E108" s="280">
        <v>0.88492457134699998</v>
      </c>
      <c r="F108" s="278">
        <v>0</v>
      </c>
      <c r="G108" s="279">
        <v>0</v>
      </c>
      <c r="H108" s="281">
        <v>227.43979999999999</v>
      </c>
      <c r="I108" s="278">
        <v>695.85532000000001</v>
      </c>
      <c r="J108" s="279">
        <v>695.85532000000001</v>
      </c>
      <c r="K108" s="285" t="s">
        <v>162</v>
      </c>
    </row>
    <row r="109" spans="1:11" ht="14.4" customHeight="1" thickBot="1" x14ac:dyDescent="0.35">
      <c r="A109" s="298" t="s">
        <v>246</v>
      </c>
      <c r="B109" s="278">
        <v>3546</v>
      </c>
      <c r="C109" s="278">
        <v>3137.9425299999998</v>
      </c>
      <c r="D109" s="279">
        <v>-408.05747000000002</v>
      </c>
      <c r="E109" s="280">
        <v>0.88492457134699998</v>
      </c>
      <c r="F109" s="278">
        <v>0</v>
      </c>
      <c r="G109" s="279">
        <v>0</v>
      </c>
      <c r="H109" s="281">
        <v>227.43979999999999</v>
      </c>
      <c r="I109" s="278">
        <v>695.85532000000001</v>
      </c>
      <c r="J109" s="279">
        <v>695.85532000000001</v>
      </c>
      <c r="K109" s="285" t="s">
        <v>162</v>
      </c>
    </row>
    <row r="110" spans="1:11" ht="14.4" customHeight="1" thickBot="1" x14ac:dyDescent="0.35">
      <c r="A110" s="294" t="s">
        <v>247</v>
      </c>
      <c r="B110" s="278">
        <v>3546</v>
      </c>
      <c r="C110" s="278">
        <v>3137.9425299999998</v>
      </c>
      <c r="D110" s="279">
        <v>-408.05747000000002</v>
      </c>
      <c r="E110" s="280">
        <v>0.88492457134699998</v>
      </c>
      <c r="F110" s="278">
        <v>0</v>
      </c>
      <c r="G110" s="279">
        <v>0</v>
      </c>
      <c r="H110" s="281">
        <v>227.43979999999999</v>
      </c>
      <c r="I110" s="278">
        <v>695.85532000000001</v>
      </c>
      <c r="J110" s="279">
        <v>695.85532000000001</v>
      </c>
      <c r="K110" s="285" t="s">
        <v>162</v>
      </c>
    </row>
    <row r="111" spans="1:11" ht="14.4" customHeight="1" thickBot="1" x14ac:dyDescent="0.35">
      <c r="A111" s="295" t="s">
        <v>248</v>
      </c>
      <c r="B111" s="273">
        <v>3546</v>
      </c>
      <c r="C111" s="273">
        <v>3137.9425299999998</v>
      </c>
      <c r="D111" s="274">
        <v>-408.05747000000002</v>
      </c>
      <c r="E111" s="275">
        <v>0.88492457134699998</v>
      </c>
      <c r="F111" s="273">
        <v>0</v>
      </c>
      <c r="G111" s="274">
        <v>0</v>
      </c>
      <c r="H111" s="276">
        <v>227.43979999999999</v>
      </c>
      <c r="I111" s="273">
        <v>695.85532000000001</v>
      </c>
      <c r="J111" s="274">
        <v>695.85532000000001</v>
      </c>
      <c r="K111" s="286" t="s">
        <v>162</v>
      </c>
    </row>
    <row r="112" spans="1:11" ht="14.4" customHeight="1" thickBot="1" x14ac:dyDescent="0.35">
      <c r="A112" s="300"/>
      <c r="B112" s="273">
        <v>-0.413938869323</v>
      </c>
      <c r="C112" s="273">
        <v>-9.0949470177292804E-13</v>
      </c>
      <c r="D112" s="274">
        <v>0.41393886932200002</v>
      </c>
      <c r="E112" s="275">
        <v>2.19717153709095E-12</v>
      </c>
      <c r="F112" s="273">
        <v>-2771.3154597379198</v>
      </c>
      <c r="G112" s="274">
        <v>-692.82886493448098</v>
      </c>
      <c r="H112" s="276">
        <v>-2.8421709430404001E-14</v>
      </c>
      <c r="I112" s="273">
        <v>-2.8421709430404001E-14</v>
      </c>
      <c r="J112" s="274">
        <v>692.82886493448098</v>
      </c>
      <c r="K112" s="277">
        <v>1.02556745499813E-17</v>
      </c>
    </row>
    <row r="113" spans="1:11" ht="14.4" customHeight="1" thickBot="1" x14ac:dyDescent="0.35">
      <c r="A113" s="301" t="s">
        <v>41</v>
      </c>
      <c r="B113" s="287">
        <v>-0.413938869323</v>
      </c>
      <c r="C113" s="287">
        <v>-9.0949470177292804E-13</v>
      </c>
      <c r="D113" s="288">
        <v>0.41393886932200002</v>
      </c>
      <c r="E113" s="289" t="s">
        <v>146</v>
      </c>
      <c r="F113" s="287">
        <v>-2771.3154597379198</v>
      </c>
      <c r="G113" s="288">
        <v>-692.82886493448098</v>
      </c>
      <c r="H113" s="287">
        <v>-2.8421709430404001E-14</v>
      </c>
      <c r="I113" s="287">
        <v>0</v>
      </c>
      <c r="J113" s="288">
        <v>692.82886493448098</v>
      </c>
      <c r="K113" s="290">
        <v>0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59" customWidth="1"/>
    <col min="2" max="2" width="61.109375" style="159" customWidth="1"/>
    <col min="3" max="3" width="9.5546875" style="93" customWidth="1"/>
    <col min="4" max="4" width="9.5546875" style="160" customWidth="1"/>
    <col min="5" max="5" width="2.21875" style="160" customWidth="1"/>
    <col min="6" max="6" width="9.5546875" style="161" customWidth="1"/>
    <col min="7" max="7" width="9.5546875" style="158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7" t="s">
        <v>63</v>
      </c>
      <c r="B1" s="268"/>
      <c r="C1" s="268"/>
      <c r="D1" s="268"/>
      <c r="E1" s="268"/>
      <c r="F1" s="268"/>
      <c r="G1" s="239"/>
      <c r="H1" s="269"/>
      <c r="I1" s="269"/>
    </row>
    <row r="2" spans="1:10" ht="14.4" customHeight="1" thickBot="1" x14ac:dyDescent="0.35">
      <c r="A2" s="166" t="s">
        <v>145</v>
      </c>
      <c r="B2" s="157"/>
      <c r="C2" s="157"/>
      <c r="D2" s="157"/>
      <c r="E2" s="157"/>
      <c r="F2" s="157"/>
    </row>
    <row r="3" spans="1:10" ht="14.4" customHeight="1" thickBot="1" x14ac:dyDescent="0.35">
      <c r="A3" s="166"/>
      <c r="B3" s="157"/>
      <c r="C3" s="222">
        <v>2014</v>
      </c>
      <c r="D3" s="223">
        <v>2015</v>
      </c>
      <c r="E3" s="7"/>
      <c r="F3" s="262">
        <v>2016</v>
      </c>
      <c r="G3" s="263"/>
      <c r="H3" s="263"/>
      <c r="I3" s="264"/>
    </row>
    <row r="4" spans="1:10" ht="14.4" customHeight="1" thickBot="1" x14ac:dyDescent="0.35">
      <c r="A4" s="227" t="s">
        <v>0</v>
      </c>
      <c r="B4" s="228" t="s">
        <v>116</v>
      </c>
      <c r="C4" s="265" t="s">
        <v>45</v>
      </c>
      <c r="D4" s="266"/>
      <c r="E4" s="229"/>
      <c r="F4" s="224" t="s">
        <v>45</v>
      </c>
      <c r="G4" s="225" t="s">
        <v>46</v>
      </c>
      <c r="H4" s="225" t="s">
        <v>43</v>
      </c>
      <c r="I4" s="226" t="s">
        <v>47</v>
      </c>
    </row>
    <row r="5" spans="1:10" ht="14.4" customHeight="1" x14ac:dyDescent="0.3">
      <c r="A5" s="302" t="s">
        <v>249</v>
      </c>
      <c r="B5" s="303" t="s">
        <v>250</v>
      </c>
      <c r="C5" s="304" t="s">
        <v>251</v>
      </c>
      <c r="D5" s="304" t="s">
        <v>251</v>
      </c>
      <c r="E5" s="304"/>
      <c r="F5" s="304" t="s">
        <v>251</v>
      </c>
      <c r="G5" s="304" t="s">
        <v>251</v>
      </c>
      <c r="H5" s="304" t="s">
        <v>251</v>
      </c>
      <c r="I5" s="305" t="s">
        <v>251</v>
      </c>
      <c r="J5" s="306" t="s">
        <v>44</v>
      </c>
    </row>
    <row r="6" spans="1:10" ht="14.4" customHeight="1" x14ac:dyDescent="0.3">
      <c r="A6" s="302" t="s">
        <v>249</v>
      </c>
      <c r="B6" s="303" t="s">
        <v>154</v>
      </c>
      <c r="C6" s="304">
        <v>0</v>
      </c>
      <c r="D6" s="304">
        <v>0</v>
      </c>
      <c r="E6" s="304"/>
      <c r="F6" s="304">
        <v>0</v>
      </c>
      <c r="G6" s="304">
        <v>26.250007235961249</v>
      </c>
      <c r="H6" s="304">
        <v>-26.250007235961249</v>
      </c>
      <c r="I6" s="305">
        <v>0</v>
      </c>
      <c r="J6" s="306" t="s">
        <v>1</v>
      </c>
    </row>
    <row r="7" spans="1:10" ht="14.4" customHeight="1" x14ac:dyDescent="0.3">
      <c r="A7" s="302" t="s">
        <v>249</v>
      </c>
      <c r="B7" s="303" t="s">
        <v>252</v>
      </c>
      <c r="C7" s="304">
        <v>0</v>
      </c>
      <c r="D7" s="304">
        <v>0</v>
      </c>
      <c r="E7" s="304"/>
      <c r="F7" s="304">
        <v>0</v>
      </c>
      <c r="G7" s="304">
        <v>26.250007235961249</v>
      </c>
      <c r="H7" s="304">
        <v>-26.250007235961249</v>
      </c>
      <c r="I7" s="305">
        <v>0</v>
      </c>
      <c r="J7" s="306" t="s">
        <v>253</v>
      </c>
    </row>
    <row r="9" spans="1:10" ht="14.4" customHeight="1" x14ac:dyDescent="0.3">
      <c r="A9" s="302" t="s">
        <v>249</v>
      </c>
      <c r="B9" s="303" t="s">
        <v>250</v>
      </c>
      <c r="C9" s="304" t="s">
        <v>251</v>
      </c>
      <c r="D9" s="304" t="s">
        <v>251</v>
      </c>
      <c r="E9" s="304"/>
      <c r="F9" s="304" t="s">
        <v>251</v>
      </c>
      <c r="G9" s="304" t="s">
        <v>251</v>
      </c>
      <c r="H9" s="304" t="s">
        <v>251</v>
      </c>
      <c r="I9" s="305" t="s">
        <v>251</v>
      </c>
      <c r="J9" s="306" t="s">
        <v>44</v>
      </c>
    </row>
    <row r="10" spans="1:10" ht="14.4" customHeight="1" x14ac:dyDescent="0.3">
      <c r="A10" s="302" t="s">
        <v>254</v>
      </c>
      <c r="B10" s="303" t="s">
        <v>255</v>
      </c>
      <c r="C10" s="304" t="s">
        <v>251</v>
      </c>
      <c r="D10" s="304" t="s">
        <v>251</v>
      </c>
      <c r="E10" s="304"/>
      <c r="F10" s="304" t="s">
        <v>251</v>
      </c>
      <c r="G10" s="304" t="s">
        <v>251</v>
      </c>
      <c r="H10" s="304" t="s">
        <v>251</v>
      </c>
      <c r="I10" s="305" t="s">
        <v>251</v>
      </c>
      <c r="J10" s="306" t="s">
        <v>0</v>
      </c>
    </row>
    <row r="11" spans="1:10" ht="14.4" customHeight="1" x14ac:dyDescent="0.3">
      <c r="A11" s="302" t="s">
        <v>254</v>
      </c>
      <c r="B11" s="303" t="s">
        <v>154</v>
      </c>
      <c r="C11" s="304">
        <v>0</v>
      </c>
      <c r="D11" s="304">
        <v>0</v>
      </c>
      <c r="E11" s="304"/>
      <c r="F11" s="304">
        <v>0</v>
      </c>
      <c r="G11" s="304">
        <v>26.250007235961249</v>
      </c>
      <c r="H11" s="304">
        <v>-26.250007235961249</v>
      </c>
      <c r="I11" s="305">
        <v>0</v>
      </c>
      <c r="J11" s="306" t="s">
        <v>1</v>
      </c>
    </row>
    <row r="12" spans="1:10" ht="14.4" customHeight="1" x14ac:dyDescent="0.3">
      <c r="A12" s="302" t="s">
        <v>254</v>
      </c>
      <c r="B12" s="303" t="s">
        <v>256</v>
      </c>
      <c r="C12" s="304">
        <v>0</v>
      </c>
      <c r="D12" s="304">
        <v>0</v>
      </c>
      <c r="E12" s="304"/>
      <c r="F12" s="304">
        <v>0</v>
      </c>
      <c r="G12" s="304">
        <v>26.250007235961249</v>
      </c>
      <c r="H12" s="304">
        <v>-26.250007235961249</v>
      </c>
      <c r="I12" s="305">
        <v>0</v>
      </c>
      <c r="J12" s="306" t="s">
        <v>257</v>
      </c>
    </row>
    <row r="13" spans="1:10" ht="14.4" customHeight="1" x14ac:dyDescent="0.3">
      <c r="A13" s="302" t="s">
        <v>251</v>
      </c>
      <c r="B13" s="303" t="s">
        <v>251</v>
      </c>
      <c r="C13" s="304" t="s">
        <v>251</v>
      </c>
      <c r="D13" s="304" t="s">
        <v>251</v>
      </c>
      <c r="E13" s="304"/>
      <c r="F13" s="304" t="s">
        <v>251</v>
      </c>
      <c r="G13" s="304" t="s">
        <v>251</v>
      </c>
      <c r="H13" s="304" t="s">
        <v>251</v>
      </c>
      <c r="I13" s="305" t="s">
        <v>251</v>
      </c>
      <c r="J13" s="306" t="s">
        <v>258</v>
      </c>
    </row>
    <row r="14" spans="1:10" ht="14.4" customHeight="1" x14ac:dyDescent="0.3">
      <c r="A14" s="302" t="s">
        <v>249</v>
      </c>
      <c r="B14" s="303" t="s">
        <v>252</v>
      </c>
      <c r="C14" s="304">
        <v>0</v>
      </c>
      <c r="D14" s="304">
        <v>0</v>
      </c>
      <c r="E14" s="304"/>
      <c r="F14" s="304">
        <v>0</v>
      </c>
      <c r="G14" s="304">
        <v>26.250007235961249</v>
      </c>
      <c r="H14" s="304">
        <v>-26.250007235961249</v>
      </c>
      <c r="I14" s="305">
        <v>0</v>
      </c>
      <c r="J14" s="306" t="s">
        <v>253</v>
      </c>
    </row>
  </sheetData>
  <mergeCells count="3">
    <mergeCell ref="A1:I1"/>
    <mergeCell ref="F3:I3"/>
    <mergeCell ref="C4:D4"/>
  </mergeCells>
  <conditionalFormatting sqref="F8 F15:F65537">
    <cfRule type="cellIs" dxfId="23" priority="18" stopIfTrue="1" operator="greaterThan">
      <formula>1</formula>
    </cfRule>
  </conditionalFormatting>
  <conditionalFormatting sqref="H5:H7">
    <cfRule type="expression" dxfId="22" priority="14">
      <formula>$H5&gt;0</formula>
    </cfRule>
  </conditionalFormatting>
  <conditionalFormatting sqref="I5:I7">
    <cfRule type="expression" dxfId="21" priority="15">
      <formula>$I5&gt;1</formula>
    </cfRule>
  </conditionalFormatting>
  <conditionalFormatting sqref="B5:B7">
    <cfRule type="expression" dxfId="20" priority="11">
      <formula>OR($J5="NS",$J5="SumaNS",$J5="Účet")</formula>
    </cfRule>
  </conditionalFormatting>
  <conditionalFormatting sqref="F5:I7 B5:D7">
    <cfRule type="expression" dxfId="19" priority="17">
      <formula>AND($J5&lt;&gt;"",$J5&lt;&gt;"mezeraKL")</formula>
    </cfRule>
  </conditionalFormatting>
  <conditionalFormatting sqref="B5:D7 F5:I7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7" priority="13">
      <formula>OR($J5="SumaNS",$J5="NS")</formula>
    </cfRule>
  </conditionalFormatting>
  <conditionalFormatting sqref="A5:A7">
    <cfRule type="expression" dxfId="16" priority="9">
      <formula>AND($J5&lt;&gt;"mezeraKL",$J5&lt;&gt;"")</formula>
    </cfRule>
  </conditionalFormatting>
  <conditionalFormatting sqref="A5:A7">
    <cfRule type="expression" dxfId="15" priority="10">
      <formula>AND($J5&lt;&gt;"",$J5&lt;&gt;"mezeraKL")</formula>
    </cfRule>
  </conditionalFormatting>
  <conditionalFormatting sqref="H9:H14">
    <cfRule type="expression" dxfId="14" priority="5">
      <formula>$H9&gt;0</formula>
    </cfRule>
  </conditionalFormatting>
  <conditionalFormatting sqref="A9:A14">
    <cfRule type="expression" dxfId="13" priority="2">
      <formula>AND($J9&lt;&gt;"mezeraKL",$J9&lt;&gt;"")</formula>
    </cfRule>
  </conditionalFormatting>
  <conditionalFormatting sqref="I9:I14">
    <cfRule type="expression" dxfId="12" priority="6">
      <formula>$I9&gt;1</formula>
    </cfRule>
  </conditionalFormatting>
  <conditionalFormatting sqref="B9:B14">
    <cfRule type="expression" dxfId="11" priority="1">
      <formula>OR($J9="NS",$J9="SumaNS",$J9="Účet")</formula>
    </cfRule>
  </conditionalFormatting>
  <conditionalFormatting sqref="A9:D14 F9:I14">
    <cfRule type="expression" dxfId="10" priority="8">
      <formula>AND($J9&lt;&gt;"",$J9&lt;&gt;"mezeraKL")</formula>
    </cfRule>
  </conditionalFormatting>
  <conditionalFormatting sqref="B9:D14 F9:I14">
    <cfRule type="expression" dxfId="9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8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G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F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</cols>
  <sheetData>
    <row r="1" spans="1:7" ht="18.600000000000001" thickBot="1" x14ac:dyDescent="0.4">
      <c r="A1" s="272" t="s">
        <v>51</v>
      </c>
      <c r="B1" s="269"/>
      <c r="C1" s="269"/>
      <c r="D1" s="269"/>
      <c r="E1" s="269"/>
      <c r="F1" s="269"/>
    </row>
    <row r="2" spans="1:7" ht="15" thickBot="1" x14ac:dyDescent="0.35">
      <c r="A2" s="166" t="s">
        <v>145</v>
      </c>
      <c r="B2" s="167"/>
      <c r="C2" s="167"/>
      <c r="D2" s="167"/>
      <c r="E2" s="167"/>
    </row>
    <row r="3" spans="1:7" x14ac:dyDescent="0.3">
      <c r="A3" s="183" t="s">
        <v>107</v>
      </c>
      <c r="B3" s="270" t="s">
        <v>90</v>
      </c>
      <c r="C3" s="168">
        <v>0</v>
      </c>
      <c r="D3" s="186">
        <v>101</v>
      </c>
      <c r="E3" s="186">
        <v>302</v>
      </c>
      <c r="F3" s="315">
        <v>930</v>
      </c>
      <c r="G3" s="330"/>
    </row>
    <row r="4" spans="1:7" ht="24.6" outlineLevel="1" thickBot="1" x14ac:dyDescent="0.35">
      <c r="A4" s="184">
        <v>2016</v>
      </c>
      <c r="B4" s="271"/>
      <c r="C4" s="169" t="s">
        <v>91</v>
      </c>
      <c r="D4" s="187" t="s">
        <v>119</v>
      </c>
      <c r="E4" s="187" t="s">
        <v>120</v>
      </c>
      <c r="F4" s="316" t="s">
        <v>109</v>
      </c>
      <c r="G4" s="330"/>
    </row>
    <row r="5" spans="1:7" x14ac:dyDescent="0.3">
      <c r="A5" s="170" t="s">
        <v>92</v>
      </c>
      <c r="B5" s="206"/>
      <c r="C5" s="207"/>
      <c r="D5" s="208"/>
      <c r="E5" s="208"/>
      <c r="F5" s="317"/>
      <c r="G5" s="330"/>
    </row>
    <row r="6" spans="1:7" ht="15" collapsed="1" thickBot="1" x14ac:dyDescent="0.35">
      <c r="A6" s="171" t="s">
        <v>45</v>
      </c>
      <c r="B6" s="209">
        <f xml:space="preserve">
TRUNC(IF($A$4&lt;=12,SUMIFS('ON Data'!F:F,'ON Data'!$D:$D,$A$4,'ON Data'!$E:$E,1),SUMIFS('ON Data'!F:F,'ON Data'!$E:$E,1)/'ON Data'!$D$3),1)</f>
        <v>2</v>
      </c>
      <c r="C6" s="210">
        <f xml:space="preserve">
TRUNC(IF($A$4&lt;=12,SUMIFS('ON Data'!G:G,'ON Data'!$D:$D,$A$4,'ON Data'!$E:$E,1),SUMIFS('ON Data'!G:G,'ON Data'!$E:$E,1)/'ON Data'!$D$3),1)</f>
        <v>0</v>
      </c>
      <c r="D6" s="211">
        <f xml:space="preserve">
TRUNC(IF($A$4&lt;=12,SUMIFS('ON Data'!K:K,'ON Data'!$D:$D,$A$4,'ON Data'!$E:$E,1),SUMIFS('ON Data'!K:K,'ON Data'!$E:$E,1)/'ON Data'!$D$3),1)</f>
        <v>1</v>
      </c>
      <c r="E6" s="211">
        <f xml:space="preserve">
TRUNC(IF($A$4&lt;=12,SUMIFS('ON Data'!O:O,'ON Data'!$D:$D,$A$4,'ON Data'!$E:$E,1),SUMIFS('ON Data'!O:O,'ON Data'!$E:$E,1)/'ON Data'!$D$3),1)</f>
        <v>0</v>
      </c>
      <c r="F6" s="318">
        <f xml:space="preserve">
TRUNC(IF($A$4&lt;=12,SUMIFS('ON Data'!AW:AW,'ON Data'!$D:$D,$A$4,'ON Data'!$E:$E,1),SUMIFS('ON Data'!AW:AW,'ON Data'!$E:$E,1)/'ON Data'!$D$3),1)</f>
        <v>1</v>
      </c>
      <c r="G6" s="330"/>
    </row>
    <row r="7" spans="1:7" ht="15" hidden="1" outlineLevel="1" thickBot="1" x14ac:dyDescent="0.35">
      <c r="A7" s="171" t="s">
        <v>52</v>
      </c>
      <c r="B7" s="209"/>
      <c r="C7" s="212"/>
      <c r="D7" s="211"/>
      <c r="E7" s="211"/>
      <c r="F7" s="318"/>
      <c r="G7" s="330"/>
    </row>
    <row r="8" spans="1:7" ht="15" hidden="1" outlineLevel="1" thickBot="1" x14ac:dyDescent="0.35">
      <c r="A8" s="171" t="s">
        <v>47</v>
      </c>
      <c r="B8" s="209"/>
      <c r="C8" s="212"/>
      <c r="D8" s="211"/>
      <c r="E8" s="211"/>
      <c r="F8" s="318"/>
      <c r="G8" s="330"/>
    </row>
    <row r="9" spans="1:7" ht="15" hidden="1" outlineLevel="1" thickBot="1" x14ac:dyDescent="0.35">
      <c r="A9" s="172" t="s">
        <v>43</v>
      </c>
      <c r="B9" s="213"/>
      <c r="C9" s="214"/>
      <c r="D9" s="215"/>
      <c r="E9" s="215"/>
      <c r="F9" s="319"/>
      <c r="G9" s="330"/>
    </row>
    <row r="10" spans="1:7" x14ac:dyDescent="0.3">
      <c r="A10" s="173" t="s">
        <v>93</v>
      </c>
      <c r="B10" s="188"/>
      <c r="C10" s="189"/>
      <c r="D10" s="190"/>
      <c r="E10" s="190"/>
      <c r="F10" s="320"/>
      <c r="G10" s="330"/>
    </row>
    <row r="11" spans="1:7" x14ac:dyDescent="0.3">
      <c r="A11" s="174" t="s">
        <v>94</v>
      </c>
      <c r="B11" s="191">
        <f xml:space="preserve">
IF($A$4&lt;=12,SUMIFS('ON Data'!F:F,'ON Data'!$D:$D,$A$4,'ON Data'!$E:$E,2),SUMIFS('ON Data'!F:F,'ON Data'!$E:$E,2))</f>
        <v>976</v>
      </c>
      <c r="C11" s="192">
        <f xml:space="preserve">
IF($A$4&lt;=12,SUMIFS('ON Data'!G:G,'ON Data'!$D:$D,$A$4,'ON Data'!$E:$E,2),SUMIFS('ON Data'!G:G,'ON Data'!$E:$E,2))</f>
        <v>0</v>
      </c>
      <c r="D11" s="193">
        <f xml:space="preserve">
IF($A$4&lt;=12,SUMIFS('ON Data'!K:K,'ON Data'!$D:$D,$A$4,'ON Data'!$E:$E,2),SUMIFS('ON Data'!K:K,'ON Data'!$E:$E,2))</f>
        <v>496</v>
      </c>
      <c r="E11" s="193">
        <f xml:space="preserve">
IF($A$4&lt;=12,SUMIFS('ON Data'!O:O,'ON Data'!$D:$D,$A$4,'ON Data'!$E:$E,2),SUMIFS('ON Data'!O:O,'ON Data'!$E:$E,2))</f>
        <v>0</v>
      </c>
      <c r="F11" s="321">
        <f xml:space="preserve">
IF($A$4&lt;=12,SUMIFS('ON Data'!AW:AW,'ON Data'!$D:$D,$A$4,'ON Data'!$E:$E,2),SUMIFS('ON Data'!AW:AW,'ON Data'!$E:$E,2))</f>
        <v>480</v>
      </c>
      <c r="G11" s="330"/>
    </row>
    <row r="12" spans="1:7" x14ac:dyDescent="0.3">
      <c r="A12" s="174" t="s">
        <v>95</v>
      </c>
      <c r="B12" s="191">
        <f xml:space="preserve">
IF($A$4&lt;=12,SUMIFS('ON Data'!F:F,'ON Data'!$D:$D,$A$4,'ON Data'!$E:$E,3),SUMIFS('ON Data'!F:F,'ON Data'!$E:$E,3))</f>
        <v>0</v>
      </c>
      <c r="C12" s="192">
        <f xml:space="preserve">
IF($A$4&lt;=12,SUMIFS('ON Data'!G:G,'ON Data'!$D:$D,$A$4,'ON Data'!$E:$E,3),SUMIFS('ON Data'!G:G,'ON Data'!$E:$E,3))</f>
        <v>0</v>
      </c>
      <c r="D12" s="193">
        <f xml:space="preserve">
IF($A$4&lt;=12,SUMIFS('ON Data'!K:K,'ON Data'!$D:$D,$A$4,'ON Data'!$E:$E,3),SUMIFS('ON Data'!K:K,'ON Data'!$E:$E,3))</f>
        <v>0</v>
      </c>
      <c r="E12" s="193">
        <f xml:space="preserve">
IF($A$4&lt;=12,SUMIFS('ON Data'!O:O,'ON Data'!$D:$D,$A$4,'ON Data'!$E:$E,3),SUMIFS('ON Data'!O:O,'ON Data'!$E:$E,3))</f>
        <v>0</v>
      </c>
      <c r="F12" s="321">
        <f xml:space="preserve">
IF($A$4&lt;=12,SUMIFS('ON Data'!AW:AW,'ON Data'!$D:$D,$A$4,'ON Data'!$E:$E,3),SUMIFS('ON Data'!AW:AW,'ON Data'!$E:$E,3))</f>
        <v>0</v>
      </c>
      <c r="G12" s="330"/>
    </row>
    <row r="13" spans="1:7" x14ac:dyDescent="0.3">
      <c r="A13" s="174" t="s">
        <v>102</v>
      </c>
      <c r="B13" s="191">
        <f xml:space="preserve">
IF($A$4&lt;=12,SUMIFS('ON Data'!F:F,'ON Data'!$D:$D,$A$4,'ON Data'!$E:$E,4),SUMIFS('ON Data'!F:F,'ON Data'!$E:$E,4))</f>
        <v>102</v>
      </c>
      <c r="C13" s="192">
        <f xml:space="preserve">
IF($A$4&lt;=12,SUMIFS('ON Data'!G:G,'ON Data'!$D:$D,$A$4,'ON Data'!$E:$E,4),SUMIFS('ON Data'!G:G,'ON Data'!$E:$E,4))</f>
        <v>0</v>
      </c>
      <c r="D13" s="193">
        <f xml:space="preserve">
IF($A$4&lt;=12,SUMIFS('ON Data'!K:K,'ON Data'!$D:$D,$A$4,'ON Data'!$E:$E,4),SUMIFS('ON Data'!K:K,'ON Data'!$E:$E,4))</f>
        <v>102</v>
      </c>
      <c r="E13" s="193">
        <f xml:space="preserve">
IF($A$4&lt;=12,SUMIFS('ON Data'!O:O,'ON Data'!$D:$D,$A$4,'ON Data'!$E:$E,4),SUMIFS('ON Data'!O:O,'ON Data'!$E:$E,4))</f>
        <v>0</v>
      </c>
      <c r="F13" s="321">
        <f xml:space="preserve">
IF($A$4&lt;=12,SUMIFS('ON Data'!AW:AW,'ON Data'!$D:$D,$A$4,'ON Data'!$E:$E,4),SUMIFS('ON Data'!AW:AW,'ON Data'!$E:$E,4))</f>
        <v>0</v>
      </c>
      <c r="G13" s="330"/>
    </row>
    <row r="14" spans="1:7" ht="15" thickBot="1" x14ac:dyDescent="0.35">
      <c r="A14" s="175" t="s">
        <v>96</v>
      </c>
      <c r="B14" s="194">
        <f xml:space="preserve">
IF($A$4&lt;=12,SUMIFS('ON Data'!F:F,'ON Data'!$D:$D,$A$4,'ON Data'!$E:$E,5),SUMIFS('ON Data'!F:F,'ON Data'!$E:$E,5))</f>
        <v>1284</v>
      </c>
      <c r="C14" s="195">
        <f xml:space="preserve">
IF($A$4&lt;=12,SUMIFS('ON Data'!G:G,'ON Data'!$D:$D,$A$4,'ON Data'!$E:$E,5),SUMIFS('ON Data'!G:G,'ON Data'!$E:$E,5))</f>
        <v>1284</v>
      </c>
      <c r="D14" s="196">
        <f xml:space="preserve">
IF($A$4&lt;=12,SUMIFS('ON Data'!K:K,'ON Data'!$D:$D,$A$4,'ON Data'!$E:$E,5),SUMIFS('ON Data'!K:K,'ON Data'!$E:$E,5))</f>
        <v>0</v>
      </c>
      <c r="E14" s="196">
        <f xml:space="preserve">
IF($A$4&lt;=12,SUMIFS('ON Data'!O:O,'ON Data'!$D:$D,$A$4,'ON Data'!$E:$E,5),SUMIFS('ON Data'!O:O,'ON Data'!$E:$E,5))</f>
        <v>0</v>
      </c>
      <c r="F14" s="322">
        <f xml:space="preserve">
IF($A$4&lt;=12,SUMIFS('ON Data'!AW:AW,'ON Data'!$D:$D,$A$4,'ON Data'!$E:$E,5),SUMIFS('ON Data'!AW:AW,'ON Data'!$E:$E,5))</f>
        <v>0</v>
      </c>
      <c r="G14" s="330"/>
    </row>
    <row r="15" spans="1:7" x14ac:dyDescent="0.3">
      <c r="A15" s="122" t="s">
        <v>106</v>
      </c>
      <c r="B15" s="197"/>
      <c r="C15" s="198"/>
      <c r="D15" s="199"/>
      <c r="E15" s="199"/>
      <c r="F15" s="323"/>
      <c r="G15" s="330"/>
    </row>
    <row r="16" spans="1:7" x14ac:dyDescent="0.3">
      <c r="A16" s="176" t="s">
        <v>97</v>
      </c>
      <c r="B16" s="191">
        <f xml:space="preserve">
IF($A$4&lt;=12,SUMIFS('ON Data'!F:F,'ON Data'!$D:$D,$A$4,'ON Data'!$E:$E,7),SUMIFS('ON Data'!F:F,'ON Data'!$E:$E,7))</f>
        <v>0</v>
      </c>
      <c r="C16" s="192">
        <f xml:space="preserve">
IF($A$4&lt;=12,SUMIFS('ON Data'!G:G,'ON Data'!$D:$D,$A$4,'ON Data'!$E:$E,7),SUMIFS('ON Data'!G:G,'ON Data'!$E:$E,7))</f>
        <v>0</v>
      </c>
      <c r="D16" s="193">
        <f xml:space="preserve">
IF($A$4&lt;=12,SUMIFS('ON Data'!K:K,'ON Data'!$D:$D,$A$4,'ON Data'!$E:$E,7),SUMIFS('ON Data'!K:K,'ON Data'!$E:$E,7))</f>
        <v>0</v>
      </c>
      <c r="E16" s="193">
        <f xml:space="preserve">
IF($A$4&lt;=12,SUMIFS('ON Data'!O:O,'ON Data'!$D:$D,$A$4,'ON Data'!$E:$E,7),SUMIFS('ON Data'!O:O,'ON Data'!$E:$E,7))</f>
        <v>0</v>
      </c>
      <c r="F16" s="321">
        <f xml:space="preserve">
IF($A$4&lt;=12,SUMIFS('ON Data'!AW:AW,'ON Data'!$D:$D,$A$4,'ON Data'!$E:$E,7),SUMIFS('ON Data'!AW:AW,'ON Data'!$E:$E,7))</f>
        <v>0</v>
      </c>
      <c r="G16" s="330"/>
    </row>
    <row r="17" spans="1:7" x14ac:dyDescent="0.3">
      <c r="A17" s="176" t="s">
        <v>98</v>
      </c>
      <c r="B17" s="191">
        <f xml:space="preserve">
IF($A$4&lt;=12,SUMIFS('ON Data'!F:F,'ON Data'!$D:$D,$A$4,'ON Data'!$E:$E,8),SUMIFS('ON Data'!F:F,'ON Data'!$E:$E,8))</f>
        <v>0</v>
      </c>
      <c r="C17" s="192">
        <f xml:space="preserve">
IF($A$4&lt;=12,SUMIFS('ON Data'!G:G,'ON Data'!$D:$D,$A$4,'ON Data'!$E:$E,8),SUMIFS('ON Data'!G:G,'ON Data'!$E:$E,8))</f>
        <v>0</v>
      </c>
      <c r="D17" s="193">
        <f xml:space="preserve">
IF($A$4&lt;=12,SUMIFS('ON Data'!K:K,'ON Data'!$D:$D,$A$4,'ON Data'!$E:$E,8),SUMIFS('ON Data'!K:K,'ON Data'!$E:$E,8))</f>
        <v>0</v>
      </c>
      <c r="E17" s="193">
        <f xml:space="preserve">
IF($A$4&lt;=12,SUMIFS('ON Data'!O:O,'ON Data'!$D:$D,$A$4,'ON Data'!$E:$E,8),SUMIFS('ON Data'!O:O,'ON Data'!$E:$E,8))</f>
        <v>0</v>
      </c>
      <c r="F17" s="321">
        <f xml:space="preserve">
IF($A$4&lt;=12,SUMIFS('ON Data'!AW:AW,'ON Data'!$D:$D,$A$4,'ON Data'!$E:$E,8),SUMIFS('ON Data'!AW:AW,'ON Data'!$E:$E,8))</f>
        <v>0</v>
      </c>
      <c r="G17" s="330"/>
    </row>
    <row r="18" spans="1:7" x14ac:dyDescent="0.3">
      <c r="A18" s="176" t="s">
        <v>99</v>
      </c>
      <c r="B18" s="191">
        <f xml:space="preserve">
B19-B16-B17</f>
        <v>0</v>
      </c>
      <c r="C18" s="192">
        <f t="shared" ref="C18:D18" si="0" xml:space="preserve">
C19-C16-C17</f>
        <v>0</v>
      </c>
      <c r="D18" s="193">
        <f t="shared" si="0"/>
        <v>0</v>
      </c>
      <c r="E18" s="193">
        <f t="shared" ref="E18" si="1" xml:space="preserve">
E19-E16-E17</f>
        <v>0</v>
      </c>
      <c r="F18" s="321">
        <f t="shared" ref="F18" si="2" xml:space="preserve">
F19-F16-F17</f>
        <v>0</v>
      </c>
      <c r="G18" s="330"/>
    </row>
    <row r="19" spans="1:7" ht="15" thickBot="1" x14ac:dyDescent="0.35">
      <c r="A19" s="177" t="s">
        <v>100</v>
      </c>
      <c r="B19" s="200">
        <f xml:space="preserve">
IF($A$4&lt;=12,SUMIFS('ON Data'!F:F,'ON Data'!$D:$D,$A$4,'ON Data'!$E:$E,9),SUMIFS('ON Data'!F:F,'ON Data'!$E:$E,9))</f>
        <v>0</v>
      </c>
      <c r="C19" s="201">
        <f xml:space="preserve">
IF($A$4&lt;=12,SUMIFS('ON Data'!G:G,'ON Data'!$D:$D,$A$4,'ON Data'!$E:$E,9),SUMIFS('ON Data'!G:G,'ON Data'!$E:$E,9))</f>
        <v>0</v>
      </c>
      <c r="D19" s="202">
        <f xml:space="preserve">
IF($A$4&lt;=12,SUMIFS('ON Data'!K:K,'ON Data'!$D:$D,$A$4,'ON Data'!$E:$E,9),SUMIFS('ON Data'!K:K,'ON Data'!$E:$E,9))</f>
        <v>0</v>
      </c>
      <c r="E19" s="202">
        <f xml:space="preserve">
IF($A$4&lt;=12,SUMIFS('ON Data'!O:O,'ON Data'!$D:$D,$A$4,'ON Data'!$E:$E,9),SUMIFS('ON Data'!O:O,'ON Data'!$E:$E,9))</f>
        <v>0</v>
      </c>
      <c r="F19" s="324">
        <f xml:space="preserve">
IF($A$4&lt;=12,SUMIFS('ON Data'!AW:AW,'ON Data'!$D:$D,$A$4,'ON Data'!$E:$E,9),SUMIFS('ON Data'!AW:AW,'ON Data'!$E:$E,9))</f>
        <v>0</v>
      </c>
      <c r="G19" s="330"/>
    </row>
    <row r="20" spans="1:7" ht="15" collapsed="1" thickBot="1" x14ac:dyDescent="0.35">
      <c r="A20" s="178" t="s">
        <v>45</v>
      </c>
      <c r="B20" s="203">
        <f xml:space="preserve">
IF($A$4&lt;=12,SUMIFS('ON Data'!F:F,'ON Data'!$D:$D,$A$4,'ON Data'!$E:$E,6),SUMIFS('ON Data'!F:F,'ON Data'!$E:$E,6))</f>
        <v>478453</v>
      </c>
      <c r="C20" s="204">
        <f xml:space="preserve">
IF($A$4&lt;=12,SUMIFS('ON Data'!G:G,'ON Data'!$D:$D,$A$4,'ON Data'!$E:$E,6),SUMIFS('ON Data'!G:G,'ON Data'!$E:$E,6))</f>
        <v>102413</v>
      </c>
      <c r="D20" s="205">
        <f xml:space="preserve">
IF($A$4&lt;=12,SUMIFS('ON Data'!K:K,'ON Data'!$D:$D,$A$4,'ON Data'!$E:$E,6),SUMIFS('ON Data'!K:K,'ON Data'!$E:$E,6))</f>
        <v>300244</v>
      </c>
      <c r="E20" s="205">
        <f xml:space="preserve">
IF($A$4&lt;=12,SUMIFS('ON Data'!O:O,'ON Data'!$D:$D,$A$4,'ON Data'!$E:$E,6),SUMIFS('ON Data'!O:O,'ON Data'!$E:$E,6))</f>
        <v>0</v>
      </c>
      <c r="F20" s="325">
        <f xml:space="preserve">
IF($A$4&lt;=12,SUMIFS('ON Data'!AW:AW,'ON Data'!$D:$D,$A$4,'ON Data'!$E:$E,6),SUMIFS('ON Data'!AW:AW,'ON Data'!$E:$E,6))</f>
        <v>75796</v>
      </c>
      <c r="G20" s="330"/>
    </row>
    <row r="21" spans="1:7" ht="15" hidden="1" outlineLevel="1" thickBot="1" x14ac:dyDescent="0.35">
      <c r="A21" s="171" t="s">
        <v>52</v>
      </c>
      <c r="B21" s="191">
        <f xml:space="preserve">
IF($A$4&lt;=12,SUMIFS('ON Data'!F:F,'ON Data'!$D:$D,$A$4,'ON Data'!$E:$E,12),SUMIFS('ON Data'!F:F,'ON Data'!$E:$E,12))</f>
        <v>0</v>
      </c>
      <c r="C21" s="192">
        <f xml:space="preserve">
IF($A$4&lt;=12,SUMIFS('ON Data'!G:G,'ON Data'!$D:$D,$A$4,'ON Data'!$E:$E,12),SUMIFS('ON Data'!G:G,'ON Data'!$E:$E,12))</f>
        <v>0</v>
      </c>
      <c r="D21" s="193">
        <f xml:space="preserve">
IF($A$4&lt;=12,SUMIFS('ON Data'!K:K,'ON Data'!$D:$D,$A$4,'ON Data'!$E:$E,12),SUMIFS('ON Data'!K:K,'ON Data'!$E:$E,12))</f>
        <v>0</v>
      </c>
      <c r="E21" s="193">
        <f xml:space="preserve">
IF($A$4&lt;=12,SUMIFS('ON Data'!O:O,'ON Data'!$D:$D,$A$4,'ON Data'!$E:$E,12),SUMIFS('ON Data'!O:O,'ON Data'!$E:$E,12))</f>
        <v>0</v>
      </c>
      <c r="G21" s="330"/>
    </row>
    <row r="22" spans="1:7" ht="15" hidden="1" outlineLevel="1" thickBot="1" x14ac:dyDescent="0.35">
      <c r="A22" s="171" t="s">
        <v>47</v>
      </c>
      <c r="B22" s="231" t="str">
        <f xml:space="preserve">
IF(OR(B21="",B21=0),"",B20/B21)</f>
        <v/>
      </c>
      <c r="C22" s="232" t="str">
        <f t="shared" ref="C22:D22" si="3" xml:space="preserve">
IF(OR(C21="",C21=0),"",C20/C21)</f>
        <v/>
      </c>
      <c r="D22" s="233" t="str">
        <f t="shared" si="3"/>
        <v/>
      </c>
      <c r="E22" s="233" t="str">
        <f t="shared" ref="E22" si="4" xml:space="preserve">
IF(OR(E21="",E21=0),"",E20/E21)</f>
        <v/>
      </c>
      <c r="G22" s="330"/>
    </row>
    <row r="23" spans="1:7" ht="15" hidden="1" outlineLevel="1" thickBot="1" x14ac:dyDescent="0.35">
      <c r="A23" s="179" t="s">
        <v>43</v>
      </c>
      <c r="B23" s="194">
        <f xml:space="preserve">
IF(B21="","",B20-B21)</f>
        <v>478453</v>
      </c>
      <c r="C23" s="195">
        <f t="shared" ref="C23:D23" si="5" xml:space="preserve">
IF(C21="","",C20-C21)</f>
        <v>102413</v>
      </c>
      <c r="D23" s="196">
        <f t="shared" si="5"/>
        <v>300244</v>
      </c>
      <c r="E23" s="196">
        <f t="shared" ref="E23" si="6" xml:space="preserve">
IF(E21="","",E20-E21)</f>
        <v>0</v>
      </c>
      <c r="G23" s="330"/>
    </row>
    <row r="24" spans="1:7" x14ac:dyDescent="0.3">
      <c r="A24" s="173" t="s">
        <v>101</v>
      </c>
      <c r="B24" s="220" t="s">
        <v>2</v>
      </c>
      <c r="C24" s="331" t="s">
        <v>112</v>
      </c>
      <c r="D24" s="307"/>
      <c r="E24" s="308" t="s">
        <v>113</v>
      </c>
      <c r="F24" s="326" t="s">
        <v>114</v>
      </c>
      <c r="G24" s="330"/>
    </row>
    <row r="25" spans="1:7" x14ac:dyDescent="0.3">
      <c r="A25" s="174" t="s">
        <v>45</v>
      </c>
      <c r="B25" s="191">
        <f xml:space="preserve">
SUM(C25:F25)</f>
        <v>4400</v>
      </c>
      <c r="C25" s="332">
        <f xml:space="preserve">
IF($A$4&lt;=12,SUMIFS('ON Data'!J:J,'ON Data'!$D:$D,$A$4,'ON Data'!$E:$E,10),SUMIFS('ON Data'!J:J,'ON Data'!$E:$E,10))</f>
        <v>4400</v>
      </c>
      <c r="D25" s="309"/>
      <c r="E25" s="310">
        <f xml:space="preserve">
IF($A$4&lt;=12,SUMIFS('ON Data'!O:O,'ON Data'!$D:$D,$A$4,'ON Data'!$E:$E,10),SUMIFS('ON Data'!O:O,'ON Data'!$E:$E,10))</f>
        <v>0</v>
      </c>
      <c r="F25" s="327">
        <f xml:space="preserve">
IF($A$4&lt;=12,SUMIFS('ON Data'!AW:AW,'ON Data'!$D:$D,$A$4,'ON Data'!$E:$E,10),SUMIFS('ON Data'!AW:AW,'ON Data'!$E:$E,10))</f>
        <v>0</v>
      </c>
      <c r="G25" s="330"/>
    </row>
    <row r="26" spans="1:7" x14ac:dyDescent="0.3">
      <c r="A26" s="180" t="s">
        <v>111</v>
      </c>
      <c r="B26" s="200">
        <f xml:space="preserve">
SUM(C26:F26)</f>
        <v>2290.0763358778627</v>
      </c>
      <c r="C26" s="332">
        <f xml:space="preserve">
IF($A$4&lt;=12,SUMIFS('ON Data'!J:J,'ON Data'!$D:$D,$A$4,'ON Data'!$E:$E,11),SUMIFS('ON Data'!J:J,'ON Data'!$E:$E,11))</f>
        <v>2290.0763358778627</v>
      </c>
      <c r="D26" s="309"/>
      <c r="E26" s="311">
        <f xml:space="preserve">
IF($A$4&lt;=12,SUMIFS('ON Data'!O:O,'ON Data'!$D:$D,$A$4,'ON Data'!$E:$E,11),SUMIFS('ON Data'!O:O,'ON Data'!$E:$E,11))</f>
        <v>0</v>
      </c>
      <c r="F26" s="327">
        <f xml:space="preserve">
IF($A$4&lt;=12,SUMIFS('ON Data'!AW:AW,'ON Data'!$D:$D,$A$4,'ON Data'!$E:$E,11),SUMIFS('ON Data'!AW:AW,'ON Data'!$E:$E,11))</f>
        <v>0</v>
      </c>
      <c r="G26" s="330"/>
    </row>
    <row r="27" spans="1:7" x14ac:dyDescent="0.3">
      <c r="A27" s="180" t="s">
        <v>47</v>
      </c>
      <c r="B27" s="221">
        <f xml:space="preserve">
IF(B26=0,0,B25/B26)</f>
        <v>1.9213333333333333</v>
      </c>
      <c r="C27" s="333">
        <f xml:space="preserve">
IF(C26=0,0,C25/C26)</f>
        <v>1.9213333333333333</v>
      </c>
      <c r="D27" s="309"/>
      <c r="E27" s="312">
        <f xml:space="preserve">
IF(E26=0,0,E25/E26)</f>
        <v>0</v>
      </c>
      <c r="F27" s="328">
        <f xml:space="preserve">
IF(F26=0,0,F25/F26)</f>
        <v>0</v>
      </c>
      <c r="G27" s="330"/>
    </row>
    <row r="28" spans="1:7" ht="15" thickBot="1" x14ac:dyDescent="0.35">
      <c r="A28" s="180" t="s">
        <v>110</v>
      </c>
      <c r="B28" s="200">
        <f xml:space="preserve">
SUM(C28:F28)</f>
        <v>-2109.9236641221373</v>
      </c>
      <c r="C28" s="334">
        <f xml:space="preserve">
C26-C25</f>
        <v>-2109.9236641221373</v>
      </c>
      <c r="D28" s="313"/>
      <c r="E28" s="314">
        <f xml:space="preserve">
E26-E25</f>
        <v>0</v>
      </c>
      <c r="F28" s="329">
        <f xml:space="preserve">
F26-F25</f>
        <v>0</v>
      </c>
      <c r="G28" s="330"/>
    </row>
    <row r="29" spans="1:7" x14ac:dyDescent="0.3">
      <c r="A29" s="181"/>
      <c r="B29" s="181"/>
      <c r="C29" s="182"/>
      <c r="D29" s="182"/>
      <c r="E29" s="182"/>
    </row>
    <row r="30" spans="1:7" x14ac:dyDescent="0.3">
      <c r="A30" s="76" t="s">
        <v>73</v>
      </c>
      <c r="B30" s="93"/>
      <c r="C30" s="93"/>
      <c r="D30" s="93"/>
      <c r="E30" s="93"/>
    </row>
    <row r="31" spans="1:7" x14ac:dyDescent="0.3">
      <c r="A31" s="77" t="s">
        <v>108</v>
      </c>
      <c r="B31" s="93"/>
      <c r="C31" s="93"/>
      <c r="D31" s="93"/>
      <c r="E31" s="93"/>
    </row>
    <row r="32" spans="1:7" ht="14.4" customHeight="1" x14ac:dyDescent="0.3">
      <c r="A32" s="217" t="s">
        <v>105</v>
      </c>
      <c r="B32" s="218"/>
      <c r="C32" s="218"/>
      <c r="D32" s="218"/>
      <c r="E32" s="218"/>
    </row>
    <row r="33" spans="1:1" x14ac:dyDescent="0.3">
      <c r="A33" s="219" t="s">
        <v>121</v>
      </c>
    </row>
    <row r="34" spans="1:1" x14ac:dyDescent="0.3">
      <c r="A34" s="219" t="s">
        <v>122</v>
      </c>
    </row>
    <row r="35" spans="1:1" x14ac:dyDescent="0.3">
      <c r="A35" s="219" t="s">
        <v>123</v>
      </c>
    </row>
    <row r="36" spans="1:1" x14ac:dyDescent="0.3">
      <c r="A36" s="219" t="s">
        <v>115</v>
      </c>
    </row>
  </sheetData>
  <mergeCells count="7">
    <mergeCell ref="B3:B4"/>
    <mergeCell ref="A1:F1"/>
    <mergeCell ref="C27:D27"/>
    <mergeCell ref="C28:D28"/>
    <mergeCell ref="C24:D24"/>
    <mergeCell ref="C25:D25"/>
    <mergeCell ref="C26:D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E22">
    <cfRule type="cellIs" dxfId="5" priority="6" operator="greaterThan">
      <formula>1</formula>
    </cfRule>
  </conditionalFormatting>
  <conditionalFormatting sqref="B23:E23">
    <cfRule type="cellIs" dxfId="4" priority="5" operator="greaterThan">
      <formula>0</formula>
    </cfRule>
  </conditionalFormatting>
  <conditionalFormatting sqref="F27">
    <cfRule type="cellIs" dxfId="3" priority="4" operator="greaterThan">
      <formula>1</formula>
    </cfRule>
  </conditionalFormatting>
  <conditionalFormatting sqref="F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3"/>
  <sheetViews>
    <sheetView showGridLines="0" showRowColHeaders="0" workbookViewId="0"/>
  </sheetViews>
  <sheetFormatPr defaultRowHeight="14.4" x14ac:dyDescent="0.3"/>
  <cols>
    <col min="1" max="16384" width="8.88671875" style="162"/>
  </cols>
  <sheetData>
    <row r="1" spans="1:49" x14ac:dyDescent="0.3">
      <c r="A1" s="162" t="s">
        <v>259</v>
      </c>
    </row>
    <row r="2" spans="1:49" x14ac:dyDescent="0.3">
      <c r="A2" s="166" t="s">
        <v>145</v>
      </c>
    </row>
    <row r="3" spans="1:49" x14ac:dyDescent="0.3">
      <c r="A3" s="162" t="s">
        <v>77</v>
      </c>
      <c r="B3" s="185">
        <v>2016</v>
      </c>
      <c r="D3" s="163">
        <f>MAX(D5:D1048576)</f>
        <v>3</v>
      </c>
      <c r="F3" s="163">
        <f>SUMIF($E5:$E1048576,"&lt;10",F5:F1048576)</f>
        <v>480821</v>
      </c>
      <c r="G3" s="163">
        <f t="shared" ref="G3:AW3" si="0">SUMIF($E5:$E1048576,"&lt;10",G5:G1048576)</f>
        <v>103697</v>
      </c>
      <c r="H3" s="163">
        <f t="shared" si="0"/>
        <v>0</v>
      </c>
      <c r="I3" s="163">
        <f t="shared" si="0"/>
        <v>0</v>
      </c>
      <c r="J3" s="163">
        <f t="shared" si="0"/>
        <v>0</v>
      </c>
      <c r="K3" s="163">
        <f t="shared" si="0"/>
        <v>300845</v>
      </c>
      <c r="L3" s="163">
        <f t="shared" si="0"/>
        <v>0</v>
      </c>
      <c r="M3" s="163">
        <f t="shared" si="0"/>
        <v>0</v>
      </c>
      <c r="N3" s="163">
        <f t="shared" si="0"/>
        <v>0</v>
      </c>
      <c r="O3" s="163">
        <f t="shared" si="0"/>
        <v>0</v>
      </c>
      <c r="P3" s="163">
        <f t="shared" si="0"/>
        <v>0</v>
      </c>
      <c r="Q3" s="163">
        <f t="shared" si="0"/>
        <v>0</v>
      </c>
      <c r="R3" s="163">
        <f t="shared" si="0"/>
        <v>0</v>
      </c>
      <c r="S3" s="163">
        <f t="shared" si="0"/>
        <v>0</v>
      </c>
      <c r="T3" s="163">
        <f t="shared" si="0"/>
        <v>0</v>
      </c>
      <c r="U3" s="163">
        <f t="shared" si="0"/>
        <v>0</v>
      </c>
      <c r="V3" s="163">
        <f t="shared" si="0"/>
        <v>0</v>
      </c>
      <c r="W3" s="163">
        <f t="shared" si="0"/>
        <v>0</v>
      </c>
      <c r="X3" s="163">
        <f t="shared" si="0"/>
        <v>0</v>
      </c>
      <c r="Y3" s="163">
        <f t="shared" si="0"/>
        <v>0</v>
      </c>
      <c r="Z3" s="163">
        <f t="shared" si="0"/>
        <v>0</v>
      </c>
      <c r="AA3" s="163">
        <f t="shared" si="0"/>
        <v>0</v>
      </c>
      <c r="AB3" s="163">
        <f t="shared" si="0"/>
        <v>0</v>
      </c>
      <c r="AC3" s="163">
        <f t="shared" si="0"/>
        <v>0</v>
      </c>
      <c r="AD3" s="163">
        <f t="shared" si="0"/>
        <v>0</v>
      </c>
      <c r="AE3" s="163">
        <f t="shared" si="0"/>
        <v>0</v>
      </c>
      <c r="AF3" s="163">
        <f t="shared" si="0"/>
        <v>0</v>
      </c>
      <c r="AG3" s="163">
        <f t="shared" si="0"/>
        <v>0</v>
      </c>
      <c r="AH3" s="163">
        <f t="shared" si="0"/>
        <v>0</v>
      </c>
      <c r="AI3" s="163">
        <f t="shared" si="0"/>
        <v>0</v>
      </c>
      <c r="AJ3" s="163">
        <f t="shared" si="0"/>
        <v>0</v>
      </c>
      <c r="AK3" s="163">
        <f t="shared" si="0"/>
        <v>0</v>
      </c>
      <c r="AL3" s="163">
        <f t="shared" si="0"/>
        <v>0</v>
      </c>
      <c r="AM3" s="163">
        <f t="shared" si="0"/>
        <v>0</v>
      </c>
      <c r="AN3" s="163">
        <f t="shared" si="0"/>
        <v>0</v>
      </c>
      <c r="AO3" s="163">
        <f t="shared" si="0"/>
        <v>0</v>
      </c>
      <c r="AP3" s="163">
        <f t="shared" si="0"/>
        <v>0</v>
      </c>
      <c r="AQ3" s="163">
        <f t="shared" si="0"/>
        <v>0</v>
      </c>
      <c r="AR3" s="163">
        <f t="shared" si="0"/>
        <v>0</v>
      </c>
      <c r="AS3" s="163">
        <f t="shared" si="0"/>
        <v>0</v>
      </c>
      <c r="AT3" s="163">
        <f t="shared" si="0"/>
        <v>0</v>
      </c>
      <c r="AU3" s="163">
        <f t="shared" si="0"/>
        <v>0</v>
      </c>
      <c r="AV3" s="163">
        <f t="shared" si="0"/>
        <v>0</v>
      </c>
      <c r="AW3" s="163">
        <f t="shared" si="0"/>
        <v>76279</v>
      </c>
    </row>
    <row r="4" spans="1:49" x14ac:dyDescent="0.3">
      <c r="A4" s="162" t="s">
        <v>78</v>
      </c>
      <c r="B4" s="185">
        <v>1</v>
      </c>
      <c r="C4" s="164" t="s">
        <v>3</v>
      </c>
      <c r="D4" s="165" t="s">
        <v>42</v>
      </c>
      <c r="E4" s="165" t="s">
        <v>76</v>
      </c>
      <c r="F4" s="165" t="s">
        <v>2</v>
      </c>
      <c r="G4" s="165">
        <v>0</v>
      </c>
      <c r="H4" s="165">
        <v>25</v>
      </c>
      <c r="I4" s="165">
        <v>99</v>
      </c>
      <c r="J4" s="165">
        <v>100</v>
      </c>
      <c r="K4" s="165">
        <v>101</v>
      </c>
      <c r="L4" s="165">
        <v>102</v>
      </c>
      <c r="M4" s="165">
        <v>103</v>
      </c>
      <c r="N4" s="165">
        <v>203</v>
      </c>
      <c r="O4" s="165">
        <v>302</v>
      </c>
      <c r="P4" s="165">
        <v>303</v>
      </c>
      <c r="Q4" s="165">
        <v>304</v>
      </c>
      <c r="R4" s="165">
        <v>305</v>
      </c>
      <c r="S4" s="165">
        <v>306</v>
      </c>
      <c r="T4" s="165">
        <v>407</v>
      </c>
      <c r="U4" s="165">
        <v>408</v>
      </c>
      <c r="V4" s="165">
        <v>409</v>
      </c>
      <c r="W4" s="165">
        <v>410</v>
      </c>
      <c r="X4" s="165">
        <v>415</v>
      </c>
      <c r="Y4" s="165">
        <v>416</v>
      </c>
      <c r="Z4" s="165">
        <v>418</v>
      </c>
      <c r="AA4" s="165">
        <v>419</v>
      </c>
      <c r="AB4" s="165">
        <v>420</v>
      </c>
      <c r="AC4" s="165">
        <v>421</v>
      </c>
      <c r="AD4" s="165">
        <v>520</v>
      </c>
      <c r="AE4" s="165">
        <v>521</v>
      </c>
      <c r="AF4" s="165">
        <v>522</v>
      </c>
      <c r="AG4" s="165">
        <v>523</v>
      </c>
      <c r="AH4" s="165">
        <v>524</v>
      </c>
      <c r="AI4" s="165">
        <v>525</v>
      </c>
      <c r="AJ4" s="165">
        <v>526</v>
      </c>
      <c r="AK4" s="165">
        <v>527</v>
      </c>
      <c r="AL4" s="165">
        <v>528</v>
      </c>
      <c r="AM4" s="165">
        <v>629</v>
      </c>
      <c r="AN4" s="165">
        <v>630</v>
      </c>
      <c r="AO4" s="165">
        <v>636</v>
      </c>
      <c r="AP4" s="165">
        <v>637</v>
      </c>
      <c r="AQ4" s="165">
        <v>640</v>
      </c>
      <c r="AR4" s="165">
        <v>642</v>
      </c>
      <c r="AS4" s="165">
        <v>743</v>
      </c>
      <c r="AT4" s="165">
        <v>745</v>
      </c>
      <c r="AU4" s="165">
        <v>746</v>
      </c>
      <c r="AV4" s="165">
        <v>747</v>
      </c>
      <c r="AW4" s="165">
        <v>930</v>
      </c>
    </row>
    <row r="5" spans="1:49" x14ac:dyDescent="0.3">
      <c r="A5" s="162" t="s">
        <v>79</v>
      </c>
      <c r="B5" s="185">
        <v>2</v>
      </c>
      <c r="C5" s="162">
        <v>46</v>
      </c>
      <c r="D5" s="162">
        <v>1</v>
      </c>
      <c r="E5" s="162">
        <v>1</v>
      </c>
      <c r="F5" s="162">
        <v>2</v>
      </c>
      <c r="G5" s="162">
        <v>0</v>
      </c>
      <c r="H5" s="162">
        <v>0</v>
      </c>
      <c r="I5" s="162">
        <v>0</v>
      </c>
      <c r="J5" s="162">
        <v>0</v>
      </c>
      <c r="K5" s="162">
        <v>1</v>
      </c>
      <c r="L5" s="162">
        <v>0</v>
      </c>
      <c r="M5" s="162">
        <v>0</v>
      </c>
      <c r="N5" s="162">
        <v>0</v>
      </c>
      <c r="O5" s="162">
        <v>0</v>
      </c>
      <c r="P5" s="162">
        <v>0</v>
      </c>
      <c r="Q5" s="162">
        <v>0</v>
      </c>
      <c r="R5" s="162">
        <v>0</v>
      </c>
      <c r="S5" s="162">
        <v>0</v>
      </c>
      <c r="T5" s="162">
        <v>0</v>
      </c>
      <c r="U5" s="162">
        <v>0</v>
      </c>
      <c r="V5" s="162">
        <v>0</v>
      </c>
      <c r="W5" s="162">
        <v>0</v>
      </c>
      <c r="X5" s="162">
        <v>0</v>
      </c>
      <c r="Y5" s="162">
        <v>0</v>
      </c>
      <c r="Z5" s="162">
        <v>0</v>
      </c>
      <c r="AA5" s="162">
        <v>0</v>
      </c>
      <c r="AB5" s="162">
        <v>0</v>
      </c>
      <c r="AC5" s="162">
        <v>0</v>
      </c>
      <c r="AD5" s="162">
        <v>0</v>
      </c>
      <c r="AE5" s="162">
        <v>0</v>
      </c>
      <c r="AF5" s="162">
        <v>0</v>
      </c>
      <c r="AG5" s="162">
        <v>0</v>
      </c>
      <c r="AH5" s="162">
        <v>0</v>
      </c>
      <c r="AI5" s="162">
        <v>0</v>
      </c>
      <c r="AJ5" s="162">
        <v>0</v>
      </c>
      <c r="AK5" s="162">
        <v>0</v>
      </c>
      <c r="AL5" s="162">
        <v>0</v>
      </c>
      <c r="AM5" s="162">
        <v>0</v>
      </c>
      <c r="AN5" s="162">
        <v>0</v>
      </c>
      <c r="AO5" s="162">
        <v>0</v>
      </c>
      <c r="AP5" s="162">
        <v>0</v>
      </c>
      <c r="AQ5" s="162">
        <v>0</v>
      </c>
      <c r="AR5" s="162">
        <v>0</v>
      </c>
      <c r="AS5" s="162">
        <v>0</v>
      </c>
      <c r="AT5" s="162">
        <v>0</v>
      </c>
      <c r="AU5" s="162">
        <v>0</v>
      </c>
      <c r="AV5" s="162">
        <v>0</v>
      </c>
      <c r="AW5" s="162">
        <v>1</v>
      </c>
    </row>
    <row r="6" spans="1:49" x14ac:dyDescent="0.3">
      <c r="A6" s="162" t="s">
        <v>80</v>
      </c>
      <c r="B6" s="185">
        <v>3</v>
      </c>
      <c r="C6" s="162">
        <v>46</v>
      </c>
      <c r="D6" s="162">
        <v>1</v>
      </c>
      <c r="E6" s="162">
        <v>2</v>
      </c>
      <c r="F6" s="162">
        <v>336</v>
      </c>
      <c r="G6" s="162">
        <v>0</v>
      </c>
      <c r="H6" s="162">
        <v>0</v>
      </c>
      <c r="I6" s="162">
        <v>0</v>
      </c>
      <c r="J6" s="162">
        <v>0</v>
      </c>
      <c r="K6" s="162">
        <v>168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  <c r="U6" s="162">
        <v>0</v>
      </c>
      <c r="V6" s="162">
        <v>0</v>
      </c>
      <c r="W6" s="162">
        <v>0</v>
      </c>
      <c r="X6" s="162">
        <v>0</v>
      </c>
      <c r="Y6" s="162">
        <v>0</v>
      </c>
      <c r="Z6" s="162">
        <v>0</v>
      </c>
      <c r="AA6" s="162">
        <v>0</v>
      </c>
      <c r="AB6" s="162">
        <v>0</v>
      </c>
      <c r="AC6" s="162">
        <v>0</v>
      </c>
      <c r="AD6" s="162">
        <v>0</v>
      </c>
      <c r="AE6" s="162">
        <v>0</v>
      </c>
      <c r="AF6" s="162">
        <v>0</v>
      </c>
      <c r="AG6" s="162">
        <v>0</v>
      </c>
      <c r="AH6" s="162">
        <v>0</v>
      </c>
      <c r="AI6" s="162">
        <v>0</v>
      </c>
      <c r="AJ6" s="162">
        <v>0</v>
      </c>
      <c r="AK6" s="162">
        <v>0</v>
      </c>
      <c r="AL6" s="162">
        <v>0</v>
      </c>
      <c r="AM6" s="162">
        <v>0</v>
      </c>
      <c r="AN6" s="162">
        <v>0</v>
      </c>
      <c r="AO6" s="162">
        <v>0</v>
      </c>
      <c r="AP6" s="162">
        <v>0</v>
      </c>
      <c r="AQ6" s="162">
        <v>0</v>
      </c>
      <c r="AR6" s="162">
        <v>0</v>
      </c>
      <c r="AS6" s="162">
        <v>0</v>
      </c>
      <c r="AT6" s="162">
        <v>0</v>
      </c>
      <c r="AU6" s="162">
        <v>0</v>
      </c>
      <c r="AV6" s="162">
        <v>0</v>
      </c>
      <c r="AW6" s="162">
        <v>168</v>
      </c>
    </row>
    <row r="7" spans="1:49" x14ac:dyDescent="0.3">
      <c r="A7" s="162" t="s">
        <v>81</v>
      </c>
      <c r="B7" s="185">
        <v>4</v>
      </c>
      <c r="C7" s="162">
        <v>46</v>
      </c>
      <c r="D7" s="162">
        <v>1</v>
      </c>
      <c r="E7" s="162">
        <v>4</v>
      </c>
      <c r="F7" s="162">
        <v>34</v>
      </c>
      <c r="G7" s="162">
        <v>0</v>
      </c>
      <c r="H7" s="162">
        <v>0</v>
      </c>
      <c r="I7" s="162">
        <v>0</v>
      </c>
      <c r="J7" s="162">
        <v>0</v>
      </c>
      <c r="K7" s="162">
        <v>34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62">
        <v>0</v>
      </c>
      <c r="AI7" s="162">
        <v>0</v>
      </c>
      <c r="AJ7" s="162">
        <v>0</v>
      </c>
      <c r="AK7" s="162">
        <v>0</v>
      </c>
      <c r="AL7" s="162">
        <v>0</v>
      </c>
      <c r="AM7" s="162">
        <v>0</v>
      </c>
      <c r="AN7" s="162">
        <v>0</v>
      </c>
      <c r="AO7" s="162">
        <v>0</v>
      </c>
      <c r="AP7" s="162">
        <v>0</v>
      </c>
      <c r="AQ7" s="162">
        <v>0</v>
      </c>
      <c r="AR7" s="162">
        <v>0</v>
      </c>
      <c r="AS7" s="162">
        <v>0</v>
      </c>
      <c r="AT7" s="162">
        <v>0</v>
      </c>
      <c r="AU7" s="162">
        <v>0</v>
      </c>
      <c r="AV7" s="162">
        <v>0</v>
      </c>
      <c r="AW7" s="162">
        <v>0</v>
      </c>
    </row>
    <row r="8" spans="1:49" x14ac:dyDescent="0.3">
      <c r="A8" s="162" t="s">
        <v>82</v>
      </c>
      <c r="B8" s="185">
        <v>5</v>
      </c>
      <c r="C8" s="162">
        <v>46</v>
      </c>
      <c r="D8" s="162">
        <v>1</v>
      </c>
      <c r="E8" s="162">
        <v>5</v>
      </c>
      <c r="F8" s="162">
        <v>473</v>
      </c>
      <c r="G8" s="162">
        <v>473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62">
        <v>0</v>
      </c>
      <c r="AI8" s="162">
        <v>0</v>
      </c>
      <c r="AJ8" s="162">
        <v>0</v>
      </c>
      <c r="AK8" s="162">
        <v>0</v>
      </c>
      <c r="AL8" s="162">
        <v>0</v>
      </c>
      <c r="AM8" s="162">
        <v>0</v>
      </c>
      <c r="AN8" s="162">
        <v>0</v>
      </c>
      <c r="AO8" s="162">
        <v>0</v>
      </c>
      <c r="AP8" s="162">
        <v>0</v>
      </c>
      <c r="AQ8" s="162">
        <v>0</v>
      </c>
      <c r="AR8" s="162">
        <v>0</v>
      </c>
      <c r="AS8" s="162">
        <v>0</v>
      </c>
      <c r="AT8" s="162">
        <v>0</v>
      </c>
      <c r="AU8" s="162">
        <v>0</v>
      </c>
      <c r="AV8" s="162">
        <v>0</v>
      </c>
      <c r="AW8" s="162">
        <v>0</v>
      </c>
    </row>
    <row r="9" spans="1:49" x14ac:dyDescent="0.3">
      <c r="A9" s="162" t="s">
        <v>83</v>
      </c>
      <c r="B9" s="185">
        <v>6</v>
      </c>
      <c r="C9" s="162">
        <v>46</v>
      </c>
      <c r="D9" s="162">
        <v>1</v>
      </c>
      <c r="E9" s="162">
        <v>6</v>
      </c>
      <c r="F9" s="162">
        <v>165580</v>
      </c>
      <c r="G9" s="162">
        <v>43363</v>
      </c>
      <c r="H9" s="162">
        <v>0</v>
      </c>
      <c r="I9" s="162">
        <v>0</v>
      </c>
      <c r="J9" s="162">
        <v>0</v>
      </c>
      <c r="K9" s="162">
        <v>97197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>
        <v>0</v>
      </c>
      <c r="AW9" s="162">
        <v>25020</v>
      </c>
    </row>
    <row r="10" spans="1:49" x14ac:dyDescent="0.3">
      <c r="A10" s="162" t="s">
        <v>84</v>
      </c>
      <c r="B10" s="185">
        <v>7</v>
      </c>
      <c r="C10" s="162">
        <v>46</v>
      </c>
      <c r="D10" s="162">
        <v>1</v>
      </c>
      <c r="E10" s="162">
        <v>11</v>
      </c>
      <c r="F10" s="162">
        <v>763.35877862595419</v>
      </c>
      <c r="G10" s="162">
        <v>0</v>
      </c>
      <c r="H10" s="162">
        <v>0</v>
      </c>
      <c r="I10" s="162">
        <v>0</v>
      </c>
      <c r="J10" s="162">
        <v>763.35877862595419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0</v>
      </c>
      <c r="AD10" s="162">
        <v>0</v>
      </c>
      <c r="AE10" s="162">
        <v>0</v>
      </c>
      <c r="AF10" s="162">
        <v>0</v>
      </c>
      <c r="AG10" s="162">
        <v>0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0</v>
      </c>
      <c r="AN10" s="162">
        <v>0</v>
      </c>
      <c r="AO10" s="162">
        <v>0</v>
      </c>
      <c r="AP10" s="162">
        <v>0</v>
      </c>
      <c r="AQ10" s="162">
        <v>0</v>
      </c>
      <c r="AR10" s="162">
        <v>0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</row>
    <row r="11" spans="1:49" x14ac:dyDescent="0.3">
      <c r="A11" s="162" t="s">
        <v>85</v>
      </c>
      <c r="B11" s="185">
        <v>8</v>
      </c>
      <c r="C11" s="162">
        <v>46</v>
      </c>
      <c r="D11" s="162">
        <v>2</v>
      </c>
      <c r="E11" s="162">
        <v>1</v>
      </c>
      <c r="F11" s="162">
        <v>2</v>
      </c>
      <c r="G11" s="162">
        <v>0</v>
      </c>
      <c r="H11" s="162">
        <v>0</v>
      </c>
      <c r="I11" s="162">
        <v>0</v>
      </c>
      <c r="J11" s="162">
        <v>0</v>
      </c>
      <c r="K11" s="162">
        <v>1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1</v>
      </c>
    </row>
    <row r="12" spans="1:49" x14ac:dyDescent="0.3">
      <c r="A12" s="162" t="s">
        <v>86</v>
      </c>
      <c r="B12" s="185">
        <v>9</v>
      </c>
      <c r="C12" s="162">
        <v>46</v>
      </c>
      <c r="D12" s="162">
        <v>2</v>
      </c>
      <c r="E12" s="162">
        <v>2</v>
      </c>
      <c r="F12" s="162">
        <v>288</v>
      </c>
      <c r="G12" s="162">
        <v>0</v>
      </c>
      <c r="H12" s="162">
        <v>0</v>
      </c>
      <c r="I12" s="162">
        <v>0</v>
      </c>
      <c r="J12" s="162">
        <v>0</v>
      </c>
      <c r="K12" s="162">
        <v>144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144</v>
      </c>
    </row>
    <row r="13" spans="1:49" x14ac:dyDescent="0.3">
      <c r="A13" s="162" t="s">
        <v>87</v>
      </c>
      <c r="B13" s="185">
        <v>10</v>
      </c>
      <c r="C13" s="162">
        <v>46</v>
      </c>
      <c r="D13" s="162">
        <v>2</v>
      </c>
      <c r="E13" s="162">
        <v>4</v>
      </c>
      <c r="F13" s="162">
        <v>34</v>
      </c>
      <c r="G13" s="162">
        <v>0</v>
      </c>
      <c r="H13" s="162">
        <v>0</v>
      </c>
      <c r="I13" s="162">
        <v>0</v>
      </c>
      <c r="J13" s="162">
        <v>0</v>
      </c>
      <c r="K13" s="162">
        <v>34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</row>
    <row r="14" spans="1:49" x14ac:dyDescent="0.3">
      <c r="A14" s="162" t="s">
        <v>88</v>
      </c>
      <c r="B14" s="185">
        <v>11</v>
      </c>
      <c r="C14" s="162">
        <v>46</v>
      </c>
      <c r="D14" s="162">
        <v>2</v>
      </c>
      <c r="E14" s="162">
        <v>5</v>
      </c>
      <c r="F14" s="162">
        <v>386</v>
      </c>
      <c r="G14" s="162">
        <v>386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>
        <v>0</v>
      </c>
      <c r="AW14" s="162">
        <v>0</v>
      </c>
    </row>
    <row r="15" spans="1:49" x14ac:dyDescent="0.3">
      <c r="A15" s="162" t="s">
        <v>89</v>
      </c>
      <c r="B15" s="185">
        <v>12</v>
      </c>
      <c r="C15" s="162">
        <v>46</v>
      </c>
      <c r="D15" s="162">
        <v>2</v>
      </c>
      <c r="E15" s="162">
        <v>6</v>
      </c>
      <c r="F15" s="162">
        <v>153030</v>
      </c>
      <c r="G15" s="162">
        <v>28500</v>
      </c>
      <c r="H15" s="162">
        <v>0</v>
      </c>
      <c r="I15" s="162">
        <v>0</v>
      </c>
      <c r="J15" s="162">
        <v>0</v>
      </c>
      <c r="K15" s="162">
        <v>99193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25337</v>
      </c>
    </row>
    <row r="16" spans="1:49" x14ac:dyDescent="0.3">
      <c r="A16" s="162" t="s">
        <v>77</v>
      </c>
      <c r="B16" s="185">
        <v>2016</v>
      </c>
      <c r="C16" s="162">
        <v>46</v>
      </c>
      <c r="D16" s="162">
        <v>2</v>
      </c>
      <c r="E16" s="162">
        <v>11</v>
      </c>
      <c r="F16" s="162">
        <v>763.35877862595419</v>
      </c>
      <c r="G16" s="162">
        <v>0</v>
      </c>
      <c r="H16" s="162">
        <v>0</v>
      </c>
      <c r="I16" s="162">
        <v>0</v>
      </c>
      <c r="J16" s="162">
        <v>763.35877862595419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</row>
    <row r="17" spans="3:49" x14ac:dyDescent="0.3">
      <c r="C17" s="162">
        <v>46</v>
      </c>
      <c r="D17" s="162">
        <v>3</v>
      </c>
      <c r="E17" s="162">
        <v>1</v>
      </c>
      <c r="F17" s="162">
        <v>2</v>
      </c>
      <c r="G17" s="162">
        <v>0</v>
      </c>
      <c r="H17" s="162">
        <v>0</v>
      </c>
      <c r="I17" s="162">
        <v>0</v>
      </c>
      <c r="J17" s="162">
        <v>0</v>
      </c>
      <c r="K17" s="162">
        <v>1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1</v>
      </c>
    </row>
    <row r="18" spans="3:49" x14ac:dyDescent="0.3">
      <c r="C18" s="162">
        <v>46</v>
      </c>
      <c r="D18" s="162">
        <v>3</v>
      </c>
      <c r="E18" s="162">
        <v>2</v>
      </c>
      <c r="F18" s="162">
        <v>352</v>
      </c>
      <c r="G18" s="162">
        <v>0</v>
      </c>
      <c r="H18" s="162">
        <v>0</v>
      </c>
      <c r="I18" s="162">
        <v>0</v>
      </c>
      <c r="J18" s="162">
        <v>0</v>
      </c>
      <c r="K18" s="162">
        <v>184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168</v>
      </c>
    </row>
    <row r="19" spans="3:49" x14ac:dyDescent="0.3">
      <c r="C19" s="162">
        <v>46</v>
      </c>
      <c r="D19" s="162">
        <v>3</v>
      </c>
      <c r="E19" s="162">
        <v>4</v>
      </c>
      <c r="F19" s="162">
        <v>34</v>
      </c>
      <c r="G19" s="162">
        <v>0</v>
      </c>
      <c r="H19" s="162">
        <v>0</v>
      </c>
      <c r="I19" s="162">
        <v>0</v>
      </c>
      <c r="J19" s="162">
        <v>0</v>
      </c>
      <c r="K19" s="162">
        <v>34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</row>
    <row r="20" spans="3:49" x14ac:dyDescent="0.3">
      <c r="C20" s="162">
        <v>46</v>
      </c>
      <c r="D20" s="162">
        <v>3</v>
      </c>
      <c r="E20" s="162">
        <v>5</v>
      </c>
      <c r="F20" s="162">
        <v>425</v>
      </c>
      <c r="G20" s="162">
        <v>425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</row>
    <row r="21" spans="3:49" x14ac:dyDescent="0.3">
      <c r="C21" s="162">
        <v>46</v>
      </c>
      <c r="D21" s="162">
        <v>3</v>
      </c>
      <c r="E21" s="162">
        <v>6</v>
      </c>
      <c r="F21" s="162">
        <v>159843</v>
      </c>
      <c r="G21" s="162">
        <v>30550</v>
      </c>
      <c r="H21" s="162">
        <v>0</v>
      </c>
      <c r="I21" s="162">
        <v>0</v>
      </c>
      <c r="J21" s="162">
        <v>0</v>
      </c>
      <c r="K21" s="162">
        <v>103854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25439</v>
      </c>
    </row>
    <row r="22" spans="3:49" x14ac:dyDescent="0.3">
      <c r="C22" s="162">
        <v>46</v>
      </c>
      <c r="D22" s="162">
        <v>3</v>
      </c>
      <c r="E22" s="162">
        <v>10</v>
      </c>
      <c r="F22" s="162">
        <v>4400</v>
      </c>
      <c r="G22" s="162">
        <v>0</v>
      </c>
      <c r="H22" s="162">
        <v>0</v>
      </c>
      <c r="I22" s="162">
        <v>0</v>
      </c>
      <c r="J22" s="162">
        <v>4400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</row>
    <row r="23" spans="3:49" x14ac:dyDescent="0.3">
      <c r="C23" s="162">
        <v>46</v>
      </c>
      <c r="D23" s="162">
        <v>3</v>
      </c>
      <c r="E23" s="162">
        <v>11</v>
      </c>
      <c r="F23" s="162">
        <v>763.35877862595419</v>
      </c>
      <c r="G23" s="162">
        <v>0</v>
      </c>
      <c r="H23" s="162">
        <v>0</v>
      </c>
      <c r="I23" s="162">
        <v>0</v>
      </c>
      <c r="J23" s="162">
        <v>763.35877862595419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0</v>
      </c>
      <c r="AS23" s="162">
        <v>0</v>
      </c>
      <c r="AT23" s="162">
        <v>0</v>
      </c>
      <c r="AU23" s="162">
        <v>0</v>
      </c>
      <c r="AV23" s="162">
        <v>0</v>
      </c>
      <c r="AW23" s="16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2016-04-27T14:29:05Z</dcterms:modified>
</cp:coreProperties>
</file>