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31" r:id="rId7"/>
    <sheet name="ON Data" sheetId="432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  <definedName name="Obdobi" localSheetId="7">'ON Data'!$B$3:$B$16</definedName>
    <definedName name="Obdobi" localSheetId="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G9" i="431" l="1"/>
  <c r="C10" i="431"/>
  <c r="D10" i="431"/>
  <c r="E10" i="431"/>
  <c r="F10" i="431"/>
  <c r="G10" i="431"/>
  <c r="H10" i="431"/>
  <c r="I10" i="431"/>
  <c r="J10" i="431"/>
  <c r="K10" i="431"/>
  <c r="L10" i="431"/>
  <c r="M10" i="431"/>
  <c r="N10" i="431"/>
  <c r="O10" i="431"/>
  <c r="P10" i="431"/>
  <c r="Q10" i="431"/>
  <c r="C11" i="431"/>
  <c r="D11" i="431"/>
  <c r="E11" i="431"/>
  <c r="F11" i="431"/>
  <c r="G11" i="431"/>
  <c r="H11" i="431"/>
  <c r="I11" i="431"/>
  <c r="J11" i="431"/>
  <c r="K11" i="431"/>
  <c r="L11" i="431"/>
  <c r="M11" i="431"/>
  <c r="N11" i="431"/>
  <c r="O11" i="431"/>
  <c r="P11" i="431"/>
  <c r="Q11" i="431"/>
  <c r="Q9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C9" i="431"/>
  <c r="D9" i="431"/>
  <c r="E9" i="431"/>
  <c r="F9" i="431"/>
  <c r="H9" i="431"/>
  <c r="I9" i="431"/>
  <c r="J9" i="431"/>
  <c r="K9" i="431"/>
  <c r="L9" i="431"/>
  <c r="M9" i="431"/>
  <c r="N9" i="431"/>
  <c r="O9" i="431"/>
  <c r="P9" i="431"/>
  <c r="O8" i="431"/>
  <c r="J8" i="431"/>
  <c r="P8" i="431"/>
  <c r="I8" i="431"/>
  <c r="E8" i="431"/>
  <c r="H8" i="431"/>
  <c r="K8" i="431"/>
  <c r="F8" i="431"/>
  <c r="M8" i="431"/>
  <c r="D8" i="431"/>
  <c r="N8" i="431"/>
  <c r="Q8" i="431"/>
  <c r="C8" i="431"/>
  <c r="L8" i="431"/>
  <c r="G8" i="431"/>
  <c r="R12" i="431" l="1"/>
  <c r="S12" i="431"/>
  <c r="S9" i="431"/>
  <c r="R9" i="431"/>
  <c r="R11" i="431"/>
  <c r="S11" i="431"/>
  <c r="R10" i="431"/>
  <c r="S10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7" i="414" l="1"/>
  <c r="A10" i="383" l="1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B11" i="339" l="1"/>
  <c r="J11" i="339" s="1"/>
  <c r="I11" i="339" l="1"/>
  <c r="F11" i="339"/>
  <c r="H11" i="339" l="1"/>
  <c r="G11" i="339"/>
  <c r="A11" i="414"/>
  <c r="A12" i="414"/>
  <c r="A4" i="414"/>
  <c r="A6" i="339" l="1"/>
  <c r="A5" i="339"/>
  <c r="C15" i="414"/>
  <c r="C12" i="414"/>
  <c r="D4" i="414"/>
  <c r="D15" i="414"/>
  <c r="D12" i="414"/>
  <c r="C11" i="414" l="1"/>
  <c r="C7" i="414"/>
  <c r="E11" i="414" l="1"/>
  <c r="E7" i="414"/>
  <c r="E12" i="339" l="1"/>
  <c r="C12" i="339"/>
  <c r="F12" i="339" s="1"/>
  <c r="B12" i="339"/>
  <c r="J12" i="339" s="1"/>
  <c r="C16" i="414"/>
  <c r="D16" i="414"/>
  <c r="I12" i="339" l="1"/>
  <c r="I13" i="339" s="1"/>
  <c r="F13" i="339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D14" i="414"/>
  <c r="C4" i="414"/>
  <c r="J13" i="339" l="1"/>
  <c r="B15" i="339"/>
  <c r="H13" i="339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<sst xmlns="http://schemas.openxmlformats.org/spreadsheetml/2006/main" count="435" uniqueCount="273">
  <si>
    <t>NS</t>
  </si>
  <si>
    <t>Účet</t>
  </si>
  <si>
    <t>Celkem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</si>
  <si>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</si>
  <si>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</si>
  <si>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</si>
  <si>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</si>
  <si>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</si>
  <si>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</si>
  <si>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</si>
  <si>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</si>
  <si>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</si>
  <si>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</si>
  <si>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</si>
  <si>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</si>
  <si>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</si>
  <si>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</si>
  <si>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</si>
  <si>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</si>
  <si>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</si>
  <si>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</si>
  <si>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</si>
  <si>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</si>
  <si>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</si>
  <si>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</si>
  <si>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</si>
  <si>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</si>
  <si>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</si>
  <si>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</si>
  <si>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</si>
  <si>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</si>
  <si>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</si>
  <si>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</si>
  <si>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</si>
  <si>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</si>
  <si>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</si>
  <si>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</si>
  <si>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</si>
  <si>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</si>
  <si>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</si>
  <si>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</si>
  <si>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</si>
  <si>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</si>
  <si>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</si>
  <si>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</si>
  <si>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</si>
  <si>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</si>
  <si>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</si>
  <si>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</si>
  <si>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</si>
  <si>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</si>
  <si>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</si>
  <si>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</si>
  <si>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</si>
  <si>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</si>
  <si>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</si>
  <si>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</si>
  <si>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</si>
  <si>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</si>
  <si>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</si>
  <si>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</si>
  <si>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</si>
  <si>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</si>
  <si>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</si>
  <si>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</si>
  <si>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</si>
  <si>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</si>
  <si>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</si>
  <si>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</si>
  <si>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</si>
  <si>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</si>
  <si>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</si>
  <si>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</si>
  <si>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</si>
  <si>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</si>
  <si>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</si>
  <si>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</si>
  <si>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</si>
  <si>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</si>
  <si>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</si>
  <si>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</si>
  <si>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</si>
  <si>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</si>
  <si>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</si>
  <si>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</si>
  <si>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</si>
  <si>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</si>
  <si>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</si>
  <si>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</si>
  <si>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</si>
  <si>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</si>
  <si>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</si>
  <si>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</si>
  <si>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</si>
  <si>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</si>
  <si>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</si>
  <si>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</si>
  <si>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</si>
  <si>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</si>
  <si>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</si>
  <si>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</si>
  <si>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</si>
  <si>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</si>
  <si>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</si>
  <si>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</si>
  <si>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</si>
  <si>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</si>
  <si>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</si>
  <si>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</si>
  <si>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</si>
  <si>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</si>
  <si>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</si>
  <si>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</si>
  <si>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</si>
  <si>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</si>
  <si>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</si>
  <si>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</si>
  <si>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</si>
  <si>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</si>
  <si>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</si>
  <si>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</si>
  <si>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</si>
  <si>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</si>
  <si>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</si>
  <si>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</si>
  <si>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</si>
  <si>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</si>
  <si>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</si>
  <si>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</si>
  <si>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</si>
  <si>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</si>
  <si>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</si>
  <si>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</si>
  <si>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</si>
  <si>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</si>
  <si>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</si>
  <si>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</si>
  <si>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</si>
  <si>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</si>
  <si>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</si>
  <si>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</si>
  <si>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</si>
  <si>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</si>
  <si>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</si>
  <si>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</si>
  <si>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</si>
  <si>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</si>
  <si>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</si>
  <si>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</si>
  <si>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</si>
  <si>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</si>
  <si>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</si>
  <si>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</si>
  <si>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</si>
  <si>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</si>
  <si>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</si>
  <si>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</si>
  <si>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</si>
  <si>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</si>
  <si>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</si>
  <si>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</si>
  <si>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Transplantační centrum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</si>
  <si>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</si>
  <si>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</si>
  <si>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</si>
  <si>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</si>
  <si>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</si>
  <si>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</si>
  <si>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</si>
  <si>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50115     Zdravotnické prostředky</t>
  </si>
  <si>
    <t>50115011     IUTN - ostat.nákl.PZT (Z515)</t>
  </si>
  <si>
    <t>50115064     ZPr - šicí materiál (Z529)</t>
  </si>
  <si>
    <t>--</t>
  </si>
  <si>
    <t>50117     Všeobecný materiál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</si>
  <si>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</si>
  <si>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</si>
  <si>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</si>
  <si>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</si>
  <si>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50118     Náhradní díly</t>
  </si>
  <si>
    <t>50118007     ND - doprava (sk.A50)</t>
  </si>
  <si>
    <t>50160     Knihy a časopisy</t>
  </si>
  <si>
    <t>50160002     knihy a časopisy</t>
  </si>
  <si>
    <t>50210     Spotřeba energie</t>
  </si>
  <si>
    <t>50210072     vodné, stočné</t>
  </si>
  <si>
    <t>50210073     pára</t>
  </si>
  <si>
    <t>51     Služby</t>
  </si>
  <si>
    <t>51102     Technika a stavby</t>
  </si>
  <si>
    <t>51102024     opravy - správa budov</t>
  </si>
  <si>
    <t>51102025     opravy - hl.energetik</t>
  </si>
  <si>
    <t>51102027     opravy a údržba vozového parku</t>
  </si>
  <si>
    <t>51201     Cestovné zaměstnanců-tuzemské</t>
  </si>
  <si>
    <t>51201000     cestovné z mezd</t>
  </si>
  <si>
    <t>51802     Spoje</t>
  </si>
  <si>
    <t>51802003     telekom.styk</t>
  </si>
  <si>
    <t>51804     Nájemné</t>
  </si>
  <si>
    <t>51804002     náj. nebytových prostor</t>
  </si>
  <si>
    <t>51806     Úklid, odpad, desinf., deratizace</t>
  </si>
  <si>
    <t>51806001     úklid. služby - paušál</t>
  </si>
  <si>
    <t>51806004     popl. za DDD a ostatní služby</t>
  </si>
  <si>
    <t>51808     Revize a smluvní servisy majetku</t>
  </si>
  <si>
    <t>51808011     revize, sml.servis - doprava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</si>
  <si>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</si>
  <si>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</si>
  <si>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</si>
  <si>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</si>
  <si>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</si>
  <si>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</si>
  <si>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</si>
  <si>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</si>
  <si>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</si>
  <si>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</si>
  <si>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</si>
  <si>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</si>
  <si>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</si>
  <si>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</si>
  <si>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</si>
  <si>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</si>
  <si>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</si>
  <si>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</si>
  <si>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</si>
  <si>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</si>
  <si>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</si>
  <si>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</si>
  <si>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</si>
  <si>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</si>
  <si>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</si>
  <si>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</si>
  <si>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</si>
  <si>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</si>
  <si>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54911     Pojištění (sml.418/2006)</t>
  </si>
  <si>
    <t>54911003     pojištění - vozidla(zák., havar.) (C,D 9402)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</si>
  <si>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</si>
  <si>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</si>
  <si>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</si>
  <si>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</si>
  <si>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</si>
  <si>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</si>
  <si>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6     Účtová třída 6 - Výnosy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</si>
  <si>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</si>
  <si>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</si>
  <si>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</si>
  <si>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</si>
  <si>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</si>
  <si>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</si>
  <si>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</si>
  <si>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</si>
  <si>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</si>
  <si>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79910     VPN - informační technologie</t>
  </si>
  <si>
    <t>79910001     výkony IT - fixní náklady (z 9086)</t>
  </si>
  <si>
    <t>8     Účtová třída 8 - Vnitropodnikové účetnictví - výnosy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</si>
  <si>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</si>
  <si>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</si>
  <si>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</si>
  <si>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</si>
  <si>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</si>
  <si>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>TC: Transplantační centrum</t>
  </si>
  <si>
    <t/>
  </si>
  <si>
    <t>50115011 - IUTN - ostat.nákl.PZT (Z515)</t>
  </si>
  <si>
    <t>TC: Transplantační centrum Celkem</t>
  </si>
  <si>
    <t>SumaKL</t>
  </si>
  <si>
    <t>4692</t>
  </si>
  <si>
    <t>Transplantační centrum: transplantační centrum + k</t>
  </si>
  <si>
    <t>Transplantační centrum: transplantační centrum + k Celkem</t>
  </si>
  <si>
    <t>SumaNS</t>
  </si>
  <si>
    <t>mezeraNS</t>
  </si>
  <si>
    <t>4 THP</t>
  </si>
  <si>
    <t>1 Celkem</t>
  </si>
  <si>
    <t>2 Celkem</t>
  </si>
  <si>
    <t>3 Celkem</t>
  </si>
  <si>
    <t>ON Data</t>
  </si>
  <si>
    <t>lékaři pod odborným dozorem</t>
  </si>
  <si>
    <t>lékaři specialisté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</si>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</sst>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39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8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7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49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0" fontId="31" fillId="2" borderId="72" xfId="74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4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6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3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7" xfId="0" applyNumberFormat="1" applyFont="1" applyBorder="1" applyAlignment="1">
      <alignment horizontal="right" vertical="center"/>
    </xf>
    <xf numFmtId="173" fontId="39" fillId="0" borderId="77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78" xfId="0" applyNumberFormat="1" applyFont="1" applyBorder="1" applyAlignment="1">
      <alignment vertical="center"/>
    </xf>
    <xf numFmtId="173" fontId="39" fillId="0" borderId="77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4" fontId="39" fillId="0" borderId="80" xfId="0" applyNumberFormat="1" applyFont="1" applyBorder="1" applyAlignment="1">
      <alignment vertical="center"/>
    </xf>
    <xf numFmtId="174" fontId="39" fillId="0" borderId="77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3" xfId="0" applyNumberFormat="1" applyFont="1" applyBorder="1" applyAlignment="1">
      <alignment vertical="center"/>
    </xf>
    <xf numFmtId="0" fontId="32" fillId="0" borderId="78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1" xfId="0" applyNumberFormat="1" applyFont="1" applyBorder="1" applyAlignment="1">
      <alignment horizontal="right" vertical="center"/>
    </xf>
    <xf numFmtId="175" fontId="39" fillId="0" borderId="60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59" xfId="0" applyNumberFormat="1" applyFont="1" applyBorder="1" applyAlignment="1">
      <alignment vertical="center"/>
    </xf>
    <xf numFmtId="176" fontId="39" fillId="0" borderId="5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3" fillId="9" borderId="64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0" fontId="40" fillId="9" borderId="6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6" xfId="0" applyNumberFormat="1" applyFont="1" applyFill="1" applyBorder="1"/>
    <xf numFmtId="3" fontId="0" fillId="7" borderId="54" xfId="0" applyNumberFormat="1" applyFont="1" applyFill="1" applyBorder="1"/>
    <xf numFmtId="0" fontId="0" fillId="0" borderId="87" xfId="0" applyNumberFormat="1" applyFont="1" applyBorder="1"/>
    <xf numFmtId="3" fontId="0" fillId="0" borderId="88" xfId="0" applyNumberFormat="1" applyFont="1" applyBorder="1"/>
    <xf numFmtId="0" fontId="0" fillId="7" borderId="87" xfId="0" applyNumberFormat="1" applyFont="1" applyFill="1" applyBorder="1"/>
    <xf numFmtId="3" fontId="0" fillId="7" borderId="88" xfId="0" applyNumberFormat="1" applyFont="1" applyFill="1" applyBorder="1"/>
    <xf numFmtId="0" fontId="51" fillId="8" borderId="87" xfId="0" applyNumberFormat="1" applyFont="1" applyFill="1" applyBorder="1"/>
    <xf numFmtId="3" fontId="51" fillId="8" borderId="88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0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0" fontId="2" fillId="0" borderId="2" xfId="26" applyFont="1" applyFill="1" applyBorder="1" applyAlignment="1"/>
    <xf numFmtId="3" fontId="53" fillId="4" borderId="66" xfId="0" applyNumberFormat="1" applyFont="1" applyFill="1" applyBorder="1" applyAlignment="1">
      <alignment horizontal="center" vertical="center"/>
    </xf>
    <xf numFmtId="3" fontId="53" fillId="4" borderId="75" xfId="0" applyNumberFormat="1" applyFont="1" applyFill="1" applyBorder="1" applyAlignment="1">
      <alignment horizontal="center" vertical="center"/>
    </xf>
    <xf numFmtId="9" fontId="53" fillId="4" borderId="66" xfId="0" applyNumberFormat="1" applyFont="1" applyFill="1" applyBorder="1" applyAlignment="1">
      <alignment horizontal="center" vertical="center"/>
    </xf>
    <xf numFmtId="9" fontId="53" fillId="4" borderId="75" xfId="0" applyNumberFormat="1" applyFont="1" applyFill="1" applyBorder="1" applyAlignment="1">
      <alignment horizontal="center" vertical="center"/>
    </xf>
    <xf numFmtId="3" fontId="53" fillId="4" borderId="67" xfId="0" applyNumberFormat="1" applyFont="1" applyFill="1" applyBorder="1" applyAlignment="1">
      <alignment horizontal="center" vertical="center" wrapText="1"/>
    </xf>
    <xf numFmtId="3" fontId="53" fillId="4" borderId="76" xfId="0" applyNumberFormat="1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>
      <alignment horizontal="center" vertical="center" wrapText="1"/>
    </xf>
    <xf numFmtId="0" fontId="53" fillId="9" borderId="85" xfId="0" applyFont="1" applyFill="1" applyBorder="1" applyAlignment="1">
      <alignment horizontal="center"/>
    </xf>
    <xf numFmtId="0" fontId="53" fillId="9" borderId="84" xfId="0" applyFont="1" applyFill="1" applyBorder="1" applyAlignment="1">
      <alignment horizontal="center"/>
    </xf>
    <xf numFmtId="0" fontId="53" fillId="9" borderId="65" xfId="0" applyFont="1" applyFill="1" applyBorder="1" applyAlignment="1">
      <alignment horizontal="center"/>
    </xf>
    <xf numFmtId="0" fontId="53" fillId="2" borderId="67" xfId="0" applyFont="1" applyFill="1" applyBorder="1" applyAlignment="1">
      <alignment horizontal="center" vertical="center" wrapText="1"/>
    </xf>
    <xf numFmtId="0" fontId="53" fillId="2" borderId="76" xfId="0" applyFont="1" applyFill="1" applyBorder="1" applyAlignment="1">
      <alignment horizontal="center" vertical="center" wrapText="1"/>
    </xf>
    <xf numFmtId="0" fontId="39" fillId="4" borderId="73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7" fillId="2" borderId="40" xfId="0" applyFont="1" applyFill="1" applyBorder="1" applyAlignment="1">
      <alignment horizontal="center"/>
    </xf>
    <xf numFmtId="0" fontId="57" fillId="2" borderId="70" xfId="0" applyFont="1" applyFill="1" applyBorder="1" applyAlignment="1">
      <alignment horizontal="center"/>
    </xf>
    <xf numFmtId="0" fontId="57" fillId="2" borderId="62" xfId="0" applyFont="1" applyFill="1" applyBorder="1" applyAlignment="1">
      <alignment horizontal="center"/>
    </xf>
    <xf numFmtId="0" fontId="57" fillId="4" borderId="24" xfId="0" applyFont="1" applyFill="1" applyBorder="1" applyAlignment="1">
      <alignment horizontal="center"/>
    </xf>
    <xf numFmtId="0" fontId="57" fillId="4" borderId="57" xfId="0" applyFont="1" applyFill="1" applyBorder="1" applyAlignment="1">
      <alignment horizontal="center"/>
    </xf>
    <xf numFmtId="0" fontId="57" fillId="4" borderId="58" xfId="0" applyFont="1" applyFill="1" applyBorder="1" applyAlignment="1">
      <alignment horizontal="center"/>
    </xf>
    <xf numFmtId="0" fontId="57" fillId="2" borderId="24" xfId="0" applyFont="1" applyFill="1" applyBorder="1" applyAlignment="1">
      <alignment horizontal="center"/>
    </xf>
    <xf numFmtId="0" fontId="57" fillId="2" borderId="57" xfId="0" applyFont="1" applyFill="1" applyBorder="1" applyAlignment="1">
      <alignment horizontal="center"/>
    </xf>
    <xf numFmtId="0" fontId="57" fillId="2" borderId="58" xfId="0" applyFont="1" applyFill="1" applyBorder="1" applyAlignment="1">
      <alignment horizontal="center"/>
    </xf>
    <xf numFmtId="166" fontId="39" fillId="2" borderId="59" xfId="0" applyNumberFormat="1" applyFont="1" applyFill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53" fillId="4" borderId="74" xfId="0" applyFont="1" applyFill="1" applyBorder="1" applyAlignment="1">
      <alignment horizontal="center" vertical="center" wrapText="1"/>
    </xf>
    <xf numFmtId="0" fontId="53" fillId="4" borderId="82" xfId="0" applyFont="1" applyFill="1" applyBorder="1" applyAlignment="1">
      <alignment horizontal="center" vertical="center" wrapText="1"/>
    </xf>
    <xf numFmtId="0" fontId="53" fillId="4" borderId="66" xfId="0" applyFont="1" applyFill="1" applyBorder="1" applyAlignment="1">
      <alignment horizontal="center" vertical="center" wrapText="1"/>
    </xf>
    <xf numFmtId="0" fontId="53" fillId="4" borderId="75" xfId="0" applyFont="1" applyFill="1" applyBorder="1" applyAlignment="1">
      <alignment horizontal="center"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3" fillId="4" borderId="7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3" fillId="2" borderId="74" xfId="0" applyNumberFormat="1" applyFont="1" applyFill="1" applyBorder="1" applyAlignment="1">
      <alignment horizontal="center" vertical="center" wrapText="1"/>
    </xf>
    <xf numFmtId="168" fontId="53" fillId="2" borderId="82" xfId="0" applyNumberFormat="1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53" fillId="2" borderId="75" xfId="0" applyFont="1" applyFill="1" applyBorder="1" applyAlignment="1">
      <alignment horizontal="center" vertical="center" wrapText="1"/>
    </xf>
    <xf numFmtId="3" fontId="33" fillId="10" borderId="90" xfId="0" applyNumberFormat="1" applyFont="1" applyFill="1" applyBorder="1" applyAlignment="1">
      <alignment horizontal="right" vertical="top"/>
    </xf>
    <xf numFmtId="3" fontId="33" fillId="10" borderId="91" xfId="0" applyNumberFormat="1" applyFont="1" applyFill="1" applyBorder="1" applyAlignment="1">
      <alignment horizontal="right" vertical="top"/>
    </xf>
    <xf numFmtId="177" fontId="33" fillId="10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7" fontId="33" fillId="10" borderId="93" xfId="0" applyNumberFormat="1" applyFont="1" applyFill="1" applyBorder="1" applyAlignment="1">
      <alignment horizontal="right" vertical="top"/>
    </xf>
    <xf numFmtId="3" fontId="35" fillId="10" borderId="95" xfId="0" applyNumberFormat="1" applyFont="1" applyFill="1" applyBorder="1" applyAlignment="1">
      <alignment horizontal="right" vertical="top"/>
    </xf>
    <xf numFmtId="3" fontId="35" fillId="10" borderId="96" xfId="0" applyNumberFormat="1" applyFont="1" applyFill="1" applyBorder="1" applyAlignment="1">
      <alignment horizontal="right" vertical="top"/>
    </xf>
    <xf numFmtId="177" fontId="35" fillId="10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7" fontId="35" fillId="10" borderId="98" xfId="0" applyNumberFormat="1" applyFont="1" applyFill="1" applyBorder="1" applyAlignment="1">
      <alignment horizontal="right" vertical="top"/>
    </xf>
    <xf numFmtId="0" fontId="33" fillId="10" borderId="92" xfId="0" applyFont="1" applyFill="1" applyBorder="1" applyAlignment="1">
      <alignment horizontal="right" vertical="top"/>
    </xf>
    <xf numFmtId="0" fontId="33" fillId="10" borderId="93" xfId="0" applyFont="1" applyFill="1" applyBorder="1" applyAlignment="1">
      <alignment horizontal="right" vertical="top"/>
    </xf>
    <xf numFmtId="0" fontId="35" fillId="10" borderId="97" xfId="0" applyFont="1" applyFill="1" applyBorder="1" applyAlignment="1">
      <alignment horizontal="right" vertical="top"/>
    </xf>
    <xf numFmtId="0" fontId="35" fillId="10" borderId="98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0" fontId="35" fillId="0" borderId="101" xfId="0" applyFont="1" applyBorder="1" applyAlignment="1">
      <alignment horizontal="right" vertical="top"/>
    </xf>
    <xf numFmtId="177" fontId="35" fillId="10" borderId="102" xfId="0" applyNumberFormat="1" applyFont="1" applyFill="1" applyBorder="1" applyAlignment="1">
      <alignment horizontal="right" vertical="top"/>
    </xf>
    <xf numFmtId="0" fontId="37" fillId="11" borderId="89" xfId="0" applyFont="1" applyFill="1" applyBorder="1" applyAlignment="1">
      <alignment vertical="top"/>
    </xf>
    <xf numFmtId="0" fontId="37" fillId="11" borderId="89" xfId="0" applyFont="1" applyFill="1" applyBorder="1" applyAlignment="1">
      <alignment vertical="top" indent="2"/>
    </xf>
    <xf numFmtId="0" fontId="37" fillId="11" borderId="89" xfId="0" applyFont="1" applyFill="1" applyBorder="1" applyAlignment="1">
      <alignment vertical="top" indent="4"/>
    </xf>
    <xf numFmtId="0" fontId="38" fillId="11" borderId="94" xfId="0" applyFont="1" applyFill="1" applyBorder="1" applyAlignment="1">
      <alignment vertical="top" indent="6"/>
    </xf>
    <xf numFmtId="0" fontId="37" fillId="11" borderId="89" xfId="0" applyFont="1" applyFill="1" applyBorder="1" applyAlignment="1">
      <alignment vertical="top" indent="8"/>
    </xf>
    <xf numFmtId="0" fontId="38" fillId="11" borderId="94" xfId="0" applyFont="1" applyFill="1" applyBorder="1" applyAlignment="1">
      <alignment vertical="top" indent="2"/>
    </xf>
    <xf numFmtId="0" fontId="37" fillId="11" borderId="89" xfId="0" applyFont="1" applyFill="1" applyBorder="1" applyAlignment="1">
      <alignment vertical="top" indent="6"/>
    </xf>
    <xf numFmtId="0" fontId="38" fillId="11" borderId="94" xfId="0" applyFont="1" applyFill="1" applyBorder="1" applyAlignment="1">
      <alignment vertical="top" indent="4"/>
    </xf>
    <xf numFmtId="0" fontId="32" fillId="11" borderId="89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6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8"/>
      <tableStyleElement type="headerRow" dxfId="67"/>
      <tableStyleElement type="totalRow" dxfId="66"/>
      <tableStyleElement type="firstColumn" dxfId="65"/>
      <tableStyleElement type="lastColumn" dxfId="64"/>
      <tableStyleElement type="firstRowStripe" dxfId="63"/>
      <tableStyleElement type="firstColumnStripe" dxfId="62"/>
    </tableStyle>
    <tableStyle name="TableStyleMedium2 2" pivot="0" count="7">
      <tableStyleElement type="wholeTable" dxfId="61"/>
      <tableStyleElement type="headerRow" dxfId="60"/>
      <tableStyleElement type="totalRow" dxfId="59"/>
      <tableStyleElement type="firstColumn" dxfId="58"/>
      <tableStyleElement type="lastColumn" dxfId="57"/>
      <tableStyleElement type="firstRowStripe" dxfId="56"/>
      <tableStyleElement type="firstColumnStripe" dxfId="5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6" name="Tabulka" displayName="Tabulka" ref="A7:S12" totalsRowShown="0" headerRowDxfId="54" tableBorderDxfId="53">
  <autoFilter ref="A7:S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2"/>
    <tableColumn id="2" name="popis" dataDxfId="51"/>
    <tableColumn id="3" name="01 uv_sk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35">
      <calculatedColumnFormula>IF(Tabulka[[#This Row],[15_vzpl]]=0,"",Tabulka[[#This Row],[14_vzsk]]/Tabulka[[#This Row],[15_vzpl]])</calculatedColumnFormula>
    </tableColumn>
    <tableColumn id="20" name="17_vzroz" dataDxfId="3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21" totalsRowShown="0">
  <autoFilter ref="C3:S2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2" bestFit="1" customWidth="1"/>
    <col min="2" max="2" width="102.21875" style="92" bestFit="1" customWidth="1"/>
    <col min="3" max="3" width="16.109375" style="42" hidden="1" customWidth="1"/>
    <col min="4" max="16384" width="8.88671875" style="92"/>
  </cols>
  <sheetData>
    <row r="1" spans="1:3" ht="18.600000000000001" customHeight="1" thickBot="1" x14ac:dyDescent="0.4">
      <c r="A1" s="234" t="s">
        <v>51</v>
      </c>
      <c r="B1" s="234"/>
    </row>
    <row r="2" spans="1:3" ht="14.4" customHeight="1" thickBot="1" x14ac:dyDescent="0.35">
      <c r="A2" s="162" t="s">
        <v>161</v>
      </c>
      <c r="B2" s="41"/>
    </row>
    <row r="3" spans="1:3" ht="14.4" customHeight="1" thickBot="1" x14ac:dyDescent="0.35">
      <c r="A3" s="230" t="s">
        <v>62</v>
      </c>
      <c r="B3" s="231"/>
    </row>
    <row r="4" spans="1:3" ht="14.4" customHeight="1" x14ac:dyDescent="0.3">
      <c r="A4" s="104" t="str">
        <f t="shared" ref="A4:A7" si="0">HYPERLINK("#'"&amp;C4&amp;"'!A1",C4)</f>
        <v>Motivace</v>
      </c>
      <c r="B4" s="60" t="s">
        <v>58</v>
      </c>
      <c r="C4" s="42" t="s">
        <v>59</v>
      </c>
    </row>
    <row r="5" spans="1:3" ht="14.4" customHeight="1" x14ac:dyDescent="0.3">
      <c r="A5" s="105" t="str">
        <f t="shared" si="0"/>
        <v>HI</v>
      </c>
      <c r="B5" s="61" t="s">
        <v>60</v>
      </c>
      <c r="C5" s="42" t="s">
        <v>54</v>
      </c>
    </row>
    <row r="6" spans="1:3" ht="14.4" customHeight="1" x14ac:dyDescent="0.3">
      <c r="A6" s="106" t="str">
        <f t="shared" si="0"/>
        <v>Man Tab</v>
      </c>
      <c r="B6" s="62" t="s">
        <v>163</v>
      </c>
      <c r="C6" s="42" t="s">
        <v>55</v>
      </c>
    </row>
    <row r="7" spans="1:3" ht="14.4" customHeight="1" thickBot="1" x14ac:dyDescent="0.35">
      <c r="A7" s="107" t="str">
        <f t="shared" si="0"/>
        <v>HV</v>
      </c>
      <c r="B7" s="63" t="s">
        <v>35</v>
      </c>
      <c r="C7" s="42" t="s">
        <v>40</v>
      </c>
    </row>
    <row r="8" spans="1:3" ht="14.4" customHeight="1" thickBot="1" x14ac:dyDescent="0.35">
      <c r="A8" s="64"/>
      <c r="B8" s="64"/>
    </row>
    <row r="9" spans="1:3" ht="14.4" customHeight="1" thickBot="1" x14ac:dyDescent="0.35">
      <c r="A9" s="232" t="s">
        <v>52</v>
      </c>
      <c r="B9" s="231"/>
    </row>
    <row r="10" spans="1:3" ht="14.4" customHeight="1" x14ac:dyDescent="0.3">
      <c r="A10" s="108" t="str">
        <f t="shared" ref="A10" si="1">HYPERLINK("#'"&amp;C10&amp;"'!A1",C10)</f>
        <v>Materiál Žádanky</v>
      </c>
      <c r="B10" s="62" t="s">
        <v>61</v>
      </c>
      <c r="C10" s="42" t="s">
        <v>56</v>
      </c>
    </row>
    <row r="11" spans="1:3" ht="14.4" customHeight="1" thickBot="1" x14ac:dyDescent="0.35">
      <c r="A11" s="108" t="str">
        <f t="shared" ref="A11" si="2">HYPERLINK("#'"&amp;C11&amp;"'!A1",C11)</f>
        <v>Osobní náklady</v>
      </c>
      <c r="B11" s="62" t="s">
        <v>49</v>
      </c>
      <c r="C11" s="42" t="s">
        <v>57</v>
      </c>
    </row>
    <row r="12" spans="1:3" ht="14.4" customHeight="1" thickBot="1" x14ac:dyDescent="0.35">
      <c r="A12" s="65"/>
      <c r="B12" s="65"/>
    </row>
    <row r="13" spans="1:3" ht="14.4" customHeight="1" thickBot="1" x14ac:dyDescent="0.35">
      <c r="A13" s="233" t="s">
        <v>53</v>
      </c>
      <c r="B13" s="231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09" bestFit="1" customWidth="1"/>
    <col min="2" max="2" width="11.6640625" style="109" hidden="1" customWidth="1"/>
    <col min="3" max="4" width="11" style="111" customWidth="1"/>
    <col min="5" max="5" width="11" style="112" customWidth="1"/>
    <col min="6" max="16384" width="8.88671875" style="109"/>
  </cols>
  <sheetData>
    <row r="1" spans="1:5" ht="18.600000000000001" thickBot="1" x14ac:dyDescent="0.4">
      <c r="A1" s="234" t="s">
        <v>58</v>
      </c>
      <c r="B1" s="234"/>
      <c r="C1" s="235"/>
      <c r="D1" s="235"/>
      <c r="E1" s="235"/>
    </row>
    <row r="2" spans="1:5" ht="14.4" customHeight="1" thickBot="1" x14ac:dyDescent="0.35">
      <c r="A2" s="162" t="s">
        <v>161</v>
      </c>
      <c r="B2" s="110"/>
    </row>
    <row r="3" spans="1:5" ht="14.4" customHeight="1" thickBot="1" x14ac:dyDescent="0.35">
      <c r="A3" s="113"/>
      <c r="C3" s="114" t="s">
        <v>50</v>
      </c>
      <c r="D3" s="115" t="s">
        <v>43</v>
      </c>
      <c r="E3" s="116" t="s">
        <v>45</v>
      </c>
    </row>
    <row r="4" spans="1:5" ht="14.4" customHeight="1" thickBot="1" x14ac:dyDescent="0.35">
      <c r="A4" s="117" t="str">
        <f>HYPERLINK("#HI!A1","NÁKLADY CELKEM (v tisících Kč)")</f>
        <v>NÁKLADY CELKEM (v tisících Kč)</v>
      </c>
      <c r="B4" s="118"/>
      <c r="C4" s="119">
        <f ca="1">IF(ISERROR(VLOOKUP("Náklady celkem",INDIRECT("HI!$A:$G"),6,0)),0,VLOOKUP("Náklady celkem",INDIRECT("HI!$A:$G"),6,0))</f>
        <v>816.14180503082275</v>
      </c>
      <c r="D4" s="119">
        <f ca="1">IF(ISERROR(VLOOKUP("Náklady celkem",INDIRECT("HI!$A:$G"),5,0)),0,VLOOKUP("Náklady celkem",INDIRECT("HI!$A:$G"),5,0))</f>
        <v>761.70385999999996</v>
      </c>
      <c r="E4" s="120">
        <f ca="1">IF(C4=0,0,D4/C4)</f>
        <v>0.9332984235150571</v>
      </c>
    </row>
    <row r="5" spans="1:5" ht="14.4" customHeight="1" x14ac:dyDescent="0.3">
      <c r="A5" s="121" t="s">
        <v>64</v>
      </c>
      <c r="B5" s="122"/>
      <c r="C5" s="123"/>
      <c r="D5" s="123"/>
      <c r="E5" s="124"/>
    </row>
    <row r="6" spans="1:5" ht="14.4" customHeight="1" x14ac:dyDescent="0.3">
      <c r="A6" s="125" t="s">
        <v>69</v>
      </c>
      <c r="B6" s="126"/>
      <c r="C6" s="127"/>
      <c r="D6" s="127"/>
      <c r="E6" s="124"/>
    </row>
    <row r="7" spans="1:5" ht="14.4" customHeight="1" x14ac:dyDescent="0.3">
      <c r="A7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6" t="s">
        <v>54</v>
      </c>
      <c r="C7" s="127">
        <f>IF(ISERROR(HI!F5),"",HI!F5)</f>
        <v>0</v>
      </c>
      <c r="D7" s="127">
        <f>IF(ISERROR(HI!E5),"",HI!E5)</f>
        <v>0</v>
      </c>
      <c r="E7" s="124">
        <f t="shared" ref="E7:E11" si="0">IF(C7=0,0,D7/C7)</f>
        <v>0</v>
      </c>
    </row>
    <row r="8" spans="1:5" ht="14.4" customHeight="1" x14ac:dyDescent="0.3">
      <c r="A8" s="128" t="s">
        <v>65</v>
      </c>
      <c r="B8" s="126"/>
      <c r="C8" s="127"/>
      <c r="D8" s="127"/>
      <c r="E8" s="124"/>
    </row>
    <row r="9" spans="1:5" ht="14.4" customHeight="1" x14ac:dyDescent="0.3">
      <c r="A9" s="128" t="s">
        <v>66</v>
      </c>
      <c r="B9" s="126"/>
      <c r="C9" s="127"/>
      <c r="D9" s="127"/>
      <c r="E9" s="124"/>
    </row>
    <row r="10" spans="1:5" ht="14.4" customHeight="1" x14ac:dyDescent="0.3">
      <c r="A10" s="129" t="s">
        <v>70</v>
      </c>
      <c r="B10" s="126"/>
      <c r="C10" s="123"/>
      <c r="D10" s="123"/>
      <c r="E10" s="124"/>
    </row>
    <row r="11" spans="1:5" ht="14.4" customHeight="1" x14ac:dyDescent="0.3">
      <c r="A11" s="13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6" t="s">
        <v>54</v>
      </c>
      <c r="C11" s="127">
        <f>IF(ISERROR(HI!F6),"",HI!F6)</f>
        <v>26.25</v>
      </c>
      <c r="D11" s="127">
        <f>IF(ISERROR(HI!E6),"",HI!E6)</f>
        <v>0</v>
      </c>
      <c r="E11" s="124">
        <f t="shared" si="0"/>
        <v>0</v>
      </c>
    </row>
    <row r="12" spans="1:5" ht="14.4" customHeight="1" thickBot="1" x14ac:dyDescent="0.35">
      <c r="A12" s="131" t="str">
        <f>HYPERLINK("#HI!A1","Osobní náklady")</f>
        <v>Osobní náklady</v>
      </c>
      <c r="B12" s="126"/>
      <c r="C12" s="123">
        <f ca="1">IF(ISERROR(VLOOKUP("Osobní náklady (Kč) *",INDIRECT("HI!$A:$G"),6,0)),0,VLOOKUP("Osobní náklady (Kč) *",INDIRECT("HI!$A:$G"),6,0))</f>
        <v>714.28554687500002</v>
      </c>
      <c r="D12" s="123">
        <f ca="1">IF(ISERROR(VLOOKUP("Osobní náklady (Kč) *",INDIRECT("HI!$A:$G"),5,0)),0,VLOOKUP("Osobní náklady (Kč) *",INDIRECT("HI!$A:$G"),5,0))</f>
        <v>727.11917000000005</v>
      </c>
      <c r="E12" s="124">
        <f ca="1">IF(C12=0,0,D12/C12)</f>
        <v>1.0179670765860336</v>
      </c>
    </row>
    <row r="13" spans="1:5" ht="14.4" customHeight="1" thickBot="1" x14ac:dyDescent="0.35">
      <c r="A13" s="135"/>
      <c r="B13" s="136"/>
      <c r="C13" s="137"/>
      <c r="D13" s="137"/>
      <c r="E13" s="138"/>
    </row>
    <row r="14" spans="1:5" ht="14.4" customHeight="1" thickBot="1" x14ac:dyDescent="0.35">
      <c r="A14" s="139" t="str">
        <f>HYPERLINK("#HI!A1","VÝNOSY CELKEM (v tisících)")</f>
        <v>VÝNOSY CELKEM (v tisících)</v>
      </c>
      <c r="B14" s="140"/>
      <c r="C14" s="141">
        <f ca="1">IF(ISERROR(VLOOKUP("Výnosy celkem",INDIRECT("HI!$A:$G"),6,0)),0,VLOOKUP("Výnosy celkem",INDIRECT("HI!$A:$G"),6,0))</f>
        <v>0</v>
      </c>
      <c r="D14" s="141">
        <f ca="1">IF(ISERROR(VLOOKUP("Výnosy celkem",INDIRECT("HI!$A:$G"),5,0)),0,VLOOKUP("Výnosy celkem",INDIRECT("HI!$A:$G"),5,0))</f>
        <v>0</v>
      </c>
      <c r="E14" s="142">
        <f t="shared" ref="E14:E15" ca="1" si="1">IF(C14=0,0,D14/C14)</f>
        <v>0</v>
      </c>
    </row>
    <row r="15" spans="1:5" ht="14.4" customHeight="1" x14ac:dyDescent="0.3">
      <c r="A15" s="143" t="str">
        <f>HYPERLINK("#HI!A1","Ambulance (body za výkony + Kč za ZUM a ZULP)")</f>
        <v>Ambulance (body za výkony + Kč za ZUM a ZULP)</v>
      </c>
      <c r="B15" s="122"/>
      <c r="C15" s="123">
        <f ca="1">IF(ISERROR(VLOOKUP("Ambulance *",INDIRECT("HI!$A:$G"),6,0)),0,VLOOKUP("Ambulance *",INDIRECT("HI!$A:$G"),6,0))</f>
        <v>0</v>
      </c>
      <c r="D15" s="123">
        <f ca="1">IF(ISERROR(VLOOKUP("Ambulance *",INDIRECT("HI!$A:$G"),5,0)),0,VLOOKUP("Ambulance *",INDIRECT("HI!$A:$G"),5,0))</f>
        <v>0</v>
      </c>
      <c r="E15" s="124">
        <f t="shared" ca="1" si="1"/>
        <v>0</v>
      </c>
    </row>
    <row r="16" spans="1:5" ht="14.4" customHeight="1" x14ac:dyDescent="0.3">
      <c r="A16" s="144" t="str">
        <f>HYPERLINK("#HI!A1","Hospitalizace (casemix * 30000)")</f>
        <v>Hospitalizace (casemix * 30000)</v>
      </c>
      <c r="B16" s="126"/>
      <c r="C16" s="123">
        <f ca="1">IF(ISERROR(VLOOKUP("Hospitalizace *",INDIRECT("HI!$A:$G"),6,0)),0,VLOOKUP("Hospitalizace *",INDIRECT("HI!$A:$G"),6,0))</f>
        <v>0</v>
      </c>
      <c r="D16" s="123">
        <f ca="1">IF(ISERROR(VLOOKUP("Hospitalizace *",INDIRECT("HI!$A:$G"),5,0)),0,VLOOKUP("Hospitalizace *",INDIRECT("HI!$A:$G"),5,0))</f>
        <v>0</v>
      </c>
      <c r="E16" s="124">
        <f ca="1">IF(C16=0,0,D16/C16)</f>
        <v>0</v>
      </c>
    </row>
    <row r="17" spans="1:5" ht="14.4" customHeight="1" thickBot="1" x14ac:dyDescent="0.35">
      <c r="A17" s="145" t="s">
        <v>67</v>
      </c>
      <c r="B17" s="132"/>
      <c r="C17" s="133"/>
      <c r="D17" s="133"/>
      <c r="E17" s="134"/>
    </row>
    <row r="18" spans="1:5" ht="14.4" customHeight="1" thickBot="1" x14ac:dyDescent="0.35">
      <c r="A18" s="146"/>
      <c r="B18" s="147"/>
      <c r="C18" s="148"/>
      <c r="D18" s="148"/>
      <c r="E18" s="149"/>
    </row>
    <row r="19" spans="1:5" ht="14.4" customHeight="1" thickBot="1" x14ac:dyDescent="0.35">
      <c r="A19" s="150" t="s">
        <v>68</v>
      </c>
      <c r="B19" s="151"/>
      <c r="C19" s="152"/>
      <c r="D19" s="152"/>
      <c r="E19" s="153"/>
    </row>
  </sheetData>
  <mergeCells count="1">
    <mergeCell ref="A1:E1"/>
  </mergeCells>
  <conditionalFormatting sqref="E5">
    <cfRule type="cellIs" dxfId="3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2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2" bestFit="1" customWidth="1"/>
    <col min="2" max="2" width="9.5546875" style="92" hidden="1" customWidth="1" outlineLevel="1"/>
    <col min="3" max="3" width="9.5546875" style="92" customWidth="1" collapsed="1"/>
    <col min="4" max="4" width="2.21875" style="92" customWidth="1"/>
    <col min="5" max="8" width="9.5546875" style="92" customWidth="1"/>
    <col min="9" max="10" width="9.77734375" style="92" hidden="1" customWidth="1" outlineLevel="1"/>
    <col min="11" max="11" width="8.88671875" style="92" collapsed="1"/>
    <col min="12" max="16384" width="8.88671875" style="92"/>
  </cols>
  <sheetData>
    <row r="1" spans="1:10" ht="18.600000000000001" customHeight="1" thickBot="1" x14ac:dyDescent="0.4">
      <c r="A1" s="245" t="s">
        <v>60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ht="14.4" customHeight="1" thickBot="1" x14ac:dyDescent="0.35">
      <c r="A2" s="162" t="s">
        <v>161</v>
      </c>
      <c r="B2" s="74"/>
      <c r="C2" s="74"/>
      <c r="D2" s="74"/>
      <c r="E2" s="74"/>
      <c r="F2" s="74"/>
    </row>
    <row r="3" spans="1:10" ht="14.4" customHeight="1" x14ac:dyDescent="0.3">
      <c r="A3" s="236"/>
      <c r="B3" s="70">
        <v>2015</v>
      </c>
      <c r="C3" s="40">
        <v>2017</v>
      </c>
      <c r="D3" s="7"/>
      <c r="E3" s="240">
        <v>2018</v>
      </c>
      <c r="F3" s="241"/>
      <c r="G3" s="241"/>
      <c r="H3" s="242"/>
      <c r="I3" s="243">
        <v>2017</v>
      </c>
      <c r="J3" s="244"/>
    </row>
    <row r="4" spans="1:10" ht="14.4" customHeight="1" thickBot="1" x14ac:dyDescent="0.35">
      <c r="A4" s="237"/>
      <c r="B4" s="238" t="s">
        <v>43</v>
      </c>
      <c r="C4" s="239"/>
      <c r="D4" s="7"/>
      <c r="E4" s="91" t="s">
        <v>43</v>
      </c>
      <c r="F4" s="72" t="s">
        <v>44</v>
      </c>
      <c r="G4" s="72" t="s">
        <v>41</v>
      </c>
      <c r="H4" s="73" t="s">
        <v>45</v>
      </c>
      <c r="I4" s="178" t="s">
        <v>105</v>
      </c>
      <c r="J4" s="179" t="s">
        <v>106</v>
      </c>
    </row>
    <row r="5" spans="1:10" ht="14.4" customHeight="1" x14ac:dyDescent="0.3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10" ht="14.4" customHeight="1" x14ac:dyDescent="0.3">
      <c r="A6" s="75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1">
        <v>0</v>
      </c>
      <c r="F6" s="30">
        <v>26.25</v>
      </c>
      <c r="G6" s="82">
        <f>E6-F6</f>
        <v>-26.25</v>
      </c>
      <c r="H6" s="86">
        <f>IF(F6&lt;0.00000001,"",E6/F6)</f>
        <v>0</v>
      </c>
    </row>
    <row r="7" spans="1:10" ht="14.4" customHeight="1" x14ac:dyDescent="0.3">
      <c r="A7" s="75" t="str">
        <f>HYPERLINK("#'Osobní náklady'!A1","Osobní náklady (Kč) *")</f>
        <v>Osobní náklady (Kč) *</v>
      </c>
      <c r="B7" s="10">
        <v>646.11572000000001</v>
      </c>
      <c r="C7" s="31">
        <v>685.79658000000006</v>
      </c>
      <c r="D7" s="8"/>
      <c r="E7" s="81">
        <v>727.11917000000005</v>
      </c>
      <c r="F7" s="30">
        <v>714.28554687500002</v>
      </c>
      <c r="G7" s="82">
        <f>E7-F7</f>
        <v>12.833623125000031</v>
      </c>
      <c r="H7" s="86">
        <f>IF(F7&lt;0.00000001,"",E7/F7)</f>
        <v>1.0179670765860336</v>
      </c>
    </row>
    <row r="8" spans="1:10" ht="14.4" customHeight="1" thickBot="1" x14ac:dyDescent="0.35">
      <c r="A8" s="1" t="s">
        <v>46</v>
      </c>
      <c r="B8" s="11">
        <v>43.002469999999903</v>
      </c>
      <c r="C8" s="33">
        <v>33.761340000000018</v>
      </c>
      <c r="D8" s="8"/>
      <c r="E8" s="83">
        <v>34.58468999999991</v>
      </c>
      <c r="F8" s="32">
        <v>75.606258155822729</v>
      </c>
      <c r="G8" s="84">
        <f>E8-F8</f>
        <v>-41.02156815582282</v>
      </c>
      <c r="H8" s="87">
        <f>IF(F8&lt;0.00000001,"",E8/F8)</f>
        <v>0.45743157833206971</v>
      </c>
    </row>
    <row r="9" spans="1:10" ht="14.4" customHeight="1" thickBot="1" x14ac:dyDescent="0.35">
      <c r="A9" s="2" t="s">
        <v>47</v>
      </c>
      <c r="B9" s="3">
        <v>689.11818999999991</v>
      </c>
      <c r="C9" s="35">
        <v>719.55792000000008</v>
      </c>
      <c r="D9" s="8"/>
      <c r="E9" s="3">
        <v>761.70385999999996</v>
      </c>
      <c r="F9" s="34">
        <v>816.14180503082275</v>
      </c>
      <c r="G9" s="34">
        <f>E9-F9</f>
        <v>-54.437945030822789</v>
      </c>
      <c r="H9" s="88">
        <f>IF(F9&lt;0.00000001,"",E9/F9)</f>
        <v>0.9332984235150571</v>
      </c>
    </row>
    <row r="10" spans="1:10" ht="14.4" customHeight="1" thickBot="1" x14ac:dyDescent="0.35">
      <c r="A10" s="12"/>
      <c r="B10" s="12"/>
      <c r="C10" s="71"/>
      <c r="D10" s="8"/>
      <c r="E10" s="12"/>
      <c r="F10" s="13"/>
    </row>
    <row r="11" spans="1:10" ht="14.4" customHeight="1" x14ac:dyDescent="0.3">
      <c r="A11" s="95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0">
        <f>IF(ISERROR(VLOOKUP("Celkem:",#REF!,8,0)),0,VLOOKUP("Celkem:",#REF!,8,0)/1000)</f>
        <v>0</v>
      </c>
      <c r="F11" s="28">
        <f>C11</f>
        <v>0</v>
      </c>
      <c r="G11" s="79">
        <f>E11-F11</f>
        <v>0</v>
      </c>
      <c r="H11" s="85" t="str">
        <f>IF(F11&lt;0.00000001,"",E11/F11)</f>
        <v/>
      </c>
      <c r="I11" s="79">
        <f>E11-B11</f>
        <v>0</v>
      </c>
      <c r="J11" s="85" t="str">
        <f>IF(B11&lt;0.00000001,"",E11/B11)</f>
        <v/>
      </c>
    </row>
    <row r="12" spans="1:10" ht="14.4" customHeight="1" thickBot="1" x14ac:dyDescent="0.35">
      <c r="A12" s="9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C12</f>
        <v>0</v>
      </c>
      <c r="G12" s="84">
        <f>E12-F12</f>
        <v>0</v>
      </c>
      <c r="H12" s="87" t="str">
        <f>IF(F12&lt;0.00000001,"",E12/F12)</f>
        <v/>
      </c>
      <c r="I12" s="84">
        <f>E12-B12</f>
        <v>0</v>
      </c>
      <c r="J12" s="87" t="str">
        <f>IF(B12&lt;0.00000001,"",E12/B12)</f>
        <v/>
      </c>
    </row>
    <row r="13" spans="1:10" ht="14.4" customHeight="1" thickBot="1" x14ac:dyDescent="0.35">
      <c r="A13" s="4" t="s">
        <v>48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  <c r="I13" s="36">
        <f>SUM(I11:I12)</f>
        <v>0</v>
      </c>
      <c r="J13" s="89" t="str">
        <f>IF(B13&lt;0.00000001,"",E13/B13)</f>
        <v/>
      </c>
    </row>
    <row r="14" spans="1:10" ht="14.4" customHeight="1" thickBot="1" x14ac:dyDescent="0.35">
      <c r="A14" s="12"/>
      <c r="B14" s="12"/>
      <c r="C14" s="71"/>
      <c r="D14" s="8"/>
      <c r="E14" s="12"/>
      <c r="F14" s="13"/>
    </row>
    <row r="15" spans="1:10" ht="14.4" customHeight="1" thickBot="1" x14ac:dyDescent="0.35">
      <c r="A15" s="97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" customHeight="1" x14ac:dyDescent="0.3">
      <c r="A17" s="76" t="s">
        <v>71</v>
      </c>
    </row>
    <row r="18" spans="1:8" ht="14.4" customHeight="1" x14ac:dyDescent="0.3">
      <c r="A18" s="165" t="s">
        <v>96</v>
      </c>
      <c r="B18" s="166"/>
      <c r="C18" s="166"/>
      <c r="D18" s="166"/>
      <c r="E18" s="166"/>
      <c r="F18" s="166"/>
      <c r="G18" s="166"/>
      <c r="H18" s="166"/>
    </row>
    <row r="19" spans="1:8" x14ac:dyDescent="0.3">
      <c r="A19" s="164" t="s">
        <v>95</v>
      </c>
      <c r="B19" s="166"/>
      <c r="C19" s="166"/>
      <c r="D19" s="166"/>
      <c r="E19" s="166"/>
      <c r="F19" s="166"/>
      <c r="G19" s="166"/>
      <c r="H19" s="166"/>
    </row>
    <row r="20" spans="1:8" ht="14.4" customHeight="1" x14ac:dyDescent="0.3">
      <c r="A20" s="77" t="s">
        <v>104</v>
      </c>
    </row>
    <row r="21" spans="1:8" ht="14.4" customHeight="1" x14ac:dyDescent="0.3">
      <c r="A21" s="77" t="s">
        <v>72</v>
      </c>
    </row>
    <row r="22" spans="1:8" ht="14.4" customHeight="1" x14ac:dyDescent="0.3">
      <c r="A22" s="78" t="s">
        <v>139</v>
      </c>
    </row>
    <row r="23" spans="1:8" ht="14.4" customHeight="1" x14ac:dyDescent="0.3">
      <c r="A23" s="78" t="s">
        <v>73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5" priority="8" operator="greaterThan">
      <formula>0</formula>
    </cfRule>
  </conditionalFormatting>
  <conditionalFormatting sqref="G11:G13 G15">
    <cfRule type="cellIs" dxfId="24" priority="7" operator="lessThan">
      <formula>0</formula>
    </cfRule>
  </conditionalFormatting>
  <conditionalFormatting sqref="H5:H9">
    <cfRule type="cellIs" dxfId="23" priority="6" operator="greaterThan">
      <formula>1</formula>
    </cfRule>
  </conditionalFormatting>
  <conditionalFormatting sqref="H11:H13 H15">
    <cfRule type="cellIs" dxfId="22" priority="5" operator="lessThan">
      <formula>1</formula>
    </cfRule>
  </conditionalFormatting>
  <conditionalFormatting sqref="I11:I13">
    <cfRule type="cellIs" dxfId="21" priority="4" operator="lessThan">
      <formula>0</formula>
    </cfRule>
  </conditionalFormatting>
  <conditionalFormatting sqref="J11:J13">
    <cfRule type="cellIs" dxfId="2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2" bestFit="1" customWidth="1"/>
    <col min="2" max="2" width="12.77734375" style="92" bestFit="1" customWidth="1"/>
    <col min="3" max="3" width="13.6640625" style="92" bestFit="1" customWidth="1"/>
    <col min="4" max="15" width="7.77734375" style="92" bestFit="1" customWidth="1"/>
    <col min="16" max="16" width="8.88671875" style="92" customWidth="1"/>
    <col min="17" max="17" width="6.6640625" style="92" bestFit="1" customWidth="1"/>
    <col min="18" max="16384" width="8.88671875" style="92"/>
  </cols>
  <sheetData>
    <row r="1" spans="1:17" s="154" customFormat="1" ht="18.600000000000001" customHeight="1" thickBot="1" x14ac:dyDescent="0.4">
      <c r="A1" s="246" t="s">
        <v>163</v>
      </c>
      <c r="B1" s="246"/>
      <c r="C1" s="246"/>
      <c r="D1" s="246"/>
      <c r="E1" s="246"/>
      <c r="F1" s="246"/>
      <c r="G1" s="246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7" s="154" customFormat="1" ht="14.4" customHeight="1" thickBot="1" x14ac:dyDescent="0.3">
      <c r="A2" s="162" t="s">
        <v>161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17" ht="14.4" customHeight="1" x14ac:dyDescent="0.3">
      <c r="A3" s="57"/>
      <c r="B3" s="247" t="s">
        <v>3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100"/>
      <c r="Q3" s="102"/>
    </row>
    <row r="4" spans="1:17" ht="14.4" customHeight="1" x14ac:dyDescent="0.3">
      <c r="A4" s="58"/>
      <c r="B4" s="20">
        <v>2018</v>
      </c>
      <c r="C4" s="101" t="s">
        <v>4</v>
      </c>
      <c r="D4" s="177" t="s">
        <v>140</v>
      </c>
      <c r="E4" s="177" t="s">
        <v>141</v>
      </c>
      <c r="F4" s="177" t="s">
        <v>142</v>
      </c>
      <c r="G4" s="177" t="s">
        <v>143</v>
      </c>
      <c r="H4" s="177" t="s">
        <v>144</v>
      </c>
      <c r="I4" s="177" t="s">
        <v>145</v>
      </c>
      <c r="J4" s="177" t="s">
        <v>146</v>
      </c>
      <c r="K4" s="177" t="s">
        <v>147</v>
      </c>
      <c r="L4" s="177" t="s">
        <v>148</v>
      </c>
      <c r="M4" s="177" t="s">
        <v>149</v>
      </c>
      <c r="N4" s="177" t="s">
        <v>150</v>
      </c>
      <c r="O4" s="177" t="s">
        <v>151</v>
      </c>
      <c r="P4" s="249" t="s">
        <v>2</v>
      </c>
      <c r="Q4" s="250"/>
    </row>
    <row r="5" spans="1:17" ht="14.4" customHeight="1" thickBot="1" x14ac:dyDescent="0.35">
      <c r="A5" s="59"/>
      <c r="B5" s="21" t="s">
        <v>5</v>
      </c>
      <c r="C5" s="22" t="s">
        <v>5</v>
      </c>
      <c r="D5" s="22" t="s">
        <v>6</v>
      </c>
      <c r="E5" s="22" t="s">
        <v>6</v>
      </c>
      <c r="F5" s="22" t="s">
        <v>6</v>
      </c>
      <c r="G5" s="22" t="s">
        <v>6</v>
      </c>
      <c r="H5" s="22" t="s">
        <v>6</v>
      </c>
      <c r="I5" s="22" t="s">
        <v>6</v>
      </c>
      <c r="J5" s="22" t="s">
        <v>6</v>
      </c>
      <c r="K5" s="22" t="s">
        <v>6</v>
      </c>
      <c r="L5" s="22" t="s">
        <v>6</v>
      </c>
      <c r="M5" s="22" t="s">
        <v>6</v>
      </c>
      <c r="N5" s="22" t="s">
        <v>6</v>
      </c>
      <c r="O5" s="22" t="s">
        <v>6</v>
      </c>
      <c r="P5" s="22" t="s">
        <v>6</v>
      </c>
      <c r="Q5" s="23" t="s">
        <v>7</v>
      </c>
    </row>
    <row r="6" spans="1:17" ht="14.4" customHeight="1" x14ac:dyDescent="0.3">
      <c r="A6" s="14" t="s">
        <v>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162</v>
      </c>
    </row>
    <row r="7" spans="1:17" ht="14.4" customHeight="1" x14ac:dyDescent="0.3">
      <c r="A7" s="15" t="s">
        <v>9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162</v>
      </c>
    </row>
    <row r="8" spans="1:17" ht="14.4" customHeight="1" x14ac:dyDescent="0.3">
      <c r="A8" s="15" t="s">
        <v>10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162</v>
      </c>
    </row>
    <row r="9" spans="1:17" ht="14.4" customHeight="1" x14ac:dyDescent="0.3">
      <c r="A9" s="15" t="s">
        <v>11</v>
      </c>
      <c r="B9" s="46">
        <v>105</v>
      </c>
      <c r="C9" s="47">
        <v>8.75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>
        <v>0</v>
      </c>
    </row>
    <row r="10" spans="1:17" ht="14.4" customHeight="1" x14ac:dyDescent="0.3">
      <c r="A10" s="15" t="s">
        <v>12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162</v>
      </c>
    </row>
    <row r="11" spans="1:17" ht="14.4" customHeight="1" x14ac:dyDescent="0.3">
      <c r="A11" s="15" t="s">
        <v>13</v>
      </c>
      <c r="B11" s="46">
        <v>17.083711843538001</v>
      </c>
      <c r="C11" s="47">
        <v>1.423642653628</v>
      </c>
      <c r="D11" s="47">
        <v>0.32873999999999998</v>
      </c>
      <c r="E11" s="47">
        <v>0.68367999999999995</v>
      </c>
      <c r="F11" s="47">
        <v>0.15140999999999999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1.1638299999999999</v>
      </c>
      <c r="Q11" s="67">
        <v>0.27250049887400002</v>
      </c>
    </row>
    <row r="12" spans="1:17" ht="14.4" customHeight="1" x14ac:dyDescent="0.3">
      <c r="A12" s="15" t="s">
        <v>14</v>
      </c>
      <c r="B12" s="46">
        <v>3</v>
      </c>
      <c r="C12" s="47">
        <v>0.25</v>
      </c>
      <c r="D12" s="47">
        <v>0</v>
      </c>
      <c r="E12" s="47">
        <v>5.3239999999999998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5.3239999999999998</v>
      </c>
      <c r="Q12" s="67">
        <v>7.0986666666660003</v>
      </c>
    </row>
    <row r="13" spans="1:17" ht="14.4" customHeight="1" x14ac:dyDescent="0.3">
      <c r="A13" s="15" t="s">
        <v>15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7" t="s">
        <v>162</v>
      </c>
    </row>
    <row r="14" spans="1:17" ht="14.4" customHeight="1" x14ac:dyDescent="0.3">
      <c r="A14" s="15" t="s">
        <v>16</v>
      </c>
      <c r="B14" s="46">
        <v>23.570163366854999</v>
      </c>
      <c r="C14" s="47">
        <v>1.964180280571</v>
      </c>
      <c r="D14" s="47">
        <v>3.012</v>
      </c>
      <c r="E14" s="47">
        <v>2.8679999999999999</v>
      </c>
      <c r="F14" s="47">
        <v>2.7679999999999998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8.6479999999999997</v>
      </c>
      <c r="Q14" s="67">
        <v>1.4676181688509999</v>
      </c>
    </row>
    <row r="15" spans="1:17" ht="14.4" customHeight="1" x14ac:dyDescent="0.3">
      <c r="A15" s="15" t="s">
        <v>17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162</v>
      </c>
    </row>
    <row r="16" spans="1:17" ht="14.4" customHeight="1" x14ac:dyDescent="0.3">
      <c r="A16" s="15" t="s">
        <v>18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162</v>
      </c>
    </row>
    <row r="17" spans="1:17" ht="14.4" customHeight="1" x14ac:dyDescent="0.3">
      <c r="A17" s="15" t="s">
        <v>19</v>
      </c>
      <c r="B17" s="46">
        <v>20.489356156583</v>
      </c>
      <c r="C17" s="47">
        <v>1.7074463463809999</v>
      </c>
      <c r="D17" s="47">
        <v>0.64471999999999996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0.64471999999999996</v>
      </c>
      <c r="Q17" s="67">
        <v>0.12586437466799999</v>
      </c>
    </row>
    <row r="18" spans="1:17" ht="14.4" customHeight="1" x14ac:dyDescent="0.3">
      <c r="A18" s="15" t="s">
        <v>20</v>
      </c>
      <c r="B18" s="46">
        <v>0</v>
      </c>
      <c r="C18" s="47">
        <v>0</v>
      </c>
      <c r="D18" s="47">
        <v>0.623</v>
      </c>
      <c r="E18" s="47">
        <v>0.56599999999999995</v>
      </c>
      <c r="F18" s="47">
        <v>0.63600000000000001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1.825</v>
      </c>
      <c r="Q18" s="67" t="s">
        <v>162</v>
      </c>
    </row>
    <row r="19" spans="1:17" ht="14.4" customHeight="1" x14ac:dyDescent="0.3">
      <c r="A19" s="15" t="s">
        <v>21</v>
      </c>
      <c r="B19" s="46">
        <v>13.327180280689999</v>
      </c>
      <c r="C19" s="47">
        <v>1.1105983567240001</v>
      </c>
      <c r="D19" s="47">
        <v>0.69572999999999996</v>
      </c>
      <c r="E19" s="47">
        <v>0.68769999999999998</v>
      </c>
      <c r="F19" s="47">
        <v>0.87910999999999995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2.26254</v>
      </c>
      <c r="Q19" s="67">
        <v>0.67907537899100001</v>
      </c>
    </row>
    <row r="20" spans="1:17" ht="14.4" customHeight="1" x14ac:dyDescent="0.3">
      <c r="A20" s="15" t="s">
        <v>22</v>
      </c>
      <c r="B20" s="46">
        <v>2857.1422241026498</v>
      </c>
      <c r="C20" s="47">
        <v>238.095185341887</v>
      </c>
      <c r="D20" s="47">
        <v>226.27932000000001</v>
      </c>
      <c r="E20" s="47">
        <v>229.03032999999999</v>
      </c>
      <c r="F20" s="47">
        <v>271.80952000000099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727.11917000000096</v>
      </c>
      <c r="Q20" s="67">
        <v>1.0179670635439999</v>
      </c>
    </row>
    <row r="21" spans="1:17" ht="14.4" customHeight="1" x14ac:dyDescent="0.3">
      <c r="A21" s="16" t="s">
        <v>23</v>
      </c>
      <c r="B21" s="46">
        <v>46.820778567331999</v>
      </c>
      <c r="C21" s="47">
        <v>3.901731547277</v>
      </c>
      <c r="D21" s="47">
        <v>2.0449999999999999</v>
      </c>
      <c r="E21" s="47">
        <v>2.0449999999999999</v>
      </c>
      <c r="F21" s="47">
        <v>2.0449999999999999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6.1349999999999998</v>
      </c>
      <c r="Q21" s="67">
        <v>0.52412626937999995</v>
      </c>
    </row>
    <row r="22" spans="1:17" ht="14.4" customHeight="1" x14ac:dyDescent="0.3">
      <c r="A22" s="15" t="s">
        <v>24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7" t="s">
        <v>162</v>
      </c>
    </row>
    <row r="23" spans="1:17" ht="14.4" customHeight="1" x14ac:dyDescent="0.3">
      <c r="A23" s="16" t="s">
        <v>25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162</v>
      </c>
    </row>
    <row r="24" spans="1:17" ht="14.4" customHeight="1" x14ac:dyDescent="0.3">
      <c r="A24" s="16" t="s">
        <v>26</v>
      </c>
      <c r="B24" s="46">
        <v>178.13383913128899</v>
      </c>
      <c r="C24" s="47">
        <v>14.844486594274001</v>
      </c>
      <c r="D24" s="47">
        <v>5.4534999999989999</v>
      </c>
      <c r="E24" s="47">
        <v>0.85599999999900001</v>
      </c>
      <c r="F24" s="47">
        <v>2.2721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8.5815999999999999</v>
      </c>
      <c r="Q24" s="67"/>
    </row>
    <row r="25" spans="1:17" ht="14.4" customHeight="1" x14ac:dyDescent="0.3">
      <c r="A25" s="17" t="s">
        <v>27</v>
      </c>
      <c r="B25" s="49">
        <v>3264.5672534489399</v>
      </c>
      <c r="C25" s="50">
        <v>272.04727112074499</v>
      </c>
      <c r="D25" s="50">
        <v>239.08201</v>
      </c>
      <c r="E25" s="50">
        <v>242.06071</v>
      </c>
      <c r="F25" s="50">
        <v>280.56114000000099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761.70386000000099</v>
      </c>
      <c r="Q25" s="68">
        <v>0.93329841398699998</v>
      </c>
    </row>
    <row r="26" spans="1:17" ht="14.4" customHeight="1" x14ac:dyDescent="0.3">
      <c r="A26" s="15" t="s">
        <v>28</v>
      </c>
      <c r="B26" s="46">
        <v>0</v>
      </c>
      <c r="C26" s="47">
        <v>0</v>
      </c>
      <c r="D26" s="47">
        <v>4.3919800000000002</v>
      </c>
      <c r="E26" s="47">
        <v>4.3952499999999999</v>
      </c>
      <c r="F26" s="47">
        <v>4.1813700000000003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12.9686</v>
      </c>
      <c r="Q26" s="67" t="s">
        <v>162</v>
      </c>
    </row>
    <row r="27" spans="1:17" ht="14.4" customHeight="1" x14ac:dyDescent="0.3">
      <c r="A27" s="18" t="s">
        <v>29</v>
      </c>
      <c r="B27" s="49">
        <v>3264.5672534489399</v>
      </c>
      <c r="C27" s="50">
        <v>272.04727112074499</v>
      </c>
      <c r="D27" s="50">
        <v>243.47398999999999</v>
      </c>
      <c r="E27" s="50">
        <v>246.45596</v>
      </c>
      <c r="F27" s="50">
        <v>284.742510000001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774.67246000000102</v>
      </c>
      <c r="Q27" s="68">
        <v>0.94918854458400004</v>
      </c>
    </row>
    <row r="28" spans="1:17" ht="14.4" customHeight="1" x14ac:dyDescent="0.3">
      <c r="A28" s="16" t="s">
        <v>30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>
        <v>0</v>
      </c>
    </row>
    <row r="29" spans="1:17" ht="14.4" customHeight="1" x14ac:dyDescent="0.3">
      <c r="A29" s="16" t="s">
        <v>31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162</v>
      </c>
    </row>
    <row r="30" spans="1:17" ht="14.4" customHeight="1" x14ac:dyDescent="0.3">
      <c r="A30" s="16" t="s">
        <v>32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>
        <v>0</v>
      </c>
    </row>
    <row r="31" spans="1:17" ht="14.4" customHeight="1" thickBot="1" x14ac:dyDescent="0.35">
      <c r="A31" s="19" t="s">
        <v>33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162</v>
      </c>
    </row>
    <row r="32" spans="1:17" ht="14.4" customHeight="1" x14ac:dyDescent="0.3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</row>
    <row r="33" spans="1:17" ht="14.4" customHeight="1" x14ac:dyDescent="0.3">
      <c r="A33" s="76" t="s">
        <v>71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1:17" ht="14.4" customHeight="1" x14ac:dyDescent="0.3">
      <c r="A34" s="98" t="s">
        <v>160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</row>
    <row r="35" spans="1:17" ht="14.4" customHeight="1" x14ac:dyDescent="0.3">
      <c r="A35" s="99" t="s">
        <v>34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L10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2" customWidth="1"/>
    <col min="2" max="11" width="10" style="92" customWidth="1"/>
    <col min="12" max="16384" width="8.88671875" style="92"/>
  </cols>
  <sheetData>
    <row r="1" spans="1:12" s="55" customFormat="1" ht="18.600000000000001" customHeight="1" thickBot="1" x14ac:dyDescent="0.4">
      <c r="A1" s="246" t="s">
        <v>35</v>
      </c>
      <c r="B1" s="246"/>
      <c r="C1" s="246"/>
      <c r="D1" s="246"/>
      <c r="E1" s="246"/>
      <c r="F1" s="246"/>
      <c r="G1" s="246"/>
      <c r="H1" s="251"/>
      <c r="I1" s="251"/>
      <c r="J1" s="251"/>
      <c r="K1" s="251"/>
    </row>
    <row r="2" spans="1:12" s="55" customFormat="1" ht="14.4" customHeight="1" thickBot="1" x14ac:dyDescent="0.35">
      <c r="A2" s="162" t="s">
        <v>161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2" ht="14.4" customHeight="1" x14ac:dyDescent="0.3">
      <c r="A3" s="57"/>
      <c r="B3" s="247" t="s">
        <v>36</v>
      </c>
      <c r="C3" s="248"/>
      <c r="D3" s="248"/>
      <c r="E3" s="248"/>
      <c r="F3" s="254" t="s">
        <v>37</v>
      </c>
      <c r="G3" s="248"/>
      <c r="H3" s="248"/>
      <c r="I3" s="248"/>
      <c r="J3" s="248"/>
      <c r="K3" s="255"/>
    </row>
    <row r="4" spans="1:12" ht="14.4" customHeight="1" x14ac:dyDescent="0.3">
      <c r="A4" s="58"/>
      <c r="B4" s="252"/>
      <c r="C4" s="253"/>
      <c r="D4" s="253"/>
      <c r="E4" s="253"/>
      <c r="F4" s="256" t="s">
        <v>156</v>
      </c>
      <c r="G4" s="258" t="s">
        <v>38</v>
      </c>
      <c r="H4" s="103" t="s">
        <v>63</v>
      </c>
      <c r="I4" s="256" t="s">
        <v>39</v>
      </c>
      <c r="J4" s="258" t="s">
        <v>158</v>
      </c>
      <c r="K4" s="259" t="s">
        <v>159</v>
      </c>
    </row>
    <row r="5" spans="1:12" ht="42" thickBot="1" x14ac:dyDescent="0.35">
      <c r="A5" s="59"/>
      <c r="B5" s="24" t="s">
        <v>152</v>
      </c>
      <c r="C5" s="25" t="s">
        <v>153</v>
      </c>
      <c r="D5" s="26" t="s">
        <v>154</v>
      </c>
      <c r="E5" s="26" t="s">
        <v>155</v>
      </c>
      <c r="F5" s="257"/>
      <c r="G5" s="257"/>
      <c r="H5" s="25" t="s">
        <v>157</v>
      </c>
      <c r="I5" s="257"/>
      <c r="J5" s="257"/>
      <c r="K5" s="260"/>
    </row>
    <row r="6" spans="1:12" ht="14.4" customHeight="1" thickBot="1" x14ac:dyDescent="0.35">
      <c r="A6" s="324" t="s">
        <v>164</v>
      </c>
      <c r="B6" s="306">
        <v>2866.1668909025602</v>
      </c>
      <c r="C6" s="306">
        <v>3172.5716699999998</v>
      </c>
      <c r="D6" s="307">
        <v>306.40477909743697</v>
      </c>
      <c r="E6" s="308">
        <v>1.1069040257460001</v>
      </c>
      <c r="F6" s="306">
        <v>3264.5672534489399</v>
      </c>
      <c r="G6" s="307">
        <v>816.14181336223498</v>
      </c>
      <c r="H6" s="309">
        <v>280.56114000000099</v>
      </c>
      <c r="I6" s="306">
        <v>761.70386000000099</v>
      </c>
      <c r="J6" s="307">
        <v>-54.437953362233998</v>
      </c>
      <c r="K6" s="310">
        <v>0.23332460349600001</v>
      </c>
      <c r="L6" s="109"/>
    </row>
    <row r="7" spans="1:12" ht="14.4" customHeight="1" thickBot="1" x14ac:dyDescent="0.35">
      <c r="A7" s="325" t="s">
        <v>165</v>
      </c>
      <c r="B7" s="306">
        <v>162.44390125993201</v>
      </c>
      <c r="C7" s="306">
        <v>169.96661</v>
      </c>
      <c r="D7" s="307">
        <v>7.5227087400680004</v>
      </c>
      <c r="E7" s="308">
        <v>1.046309579379</v>
      </c>
      <c r="F7" s="306">
        <v>179.95439619748601</v>
      </c>
      <c r="G7" s="307">
        <v>44.988599049370997</v>
      </c>
      <c r="H7" s="309">
        <v>4.7415099999999999</v>
      </c>
      <c r="I7" s="306">
        <v>18.802430000000001</v>
      </c>
      <c r="J7" s="307">
        <v>-26.186169049370999</v>
      </c>
      <c r="K7" s="310">
        <v>0.104484416037</v>
      </c>
      <c r="L7" s="109"/>
    </row>
    <row r="8" spans="1:12" ht="14.4" customHeight="1" thickBot="1" x14ac:dyDescent="0.35">
      <c r="A8" s="326" t="s">
        <v>166</v>
      </c>
      <c r="B8" s="306">
        <v>137.79583861024301</v>
      </c>
      <c r="C8" s="306">
        <v>146.39260999999999</v>
      </c>
      <c r="D8" s="307">
        <v>8.5967713897560003</v>
      </c>
      <c r="E8" s="308">
        <v>1.0623877431740001</v>
      </c>
      <c r="F8" s="306">
        <v>156.38423283063</v>
      </c>
      <c r="G8" s="307">
        <v>39.096058207657002</v>
      </c>
      <c r="H8" s="309">
        <v>1.9735100000000001</v>
      </c>
      <c r="I8" s="306">
        <v>10.15443</v>
      </c>
      <c r="J8" s="307">
        <v>-28.941628207657001</v>
      </c>
      <c r="K8" s="310">
        <v>6.4932569070999993E-2</v>
      </c>
      <c r="L8" s="109"/>
    </row>
    <row r="9" spans="1:12" ht="14.4" customHeight="1" thickBot="1" x14ac:dyDescent="0.35">
      <c r="A9" s="327" t="s">
        <v>167</v>
      </c>
      <c r="B9" s="311">
        <v>15</v>
      </c>
      <c r="C9" s="311">
        <v>20.794879999999999</v>
      </c>
      <c r="D9" s="312">
        <v>5.7948799999989999</v>
      </c>
      <c r="E9" s="313">
        <v>1.3863253333329999</v>
      </c>
      <c r="F9" s="311">
        <v>20</v>
      </c>
      <c r="G9" s="312">
        <v>5</v>
      </c>
      <c r="H9" s="314">
        <v>1.8221000000000001</v>
      </c>
      <c r="I9" s="311">
        <v>3.6665999999999999</v>
      </c>
      <c r="J9" s="312">
        <v>-1.3333999999999999</v>
      </c>
      <c r="K9" s="315">
        <v>0.18332999999999999</v>
      </c>
      <c r="L9" s="109"/>
    </row>
    <row r="10" spans="1:12" ht="14.4" customHeight="1" thickBot="1" x14ac:dyDescent="0.35">
      <c r="A10" s="328" t="s">
        <v>168</v>
      </c>
      <c r="B10" s="306">
        <v>15</v>
      </c>
      <c r="C10" s="306">
        <v>20.794879999999999</v>
      </c>
      <c r="D10" s="307">
        <v>5.7948799999989999</v>
      </c>
      <c r="E10" s="308">
        <v>1.3863253333329999</v>
      </c>
      <c r="F10" s="306">
        <v>20</v>
      </c>
      <c r="G10" s="307">
        <v>5</v>
      </c>
      <c r="H10" s="309">
        <v>1.8221000000000001</v>
      </c>
      <c r="I10" s="306">
        <v>3.6665999999999999</v>
      </c>
      <c r="J10" s="307">
        <v>-1.3333999999999999</v>
      </c>
      <c r="K10" s="310">
        <v>0.18332999999999999</v>
      </c>
      <c r="L10" s="109"/>
    </row>
    <row r="11" spans="1:12" ht="14.4" customHeight="1" thickBot="1" x14ac:dyDescent="0.35">
      <c r="A11" s="327" t="s">
        <v>169</v>
      </c>
      <c r="B11" s="311">
        <v>105</v>
      </c>
      <c r="C11" s="311">
        <v>103.9109</v>
      </c>
      <c r="D11" s="312">
        <v>-1.0890999999990001</v>
      </c>
      <c r="E11" s="313">
        <v>0.98962761904700003</v>
      </c>
      <c r="F11" s="311">
        <v>105</v>
      </c>
      <c r="G11" s="312">
        <v>26.25</v>
      </c>
      <c r="H11" s="314">
        <v>0</v>
      </c>
      <c r="I11" s="311">
        <v>0</v>
      </c>
      <c r="J11" s="312">
        <v>-26.25</v>
      </c>
      <c r="K11" s="315">
        <v>0</v>
      </c>
      <c r="L11" s="109"/>
    </row>
    <row r="12" spans="1:12" ht="14.4" customHeight="1" thickBot="1" x14ac:dyDescent="0.35">
      <c r="A12" s="328" t="s">
        <v>170</v>
      </c>
      <c r="B12" s="306">
        <v>105</v>
      </c>
      <c r="C12" s="306">
        <v>0</v>
      </c>
      <c r="D12" s="307">
        <v>-105</v>
      </c>
      <c r="E12" s="308">
        <v>0</v>
      </c>
      <c r="F12" s="306">
        <v>105</v>
      </c>
      <c r="G12" s="307">
        <v>26.25</v>
      </c>
      <c r="H12" s="309">
        <v>0</v>
      </c>
      <c r="I12" s="306">
        <v>0</v>
      </c>
      <c r="J12" s="307">
        <v>-26.25</v>
      </c>
      <c r="K12" s="310">
        <v>0</v>
      </c>
      <c r="L12" s="109"/>
    </row>
    <row r="13" spans="1:12" ht="14.4" customHeight="1" thickBot="1" x14ac:dyDescent="0.35">
      <c r="A13" s="328" t="s">
        <v>171</v>
      </c>
      <c r="B13" s="306">
        <v>0</v>
      </c>
      <c r="C13" s="306">
        <v>103.9109</v>
      </c>
      <c r="D13" s="307">
        <v>103.9109</v>
      </c>
      <c r="E13" s="316" t="s">
        <v>172</v>
      </c>
      <c r="F13" s="306">
        <v>0</v>
      </c>
      <c r="G13" s="307">
        <v>0</v>
      </c>
      <c r="H13" s="309">
        <v>0</v>
      </c>
      <c r="I13" s="306">
        <v>0</v>
      </c>
      <c r="J13" s="307">
        <v>0</v>
      </c>
      <c r="K13" s="317" t="s">
        <v>162</v>
      </c>
      <c r="L13" s="109"/>
    </row>
    <row r="14" spans="1:12" ht="14.4" customHeight="1" thickBot="1" x14ac:dyDescent="0.35">
      <c r="A14" s="327" t="s">
        <v>173</v>
      </c>
      <c r="B14" s="311">
        <v>16.795838610242999</v>
      </c>
      <c r="C14" s="311">
        <v>4.5428300000000004</v>
      </c>
      <c r="D14" s="312">
        <v>-12.253008610243</v>
      </c>
      <c r="E14" s="313">
        <v>0.27047354439499999</v>
      </c>
      <c r="F14" s="311">
        <v>17.083711843538001</v>
      </c>
      <c r="G14" s="312">
        <v>4.2709279608840003</v>
      </c>
      <c r="H14" s="314">
        <v>0.15140999999999999</v>
      </c>
      <c r="I14" s="311">
        <v>1.1638299999999999</v>
      </c>
      <c r="J14" s="312">
        <v>-3.1070979608839999</v>
      </c>
      <c r="K14" s="315">
        <v>6.8125124718000002E-2</v>
      </c>
      <c r="L14" s="109"/>
    </row>
    <row r="15" spans="1:12" ht="14.4" customHeight="1" thickBot="1" x14ac:dyDescent="0.35">
      <c r="A15" s="328" t="s">
        <v>174</v>
      </c>
      <c r="B15" s="306">
        <v>1</v>
      </c>
      <c r="C15" s="306">
        <v>0.1525</v>
      </c>
      <c r="D15" s="307">
        <v>-0.84750000000000003</v>
      </c>
      <c r="E15" s="308">
        <v>0.1525</v>
      </c>
      <c r="F15" s="306">
        <v>1</v>
      </c>
      <c r="G15" s="307">
        <v>0.25</v>
      </c>
      <c r="H15" s="309">
        <v>0</v>
      </c>
      <c r="I15" s="306">
        <v>0</v>
      </c>
      <c r="J15" s="307">
        <v>-0.25</v>
      </c>
      <c r="K15" s="310">
        <v>0</v>
      </c>
      <c r="L15" s="109"/>
    </row>
    <row r="16" spans="1:12" ht="14.4" customHeight="1" thickBot="1" x14ac:dyDescent="0.35">
      <c r="A16" s="328" t="s">
        <v>175</v>
      </c>
      <c r="B16" s="306">
        <v>5</v>
      </c>
      <c r="C16" s="306">
        <v>1.5641099999999999</v>
      </c>
      <c r="D16" s="307">
        <v>-3.4358900000000001</v>
      </c>
      <c r="E16" s="308">
        <v>0.31282199999999999</v>
      </c>
      <c r="F16" s="306">
        <v>5</v>
      </c>
      <c r="G16" s="307">
        <v>1.25</v>
      </c>
      <c r="H16" s="309">
        <v>0.15140999999999999</v>
      </c>
      <c r="I16" s="306">
        <v>1.1638299999999999</v>
      </c>
      <c r="J16" s="307">
        <v>-8.6169999999000005E-2</v>
      </c>
      <c r="K16" s="310">
        <v>0.232766</v>
      </c>
      <c r="L16" s="109"/>
    </row>
    <row r="17" spans="1:12" ht="14.4" customHeight="1" thickBot="1" x14ac:dyDescent="0.35">
      <c r="A17" s="328" t="s">
        <v>176</v>
      </c>
      <c r="B17" s="306">
        <v>7.795838610243</v>
      </c>
      <c r="C17" s="306">
        <v>2.0569999999999999</v>
      </c>
      <c r="D17" s="307">
        <v>-5.7388386102429996</v>
      </c>
      <c r="E17" s="308">
        <v>0.263858720381</v>
      </c>
      <c r="F17" s="306">
        <v>8.0837118435379995</v>
      </c>
      <c r="G17" s="307">
        <v>2.0209279608839998</v>
      </c>
      <c r="H17" s="309">
        <v>0</v>
      </c>
      <c r="I17" s="306">
        <v>0</v>
      </c>
      <c r="J17" s="307">
        <v>-2.0209279608839998</v>
      </c>
      <c r="K17" s="310">
        <v>0</v>
      </c>
      <c r="L17" s="109"/>
    </row>
    <row r="18" spans="1:12" ht="14.4" customHeight="1" thickBot="1" x14ac:dyDescent="0.35">
      <c r="A18" s="328" t="s">
        <v>177</v>
      </c>
      <c r="B18" s="306">
        <v>3</v>
      </c>
      <c r="C18" s="306">
        <v>0.76922000000000001</v>
      </c>
      <c r="D18" s="307">
        <v>-2.2307800000000002</v>
      </c>
      <c r="E18" s="308">
        <v>0.25640666666599998</v>
      </c>
      <c r="F18" s="306">
        <v>3</v>
      </c>
      <c r="G18" s="307">
        <v>0.75</v>
      </c>
      <c r="H18" s="309">
        <v>0</v>
      </c>
      <c r="I18" s="306">
        <v>0</v>
      </c>
      <c r="J18" s="307">
        <v>-0.75</v>
      </c>
      <c r="K18" s="310">
        <v>0</v>
      </c>
      <c r="L18" s="109"/>
    </row>
    <row r="19" spans="1:12" ht="14.4" customHeight="1" thickBot="1" x14ac:dyDescent="0.35">
      <c r="A19" s="327" t="s">
        <v>178</v>
      </c>
      <c r="B19" s="311">
        <v>1</v>
      </c>
      <c r="C19" s="311">
        <v>5.3239999999999998</v>
      </c>
      <c r="D19" s="312">
        <v>4.3239999999999998</v>
      </c>
      <c r="E19" s="313">
        <v>5.3239999999989998</v>
      </c>
      <c r="F19" s="311">
        <v>3</v>
      </c>
      <c r="G19" s="312">
        <v>0.75</v>
      </c>
      <c r="H19" s="314">
        <v>0</v>
      </c>
      <c r="I19" s="311">
        <v>5.3239999999999998</v>
      </c>
      <c r="J19" s="312">
        <v>4.5739999999999998</v>
      </c>
      <c r="K19" s="315">
        <v>1.774666666666</v>
      </c>
      <c r="L19" s="109"/>
    </row>
    <row r="20" spans="1:12" ht="14.4" customHeight="1" thickBot="1" x14ac:dyDescent="0.35">
      <c r="A20" s="328" t="s">
        <v>179</v>
      </c>
      <c r="B20" s="306">
        <v>1</v>
      </c>
      <c r="C20" s="306">
        <v>5.3239999999999998</v>
      </c>
      <c r="D20" s="307">
        <v>4.3239999999999998</v>
      </c>
      <c r="E20" s="308">
        <v>5.3239999999989998</v>
      </c>
      <c r="F20" s="306">
        <v>3</v>
      </c>
      <c r="G20" s="307">
        <v>0.75</v>
      </c>
      <c r="H20" s="309">
        <v>0</v>
      </c>
      <c r="I20" s="306">
        <v>5.3239999999999998</v>
      </c>
      <c r="J20" s="307">
        <v>4.5739999999999998</v>
      </c>
      <c r="K20" s="310">
        <v>1.774666666666</v>
      </c>
      <c r="L20" s="109"/>
    </row>
    <row r="21" spans="1:12" ht="14.4" customHeight="1" thickBot="1" x14ac:dyDescent="0.35">
      <c r="A21" s="327" t="s">
        <v>180</v>
      </c>
      <c r="B21" s="311">
        <v>0</v>
      </c>
      <c r="C21" s="311">
        <v>11.82</v>
      </c>
      <c r="D21" s="312">
        <v>11.82</v>
      </c>
      <c r="E21" s="318" t="s">
        <v>172</v>
      </c>
      <c r="F21" s="311">
        <v>11.300520987091</v>
      </c>
      <c r="G21" s="312">
        <v>2.8251302467719999</v>
      </c>
      <c r="H21" s="314">
        <v>0</v>
      </c>
      <c r="I21" s="311">
        <v>0</v>
      </c>
      <c r="J21" s="312">
        <v>-2.8251302467719999</v>
      </c>
      <c r="K21" s="315">
        <v>0</v>
      </c>
      <c r="L21" s="109"/>
    </row>
    <row r="22" spans="1:12" ht="14.4" customHeight="1" thickBot="1" x14ac:dyDescent="0.35">
      <c r="A22" s="328" t="s">
        <v>181</v>
      </c>
      <c r="B22" s="306">
        <v>0</v>
      </c>
      <c r="C22" s="306">
        <v>11.82</v>
      </c>
      <c r="D22" s="307">
        <v>11.82</v>
      </c>
      <c r="E22" s="316" t="s">
        <v>172</v>
      </c>
      <c r="F22" s="306">
        <v>11.300520987091</v>
      </c>
      <c r="G22" s="307">
        <v>2.8251302467719999</v>
      </c>
      <c r="H22" s="309">
        <v>0</v>
      </c>
      <c r="I22" s="306">
        <v>0</v>
      </c>
      <c r="J22" s="307">
        <v>-2.8251302467719999</v>
      </c>
      <c r="K22" s="310">
        <v>0</v>
      </c>
      <c r="L22" s="109"/>
    </row>
    <row r="23" spans="1:12" ht="14.4" customHeight="1" thickBot="1" x14ac:dyDescent="0.35">
      <c r="A23" s="326" t="s">
        <v>16</v>
      </c>
      <c r="B23" s="306">
        <v>24.648062649688001</v>
      </c>
      <c r="C23" s="306">
        <v>23.574000000000002</v>
      </c>
      <c r="D23" s="307">
        <v>-1.0740626496879999</v>
      </c>
      <c r="E23" s="308">
        <v>0.95642405389200003</v>
      </c>
      <c r="F23" s="306">
        <v>23.570163366854999</v>
      </c>
      <c r="G23" s="307">
        <v>5.8925408417130001</v>
      </c>
      <c r="H23" s="309">
        <v>2.7679999999999998</v>
      </c>
      <c r="I23" s="306">
        <v>8.6479999999999997</v>
      </c>
      <c r="J23" s="307">
        <v>2.755459158286</v>
      </c>
      <c r="K23" s="310">
        <v>0.36690454221199997</v>
      </c>
      <c r="L23" s="109"/>
    </row>
    <row r="24" spans="1:12" ht="14.4" customHeight="1" thickBot="1" x14ac:dyDescent="0.35">
      <c r="A24" s="327" t="s">
        <v>182</v>
      </c>
      <c r="B24" s="311">
        <v>24.648062649688001</v>
      </c>
      <c r="C24" s="311">
        <v>23.574000000000002</v>
      </c>
      <c r="D24" s="312">
        <v>-1.0740626496879999</v>
      </c>
      <c r="E24" s="313">
        <v>0.95642405389200003</v>
      </c>
      <c r="F24" s="311">
        <v>23.570163366854999</v>
      </c>
      <c r="G24" s="312">
        <v>5.8925408417130001</v>
      </c>
      <c r="H24" s="314">
        <v>2.7679999999999998</v>
      </c>
      <c r="I24" s="311">
        <v>8.6479999999999997</v>
      </c>
      <c r="J24" s="312">
        <v>2.755459158286</v>
      </c>
      <c r="K24" s="315">
        <v>0.36690454221199997</v>
      </c>
      <c r="L24" s="109"/>
    </row>
    <row r="25" spans="1:12" ht="14.4" customHeight="1" thickBot="1" x14ac:dyDescent="0.35">
      <c r="A25" s="328" t="s">
        <v>183</v>
      </c>
      <c r="B25" s="306">
        <v>5.6480626496879998</v>
      </c>
      <c r="C25" s="306">
        <v>5.1139999999999999</v>
      </c>
      <c r="D25" s="307">
        <v>-0.53406264968799999</v>
      </c>
      <c r="E25" s="308">
        <v>0.90544321428100005</v>
      </c>
      <c r="F25" s="306">
        <v>5.4378899310189999</v>
      </c>
      <c r="G25" s="307">
        <v>1.3594724827539999</v>
      </c>
      <c r="H25" s="309">
        <v>0.441</v>
      </c>
      <c r="I25" s="306">
        <v>1.4339999999999999</v>
      </c>
      <c r="J25" s="307">
        <v>7.4527517244999994E-2</v>
      </c>
      <c r="K25" s="310">
        <v>0.26370522724599998</v>
      </c>
      <c r="L25" s="109"/>
    </row>
    <row r="26" spans="1:12" ht="14.4" customHeight="1" thickBot="1" x14ac:dyDescent="0.35">
      <c r="A26" s="328" t="s">
        <v>184</v>
      </c>
      <c r="B26" s="306">
        <v>18.999999999999002</v>
      </c>
      <c r="C26" s="306">
        <v>18.46</v>
      </c>
      <c r="D26" s="307">
        <v>-0.53999999999899995</v>
      </c>
      <c r="E26" s="308">
        <v>0.97157894736799999</v>
      </c>
      <c r="F26" s="306">
        <v>18.132273435836002</v>
      </c>
      <c r="G26" s="307">
        <v>4.5330683589590004</v>
      </c>
      <c r="H26" s="309">
        <v>2.327</v>
      </c>
      <c r="I26" s="306">
        <v>7.2140000000000004</v>
      </c>
      <c r="J26" s="307">
        <v>2.6809316410399999</v>
      </c>
      <c r="K26" s="310">
        <v>0.39785413701799999</v>
      </c>
      <c r="L26" s="109"/>
    </row>
    <row r="27" spans="1:12" ht="14.4" customHeight="1" thickBot="1" x14ac:dyDescent="0.35">
      <c r="A27" s="329" t="s">
        <v>185</v>
      </c>
      <c r="B27" s="311">
        <v>21.722989642630999</v>
      </c>
      <c r="C27" s="311">
        <v>62.678640000000001</v>
      </c>
      <c r="D27" s="312">
        <v>40.955650357368</v>
      </c>
      <c r="E27" s="313">
        <v>2.8853597516330001</v>
      </c>
      <c r="F27" s="311">
        <v>33.816536437274003</v>
      </c>
      <c r="G27" s="312">
        <v>8.4541341093179998</v>
      </c>
      <c r="H27" s="314">
        <v>1.51511</v>
      </c>
      <c r="I27" s="311">
        <v>4.7322600000000001</v>
      </c>
      <c r="J27" s="312">
        <v>-3.7218741093180001</v>
      </c>
      <c r="K27" s="315">
        <v>0.139939227921</v>
      </c>
      <c r="L27" s="111"/>
    </row>
    <row r="28" spans="1:12" ht="14.4" customHeight="1" thickBot="1" x14ac:dyDescent="0.35">
      <c r="A28" s="326" t="s">
        <v>19</v>
      </c>
      <c r="B28" s="306">
        <v>14.804580373826999</v>
      </c>
      <c r="C28" s="306">
        <v>42.228879999999997</v>
      </c>
      <c r="D28" s="307">
        <v>27.424299626172001</v>
      </c>
      <c r="E28" s="308">
        <v>2.8524199223269999</v>
      </c>
      <c r="F28" s="306">
        <v>20.489356156583</v>
      </c>
      <c r="G28" s="307">
        <v>5.1223390391450003</v>
      </c>
      <c r="H28" s="309">
        <v>0</v>
      </c>
      <c r="I28" s="306">
        <v>0.64471999999999996</v>
      </c>
      <c r="J28" s="307">
        <v>-4.4776190391449999</v>
      </c>
      <c r="K28" s="310">
        <v>3.1466093666999997E-2</v>
      </c>
      <c r="L28" s="109"/>
    </row>
    <row r="29" spans="1:12" ht="14.4" customHeight="1" thickBot="1" x14ac:dyDescent="0.35">
      <c r="A29" s="330" t="s">
        <v>186</v>
      </c>
      <c r="B29" s="306">
        <v>14.804580373826999</v>
      </c>
      <c r="C29" s="306">
        <v>42.228879999999997</v>
      </c>
      <c r="D29" s="307">
        <v>27.424299626172001</v>
      </c>
      <c r="E29" s="308">
        <v>2.8524199223269999</v>
      </c>
      <c r="F29" s="306">
        <v>20.489356156583</v>
      </c>
      <c r="G29" s="307">
        <v>5.1223390391450003</v>
      </c>
      <c r="H29" s="309">
        <v>0</v>
      </c>
      <c r="I29" s="306">
        <v>0.64471999999999996</v>
      </c>
      <c r="J29" s="307">
        <v>-4.4776190391449999</v>
      </c>
      <c r="K29" s="310">
        <v>3.1466093666999997E-2</v>
      </c>
      <c r="L29" s="109"/>
    </row>
    <row r="30" spans="1:12" ht="14.4" customHeight="1" thickBot="1" x14ac:dyDescent="0.35">
      <c r="A30" s="328" t="s">
        <v>187</v>
      </c>
      <c r="B30" s="306">
        <v>3.8045803738270001</v>
      </c>
      <c r="C30" s="306">
        <v>0</v>
      </c>
      <c r="D30" s="307">
        <v>-3.8045803738270001</v>
      </c>
      <c r="E30" s="308">
        <v>0</v>
      </c>
      <c r="F30" s="306">
        <v>0</v>
      </c>
      <c r="G30" s="307">
        <v>0</v>
      </c>
      <c r="H30" s="309">
        <v>0</v>
      </c>
      <c r="I30" s="306">
        <v>0</v>
      </c>
      <c r="J30" s="307">
        <v>0</v>
      </c>
      <c r="K30" s="310">
        <v>0</v>
      </c>
      <c r="L30" s="109"/>
    </row>
    <row r="31" spans="1:12" ht="14.4" customHeight="1" thickBot="1" x14ac:dyDescent="0.35">
      <c r="A31" s="328" t="s">
        <v>188</v>
      </c>
      <c r="B31" s="306">
        <v>0.99999999999900002</v>
      </c>
      <c r="C31" s="306">
        <v>0.26597999999900002</v>
      </c>
      <c r="D31" s="307">
        <v>-0.73401999999900003</v>
      </c>
      <c r="E31" s="308">
        <v>0.26597999999999999</v>
      </c>
      <c r="F31" s="306">
        <v>0.48935615658300002</v>
      </c>
      <c r="G31" s="307">
        <v>0.12233903914499999</v>
      </c>
      <c r="H31" s="309">
        <v>0</v>
      </c>
      <c r="I31" s="306">
        <v>0.64471999999999996</v>
      </c>
      <c r="J31" s="307">
        <v>0.52238096085399999</v>
      </c>
      <c r="K31" s="310">
        <v>1.3174862343639999</v>
      </c>
      <c r="L31" s="109"/>
    </row>
    <row r="32" spans="1:12" ht="14.4" customHeight="1" thickBot="1" x14ac:dyDescent="0.35">
      <c r="A32" s="328" t="s">
        <v>189</v>
      </c>
      <c r="B32" s="306">
        <v>10</v>
      </c>
      <c r="C32" s="306">
        <v>41.962899999999998</v>
      </c>
      <c r="D32" s="307">
        <v>31.962900000000001</v>
      </c>
      <c r="E32" s="308">
        <v>4.1962900000000003</v>
      </c>
      <c r="F32" s="306">
        <v>20</v>
      </c>
      <c r="G32" s="307">
        <v>5</v>
      </c>
      <c r="H32" s="309">
        <v>0</v>
      </c>
      <c r="I32" s="306">
        <v>0</v>
      </c>
      <c r="J32" s="307">
        <v>-5</v>
      </c>
      <c r="K32" s="310">
        <v>0</v>
      </c>
      <c r="L32" s="109"/>
    </row>
    <row r="33" spans="1:12" ht="14.4" customHeight="1" thickBot="1" x14ac:dyDescent="0.35">
      <c r="A33" s="331" t="s">
        <v>20</v>
      </c>
      <c r="B33" s="311">
        <v>0</v>
      </c>
      <c r="C33" s="311">
        <v>11.013999999999999</v>
      </c>
      <c r="D33" s="312">
        <v>11.013999999999999</v>
      </c>
      <c r="E33" s="318" t="s">
        <v>162</v>
      </c>
      <c r="F33" s="311">
        <v>0</v>
      </c>
      <c r="G33" s="312">
        <v>0</v>
      </c>
      <c r="H33" s="314">
        <v>0.63600000000000001</v>
      </c>
      <c r="I33" s="311">
        <v>1.825</v>
      </c>
      <c r="J33" s="312">
        <v>1.825</v>
      </c>
      <c r="K33" s="319" t="s">
        <v>162</v>
      </c>
      <c r="L33" s="109"/>
    </row>
    <row r="34" spans="1:12" ht="14.4" customHeight="1" thickBot="1" x14ac:dyDescent="0.35">
      <c r="A34" s="327" t="s">
        <v>190</v>
      </c>
      <c r="B34" s="311">
        <v>0</v>
      </c>
      <c r="C34" s="311">
        <v>11.013999999999999</v>
      </c>
      <c r="D34" s="312">
        <v>11.013999999999999</v>
      </c>
      <c r="E34" s="318" t="s">
        <v>162</v>
      </c>
      <c r="F34" s="311">
        <v>0</v>
      </c>
      <c r="G34" s="312">
        <v>0</v>
      </c>
      <c r="H34" s="314">
        <v>0.63600000000000001</v>
      </c>
      <c r="I34" s="311">
        <v>1.825</v>
      </c>
      <c r="J34" s="312">
        <v>1.825</v>
      </c>
      <c r="K34" s="319" t="s">
        <v>162</v>
      </c>
      <c r="L34" s="109"/>
    </row>
    <row r="35" spans="1:12" ht="14.4" customHeight="1" thickBot="1" x14ac:dyDescent="0.35">
      <c r="A35" s="328" t="s">
        <v>191</v>
      </c>
      <c r="B35" s="306">
        <v>0</v>
      </c>
      <c r="C35" s="306">
        <v>11.013999999999999</v>
      </c>
      <c r="D35" s="307">
        <v>11.013999999999999</v>
      </c>
      <c r="E35" s="316" t="s">
        <v>162</v>
      </c>
      <c r="F35" s="306">
        <v>0</v>
      </c>
      <c r="G35" s="307">
        <v>0</v>
      </c>
      <c r="H35" s="309">
        <v>0.63600000000000001</v>
      </c>
      <c r="I35" s="306">
        <v>1.825</v>
      </c>
      <c r="J35" s="307">
        <v>1.825</v>
      </c>
      <c r="K35" s="317" t="s">
        <v>162</v>
      </c>
      <c r="L35" s="109"/>
    </row>
    <row r="36" spans="1:12" ht="14.4" customHeight="1" thickBot="1" x14ac:dyDescent="0.35">
      <c r="A36" s="326" t="s">
        <v>21</v>
      </c>
      <c r="B36" s="306">
        <v>6.918409268804</v>
      </c>
      <c r="C36" s="306">
        <v>9.4357600000000001</v>
      </c>
      <c r="D36" s="307">
        <v>2.5173507311950001</v>
      </c>
      <c r="E36" s="308">
        <v>1.3638626501240001</v>
      </c>
      <c r="F36" s="306">
        <v>13.327180280689999</v>
      </c>
      <c r="G36" s="307">
        <v>3.3317950701719998</v>
      </c>
      <c r="H36" s="309">
        <v>0.87910999999999995</v>
      </c>
      <c r="I36" s="306">
        <v>2.26254</v>
      </c>
      <c r="J36" s="307">
        <v>-1.0692550701720001</v>
      </c>
      <c r="K36" s="310">
        <v>0.16976884474699999</v>
      </c>
      <c r="L36" s="109"/>
    </row>
    <row r="37" spans="1:12" ht="14.4" customHeight="1" thickBot="1" x14ac:dyDescent="0.35">
      <c r="A37" s="327" t="s">
        <v>192</v>
      </c>
      <c r="B37" s="311">
        <v>1.918409268804</v>
      </c>
      <c r="C37" s="311">
        <v>1.7301800000000001</v>
      </c>
      <c r="D37" s="312">
        <v>-0.18822926880400001</v>
      </c>
      <c r="E37" s="313">
        <v>0.90188263168600002</v>
      </c>
      <c r="F37" s="311">
        <v>1.7793333081030001</v>
      </c>
      <c r="G37" s="312">
        <v>0.444833327025</v>
      </c>
      <c r="H37" s="314">
        <v>0.13303000000000001</v>
      </c>
      <c r="I37" s="311">
        <v>0.40711999999999998</v>
      </c>
      <c r="J37" s="312">
        <v>-3.7713327025E-2</v>
      </c>
      <c r="K37" s="315">
        <v>0.228804799048</v>
      </c>
      <c r="L37" s="109"/>
    </row>
    <row r="38" spans="1:12" ht="14.4" customHeight="1" thickBot="1" x14ac:dyDescent="0.35">
      <c r="A38" s="328" t="s">
        <v>193</v>
      </c>
      <c r="B38" s="306">
        <v>1.918409268804</v>
      </c>
      <c r="C38" s="306">
        <v>1.7301800000000001</v>
      </c>
      <c r="D38" s="307">
        <v>-0.18822926880400001</v>
      </c>
      <c r="E38" s="308">
        <v>0.90188263168600002</v>
      </c>
      <c r="F38" s="306">
        <v>1.7793333081030001</v>
      </c>
      <c r="G38" s="307">
        <v>0.444833327025</v>
      </c>
      <c r="H38" s="309">
        <v>0.13303000000000001</v>
      </c>
      <c r="I38" s="306">
        <v>0.40711999999999998</v>
      </c>
      <c r="J38" s="307">
        <v>-3.7713327025E-2</v>
      </c>
      <c r="K38" s="310">
        <v>0.228804799048</v>
      </c>
      <c r="L38" s="109"/>
    </row>
    <row r="39" spans="1:12" ht="14.4" customHeight="1" thickBot="1" x14ac:dyDescent="0.35">
      <c r="A39" s="327" t="s">
        <v>194</v>
      </c>
      <c r="B39" s="311">
        <v>0</v>
      </c>
      <c r="C39" s="311">
        <v>1</v>
      </c>
      <c r="D39" s="312">
        <v>1</v>
      </c>
      <c r="E39" s="318" t="s">
        <v>172</v>
      </c>
      <c r="F39" s="311">
        <v>0.99954641273099998</v>
      </c>
      <c r="G39" s="312">
        <v>0.24988660318200001</v>
      </c>
      <c r="H39" s="314">
        <v>0</v>
      </c>
      <c r="I39" s="311">
        <v>0</v>
      </c>
      <c r="J39" s="312">
        <v>-0.24988660318200001</v>
      </c>
      <c r="K39" s="315">
        <v>0</v>
      </c>
      <c r="L39" s="109"/>
    </row>
    <row r="40" spans="1:12" ht="14.4" customHeight="1" thickBot="1" x14ac:dyDescent="0.35">
      <c r="A40" s="328" t="s">
        <v>195</v>
      </c>
      <c r="B40" s="306">
        <v>0</v>
      </c>
      <c r="C40" s="306">
        <v>1</v>
      </c>
      <c r="D40" s="307">
        <v>1</v>
      </c>
      <c r="E40" s="316" t="s">
        <v>172</v>
      </c>
      <c r="F40" s="306">
        <v>0.99954641273099998</v>
      </c>
      <c r="G40" s="307">
        <v>0.24988660318200001</v>
      </c>
      <c r="H40" s="309">
        <v>0</v>
      </c>
      <c r="I40" s="306">
        <v>0</v>
      </c>
      <c r="J40" s="307">
        <v>-0.24988660318200001</v>
      </c>
      <c r="K40" s="310">
        <v>0</v>
      </c>
      <c r="L40" s="109"/>
    </row>
    <row r="41" spans="1:12" ht="14.4" customHeight="1" thickBot="1" x14ac:dyDescent="0.35">
      <c r="A41" s="327" t="s">
        <v>196</v>
      </c>
      <c r="B41" s="311">
        <v>5</v>
      </c>
      <c r="C41" s="311">
        <v>4.1064999999999996</v>
      </c>
      <c r="D41" s="312">
        <v>-0.89349999999999996</v>
      </c>
      <c r="E41" s="313">
        <v>0.82129999999900005</v>
      </c>
      <c r="F41" s="311">
        <v>4.548300559856</v>
      </c>
      <c r="G41" s="312">
        <v>1.137075139964</v>
      </c>
      <c r="H41" s="314">
        <v>0.52949000000000002</v>
      </c>
      <c r="I41" s="311">
        <v>1.2056500000000001</v>
      </c>
      <c r="J41" s="312">
        <v>6.8574860035000004E-2</v>
      </c>
      <c r="K41" s="315">
        <v>0.26507702912999997</v>
      </c>
      <c r="L41" s="109"/>
    </row>
    <row r="42" spans="1:12" ht="14.4" customHeight="1" thickBot="1" x14ac:dyDescent="0.35">
      <c r="A42" s="328" t="s">
        <v>197</v>
      </c>
      <c r="B42" s="306">
        <v>5</v>
      </c>
      <c r="C42" s="306">
        <v>3.9975000000000001</v>
      </c>
      <c r="D42" s="307">
        <v>-1.0024999999999999</v>
      </c>
      <c r="E42" s="308">
        <v>0.79949999999900001</v>
      </c>
      <c r="F42" s="306">
        <v>4.548300559856</v>
      </c>
      <c r="G42" s="307">
        <v>1.137075139964</v>
      </c>
      <c r="H42" s="309">
        <v>0.35049000000000002</v>
      </c>
      <c r="I42" s="306">
        <v>1.0266500000000001</v>
      </c>
      <c r="J42" s="307">
        <v>-0.110425139964</v>
      </c>
      <c r="K42" s="310">
        <v>0.225721670432</v>
      </c>
      <c r="L42" s="109"/>
    </row>
    <row r="43" spans="1:12" ht="14.4" customHeight="1" thickBot="1" x14ac:dyDescent="0.35">
      <c r="A43" s="328" t="s">
        <v>198</v>
      </c>
      <c r="B43" s="306">
        <v>0</v>
      </c>
      <c r="C43" s="306">
        <v>0.109</v>
      </c>
      <c r="D43" s="307">
        <v>0.109</v>
      </c>
      <c r="E43" s="316" t="s">
        <v>172</v>
      </c>
      <c r="F43" s="306">
        <v>0</v>
      </c>
      <c r="G43" s="307">
        <v>0</v>
      </c>
      <c r="H43" s="309">
        <v>0.17899999999999999</v>
      </c>
      <c r="I43" s="306">
        <v>0.17899999999999999</v>
      </c>
      <c r="J43" s="307">
        <v>0.17899999999999999</v>
      </c>
      <c r="K43" s="317" t="s">
        <v>162</v>
      </c>
      <c r="L43" s="109"/>
    </row>
    <row r="44" spans="1:12" ht="14.4" customHeight="1" thickBot="1" x14ac:dyDescent="0.35">
      <c r="A44" s="327" t="s">
        <v>199</v>
      </c>
      <c r="B44" s="311">
        <v>0</v>
      </c>
      <c r="C44" s="311">
        <v>2.5990799999999998</v>
      </c>
      <c r="D44" s="312">
        <v>2.5990799999999998</v>
      </c>
      <c r="E44" s="318" t="s">
        <v>162</v>
      </c>
      <c r="F44" s="311">
        <v>6</v>
      </c>
      <c r="G44" s="312">
        <v>1.5</v>
      </c>
      <c r="H44" s="314">
        <v>0.21659</v>
      </c>
      <c r="I44" s="311">
        <v>0.64976999999999996</v>
      </c>
      <c r="J44" s="312">
        <v>-0.85023000000000004</v>
      </c>
      <c r="K44" s="315">
        <v>0.108295</v>
      </c>
      <c r="L44" s="109"/>
    </row>
    <row r="45" spans="1:12" ht="14.4" customHeight="1" thickBot="1" x14ac:dyDescent="0.35">
      <c r="A45" s="328" t="s">
        <v>200</v>
      </c>
      <c r="B45" s="306">
        <v>0</v>
      </c>
      <c r="C45" s="306">
        <v>2.5990799999999998</v>
      </c>
      <c r="D45" s="307">
        <v>2.5990799999999998</v>
      </c>
      <c r="E45" s="316" t="s">
        <v>162</v>
      </c>
      <c r="F45" s="306">
        <v>6</v>
      </c>
      <c r="G45" s="307">
        <v>1.5</v>
      </c>
      <c r="H45" s="309">
        <v>0.21659</v>
      </c>
      <c r="I45" s="306">
        <v>0.64976999999999996</v>
      </c>
      <c r="J45" s="307">
        <v>-0.85023000000000004</v>
      </c>
      <c r="K45" s="310">
        <v>0.108295</v>
      </c>
      <c r="L45" s="109"/>
    </row>
    <row r="46" spans="1:12" ht="14.4" customHeight="1" thickBot="1" x14ac:dyDescent="0.35">
      <c r="A46" s="325" t="s">
        <v>22</v>
      </c>
      <c r="B46" s="306">
        <v>2627</v>
      </c>
      <c r="C46" s="306">
        <v>2803.26242</v>
      </c>
      <c r="D46" s="307">
        <v>176.26241999999999</v>
      </c>
      <c r="E46" s="308">
        <v>1.0670964674529999</v>
      </c>
      <c r="F46" s="306">
        <v>2857.1422241026498</v>
      </c>
      <c r="G46" s="307">
        <v>714.285556025662</v>
      </c>
      <c r="H46" s="309">
        <v>271.80952000000099</v>
      </c>
      <c r="I46" s="306">
        <v>727.11917000000096</v>
      </c>
      <c r="J46" s="307">
        <v>12.833613974338</v>
      </c>
      <c r="K46" s="310">
        <v>0.25449176588599998</v>
      </c>
      <c r="L46" s="109"/>
    </row>
    <row r="47" spans="1:12" ht="14.4" customHeight="1" thickBot="1" x14ac:dyDescent="0.35">
      <c r="A47" s="331" t="s">
        <v>201</v>
      </c>
      <c r="B47" s="311">
        <v>2046</v>
      </c>
      <c r="C47" s="311">
        <v>2086.3719999999998</v>
      </c>
      <c r="D47" s="312">
        <v>40.371999999998998</v>
      </c>
      <c r="E47" s="313">
        <v>1.019732160312</v>
      </c>
      <c r="F47" s="311">
        <v>2228.94222410265</v>
      </c>
      <c r="G47" s="312">
        <v>557.23555602566296</v>
      </c>
      <c r="H47" s="314">
        <v>200.56500000000099</v>
      </c>
      <c r="I47" s="311">
        <v>536.45900000000097</v>
      </c>
      <c r="J47" s="312">
        <v>-20.776556025662</v>
      </c>
      <c r="K47" s="315">
        <v>0.24067873729399999</v>
      </c>
      <c r="L47" s="109"/>
    </row>
    <row r="48" spans="1:12" ht="14.4" customHeight="1" thickBot="1" x14ac:dyDescent="0.35">
      <c r="A48" s="327" t="s">
        <v>202</v>
      </c>
      <c r="B48" s="311">
        <v>1616</v>
      </c>
      <c r="C48" s="311">
        <v>1667.6669999999999</v>
      </c>
      <c r="D48" s="312">
        <v>51.666999999999</v>
      </c>
      <c r="E48" s="313">
        <v>1.0319721534649999</v>
      </c>
      <c r="F48" s="311">
        <v>1744.99999999999</v>
      </c>
      <c r="G48" s="312">
        <v>436.24999999999898</v>
      </c>
      <c r="H48" s="314">
        <v>152.59</v>
      </c>
      <c r="I48" s="311">
        <v>433.55900000000003</v>
      </c>
      <c r="J48" s="312">
        <v>-2.6909999999980001</v>
      </c>
      <c r="K48" s="315">
        <v>0.248457879656</v>
      </c>
      <c r="L48" s="109"/>
    </row>
    <row r="49" spans="1:12" ht="14.4" customHeight="1" thickBot="1" x14ac:dyDescent="0.35">
      <c r="A49" s="328" t="s">
        <v>203</v>
      </c>
      <c r="B49" s="306">
        <v>1616</v>
      </c>
      <c r="C49" s="306">
        <v>1667.6669999999999</v>
      </c>
      <c r="D49" s="307">
        <v>51.666999999999</v>
      </c>
      <c r="E49" s="308">
        <v>1.0319721534649999</v>
      </c>
      <c r="F49" s="306">
        <v>1744.99999999999</v>
      </c>
      <c r="G49" s="307">
        <v>436.24999999999898</v>
      </c>
      <c r="H49" s="309">
        <v>152.59</v>
      </c>
      <c r="I49" s="306">
        <v>433.55900000000003</v>
      </c>
      <c r="J49" s="307">
        <v>-2.6909999999980001</v>
      </c>
      <c r="K49" s="310">
        <v>0.248457879656</v>
      </c>
      <c r="L49" s="109"/>
    </row>
    <row r="50" spans="1:12" ht="14.4" customHeight="1" thickBot="1" x14ac:dyDescent="0.35">
      <c r="A50" s="327" t="s">
        <v>204</v>
      </c>
      <c r="B50" s="311">
        <v>425</v>
      </c>
      <c r="C50" s="311">
        <v>418.70499999999998</v>
      </c>
      <c r="D50" s="312">
        <v>-6.2949999999989998</v>
      </c>
      <c r="E50" s="313">
        <v>0.98518823529400001</v>
      </c>
      <c r="F50" s="311">
        <v>479.78322410265503</v>
      </c>
      <c r="G50" s="312">
        <v>119.945806025664</v>
      </c>
      <c r="H50" s="314">
        <v>47.975000000000001</v>
      </c>
      <c r="I50" s="311">
        <v>102.9</v>
      </c>
      <c r="J50" s="312">
        <v>-17.045806025663001</v>
      </c>
      <c r="K50" s="315">
        <v>0.21447185901999999</v>
      </c>
      <c r="L50" s="109"/>
    </row>
    <row r="51" spans="1:12" ht="14.4" customHeight="1" thickBot="1" x14ac:dyDescent="0.35">
      <c r="A51" s="328" t="s">
        <v>205</v>
      </c>
      <c r="B51" s="306">
        <v>425</v>
      </c>
      <c r="C51" s="306">
        <v>418.70499999999998</v>
      </c>
      <c r="D51" s="307">
        <v>-6.2949999999989998</v>
      </c>
      <c r="E51" s="308">
        <v>0.98518823529400001</v>
      </c>
      <c r="F51" s="306">
        <v>479.78322410265503</v>
      </c>
      <c r="G51" s="307">
        <v>119.945806025664</v>
      </c>
      <c r="H51" s="309">
        <v>47.975000000000001</v>
      </c>
      <c r="I51" s="306">
        <v>102.9</v>
      </c>
      <c r="J51" s="307">
        <v>-17.045806025663001</v>
      </c>
      <c r="K51" s="310">
        <v>0.21447185901999999</v>
      </c>
      <c r="L51" s="109"/>
    </row>
    <row r="52" spans="1:12" ht="14.4" customHeight="1" thickBot="1" x14ac:dyDescent="0.35">
      <c r="A52" s="327" t="s">
        <v>206</v>
      </c>
      <c r="B52" s="311">
        <v>5</v>
      </c>
      <c r="C52" s="311">
        <v>0</v>
      </c>
      <c r="D52" s="312">
        <v>-5</v>
      </c>
      <c r="E52" s="313">
        <v>0</v>
      </c>
      <c r="F52" s="311">
        <v>4.1589999999999998</v>
      </c>
      <c r="G52" s="312">
        <v>1.03975</v>
      </c>
      <c r="H52" s="314">
        <v>0</v>
      </c>
      <c r="I52" s="311">
        <v>0</v>
      </c>
      <c r="J52" s="312">
        <v>-1.03975</v>
      </c>
      <c r="K52" s="315">
        <v>0</v>
      </c>
      <c r="L52" s="109"/>
    </row>
    <row r="53" spans="1:12" ht="14.4" customHeight="1" thickBot="1" x14ac:dyDescent="0.35">
      <c r="A53" s="328" t="s">
        <v>207</v>
      </c>
      <c r="B53" s="306">
        <v>5</v>
      </c>
      <c r="C53" s="306">
        <v>0</v>
      </c>
      <c r="D53" s="307">
        <v>-5</v>
      </c>
      <c r="E53" s="308">
        <v>0</v>
      </c>
      <c r="F53" s="306">
        <v>4.1589999999999998</v>
      </c>
      <c r="G53" s="307">
        <v>1.03975</v>
      </c>
      <c r="H53" s="309">
        <v>0</v>
      </c>
      <c r="I53" s="306">
        <v>0</v>
      </c>
      <c r="J53" s="307">
        <v>-1.03975</v>
      </c>
      <c r="K53" s="310">
        <v>0</v>
      </c>
      <c r="L53" s="109"/>
    </row>
    <row r="54" spans="1:12" ht="14.4" customHeight="1" thickBot="1" x14ac:dyDescent="0.35">
      <c r="A54" s="326" t="s">
        <v>208</v>
      </c>
      <c r="B54" s="306">
        <v>548.99999999999898</v>
      </c>
      <c r="C54" s="306">
        <v>683.53409999999997</v>
      </c>
      <c r="D54" s="307">
        <v>134.53410000000099</v>
      </c>
      <c r="E54" s="308">
        <v>1.2450530054640001</v>
      </c>
      <c r="F54" s="306">
        <v>593.29999999999995</v>
      </c>
      <c r="G54" s="307">
        <v>148.32499999999999</v>
      </c>
      <c r="H54" s="309">
        <v>68.191249999999997</v>
      </c>
      <c r="I54" s="306">
        <v>181.98715000000001</v>
      </c>
      <c r="J54" s="307">
        <v>33.662149999999997</v>
      </c>
      <c r="K54" s="310">
        <v>0.30673714815399999</v>
      </c>
      <c r="L54" s="109"/>
    </row>
    <row r="55" spans="1:12" ht="14.4" customHeight="1" thickBot="1" x14ac:dyDescent="0.35">
      <c r="A55" s="327" t="s">
        <v>209</v>
      </c>
      <c r="B55" s="311">
        <v>144.99999999999901</v>
      </c>
      <c r="C55" s="311">
        <v>184.6206</v>
      </c>
      <c r="D55" s="312">
        <v>39.620600000000003</v>
      </c>
      <c r="E55" s="313">
        <v>1.273245517241</v>
      </c>
      <c r="F55" s="311">
        <v>157.05000000000001</v>
      </c>
      <c r="G55" s="312">
        <v>39.262500000000003</v>
      </c>
      <c r="H55" s="314">
        <v>18.05</v>
      </c>
      <c r="I55" s="311">
        <v>48.172400000000003</v>
      </c>
      <c r="J55" s="312">
        <v>8.9098999999990003</v>
      </c>
      <c r="K55" s="315">
        <v>0.306732887615</v>
      </c>
      <c r="L55" s="109"/>
    </row>
    <row r="56" spans="1:12" ht="14.4" customHeight="1" thickBot="1" x14ac:dyDescent="0.35">
      <c r="A56" s="328" t="s">
        <v>210</v>
      </c>
      <c r="B56" s="306">
        <v>144.99999999999901</v>
      </c>
      <c r="C56" s="306">
        <v>184.6206</v>
      </c>
      <c r="D56" s="307">
        <v>39.620600000000003</v>
      </c>
      <c r="E56" s="308">
        <v>1.273245517241</v>
      </c>
      <c r="F56" s="306">
        <v>157.05000000000001</v>
      </c>
      <c r="G56" s="307">
        <v>39.262500000000003</v>
      </c>
      <c r="H56" s="309">
        <v>18.05</v>
      </c>
      <c r="I56" s="306">
        <v>48.172400000000003</v>
      </c>
      <c r="J56" s="307">
        <v>8.9098999999990003</v>
      </c>
      <c r="K56" s="310">
        <v>0.306732887615</v>
      </c>
      <c r="L56" s="109"/>
    </row>
    <row r="57" spans="1:12" ht="14.4" customHeight="1" thickBot="1" x14ac:dyDescent="0.35">
      <c r="A57" s="327" t="s">
        <v>211</v>
      </c>
      <c r="B57" s="311">
        <v>404</v>
      </c>
      <c r="C57" s="311">
        <v>498.9135</v>
      </c>
      <c r="D57" s="312">
        <v>94.913499999999999</v>
      </c>
      <c r="E57" s="313">
        <v>1.23493440594</v>
      </c>
      <c r="F57" s="311">
        <v>436.24999999999898</v>
      </c>
      <c r="G57" s="312">
        <v>109.0625</v>
      </c>
      <c r="H57" s="314">
        <v>50.141249999999999</v>
      </c>
      <c r="I57" s="311">
        <v>133.81475</v>
      </c>
      <c r="J57" s="312">
        <v>24.75225</v>
      </c>
      <c r="K57" s="315">
        <v>0.30673868194800002</v>
      </c>
      <c r="L57" s="109"/>
    </row>
    <row r="58" spans="1:12" ht="14.4" customHeight="1" thickBot="1" x14ac:dyDescent="0.35">
      <c r="A58" s="328" t="s">
        <v>212</v>
      </c>
      <c r="B58" s="306">
        <v>404</v>
      </c>
      <c r="C58" s="306">
        <v>498.9135</v>
      </c>
      <c r="D58" s="307">
        <v>94.913499999999999</v>
      </c>
      <c r="E58" s="308">
        <v>1.23493440594</v>
      </c>
      <c r="F58" s="306">
        <v>436.24999999999898</v>
      </c>
      <c r="G58" s="307">
        <v>109.0625</v>
      </c>
      <c r="H58" s="309">
        <v>50.141249999999999</v>
      </c>
      <c r="I58" s="306">
        <v>133.81475</v>
      </c>
      <c r="J58" s="307">
        <v>24.75225</v>
      </c>
      <c r="K58" s="310">
        <v>0.30673868194800002</v>
      </c>
      <c r="L58" s="109"/>
    </row>
    <row r="59" spans="1:12" ht="14.4" customHeight="1" thickBot="1" x14ac:dyDescent="0.35">
      <c r="A59" s="326" t="s">
        <v>213</v>
      </c>
      <c r="B59" s="306">
        <v>32</v>
      </c>
      <c r="C59" s="306">
        <v>33.356319999999997</v>
      </c>
      <c r="D59" s="307">
        <v>1.3563199999990001</v>
      </c>
      <c r="E59" s="308">
        <v>1.0423849999999999</v>
      </c>
      <c r="F59" s="306">
        <v>34.9</v>
      </c>
      <c r="G59" s="307">
        <v>8.7249999999999996</v>
      </c>
      <c r="H59" s="309">
        <v>3.0532699999999999</v>
      </c>
      <c r="I59" s="306">
        <v>8.6730199999999993</v>
      </c>
      <c r="J59" s="307">
        <v>-5.1979999999999998E-2</v>
      </c>
      <c r="K59" s="310">
        <v>0.248510601719</v>
      </c>
      <c r="L59" s="109"/>
    </row>
    <row r="60" spans="1:12" ht="14.4" customHeight="1" thickBot="1" x14ac:dyDescent="0.35">
      <c r="A60" s="327" t="s">
        <v>214</v>
      </c>
      <c r="B60" s="311">
        <v>32</v>
      </c>
      <c r="C60" s="311">
        <v>33.356319999999997</v>
      </c>
      <c r="D60" s="312">
        <v>1.3563199999990001</v>
      </c>
      <c r="E60" s="313">
        <v>1.0423849999999999</v>
      </c>
      <c r="F60" s="311">
        <v>34.9</v>
      </c>
      <c r="G60" s="312">
        <v>8.7249999999999996</v>
      </c>
      <c r="H60" s="314">
        <v>3.0532699999999999</v>
      </c>
      <c r="I60" s="311">
        <v>8.6730199999999993</v>
      </c>
      <c r="J60" s="312">
        <v>-5.1979999999999998E-2</v>
      </c>
      <c r="K60" s="315">
        <v>0.248510601719</v>
      </c>
      <c r="L60" s="109"/>
    </row>
    <row r="61" spans="1:12" ht="14.4" customHeight="1" thickBot="1" x14ac:dyDescent="0.35">
      <c r="A61" s="328" t="s">
        <v>215</v>
      </c>
      <c r="B61" s="306">
        <v>32</v>
      </c>
      <c r="C61" s="306">
        <v>33.356319999999997</v>
      </c>
      <c r="D61" s="307">
        <v>1.3563199999990001</v>
      </c>
      <c r="E61" s="308">
        <v>1.0423849999999999</v>
      </c>
      <c r="F61" s="306">
        <v>34.9</v>
      </c>
      <c r="G61" s="307">
        <v>8.7249999999999996</v>
      </c>
      <c r="H61" s="309">
        <v>3.0532699999999999</v>
      </c>
      <c r="I61" s="306">
        <v>8.6730199999999993</v>
      </c>
      <c r="J61" s="307">
        <v>-5.1979999999999998E-2</v>
      </c>
      <c r="K61" s="310">
        <v>0.248510601719</v>
      </c>
      <c r="L61" s="109"/>
    </row>
    <row r="62" spans="1:12" ht="14.4" customHeight="1" thickBot="1" x14ac:dyDescent="0.35">
      <c r="A62" s="325" t="s">
        <v>216</v>
      </c>
      <c r="B62" s="306">
        <v>1</v>
      </c>
      <c r="C62" s="306">
        <v>3.3</v>
      </c>
      <c r="D62" s="307">
        <v>2.2999999999999998</v>
      </c>
      <c r="E62" s="308">
        <v>3.3</v>
      </c>
      <c r="F62" s="306">
        <v>4.4405506883600001</v>
      </c>
      <c r="G62" s="307">
        <v>1.11013767209</v>
      </c>
      <c r="H62" s="309">
        <v>0.45</v>
      </c>
      <c r="I62" s="306">
        <v>1.95</v>
      </c>
      <c r="J62" s="307">
        <v>0.83986232790899995</v>
      </c>
      <c r="K62" s="310">
        <v>0.439134723788</v>
      </c>
      <c r="L62" s="109"/>
    </row>
    <row r="63" spans="1:12" ht="14.4" customHeight="1" thickBot="1" x14ac:dyDescent="0.35">
      <c r="A63" s="326" t="s">
        <v>217</v>
      </c>
      <c r="B63" s="306">
        <v>0</v>
      </c>
      <c r="C63" s="306">
        <v>1.8</v>
      </c>
      <c r="D63" s="307">
        <v>1.8</v>
      </c>
      <c r="E63" s="316" t="s">
        <v>162</v>
      </c>
      <c r="F63" s="306">
        <v>2.4405506883600001</v>
      </c>
      <c r="G63" s="307">
        <v>0.61013767209000003</v>
      </c>
      <c r="H63" s="309">
        <v>0.45</v>
      </c>
      <c r="I63" s="306">
        <v>0.45</v>
      </c>
      <c r="J63" s="307">
        <v>-0.16013767208999999</v>
      </c>
      <c r="K63" s="310">
        <v>0.184384615384</v>
      </c>
      <c r="L63" s="109"/>
    </row>
    <row r="64" spans="1:12" ht="14.4" customHeight="1" thickBot="1" x14ac:dyDescent="0.35">
      <c r="A64" s="327" t="s">
        <v>218</v>
      </c>
      <c r="B64" s="311">
        <v>0</v>
      </c>
      <c r="C64" s="311">
        <v>1.8</v>
      </c>
      <c r="D64" s="312">
        <v>1.8</v>
      </c>
      <c r="E64" s="318" t="s">
        <v>162</v>
      </c>
      <c r="F64" s="311">
        <v>2.4405506883600001</v>
      </c>
      <c r="G64" s="312">
        <v>0.61013767209000003</v>
      </c>
      <c r="H64" s="314">
        <v>0.45</v>
      </c>
      <c r="I64" s="311">
        <v>0.45</v>
      </c>
      <c r="J64" s="312">
        <v>-0.16013767208999999</v>
      </c>
      <c r="K64" s="315">
        <v>0.184384615384</v>
      </c>
      <c r="L64" s="109"/>
    </row>
    <row r="65" spans="1:12" ht="14.4" customHeight="1" thickBot="1" x14ac:dyDescent="0.35">
      <c r="A65" s="328" t="s">
        <v>219</v>
      </c>
      <c r="B65" s="306">
        <v>0</v>
      </c>
      <c r="C65" s="306">
        <v>1.8</v>
      </c>
      <c r="D65" s="307">
        <v>1.8</v>
      </c>
      <c r="E65" s="316" t="s">
        <v>162</v>
      </c>
      <c r="F65" s="306">
        <v>2.4405506883600001</v>
      </c>
      <c r="G65" s="307">
        <v>0.61013767209000003</v>
      </c>
      <c r="H65" s="309">
        <v>0.45</v>
      </c>
      <c r="I65" s="306">
        <v>0.45</v>
      </c>
      <c r="J65" s="307">
        <v>-0.16013767208999999</v>
      </c>
      <c r="K65" s="310">
        <v>0.184384615384</v>
      </c>
      <c r="L65" s="109"/>
    </row>
    <row r="66" spans="1:12" ht="14.4" customHeight="1" thickBot="1" x14ac:dyDescent="0.35">
      <c r="A66" s="326" t="s">
        <v>220</v>
      </c>
      <c r="B66" s="306">
        <v>1</v>
      </c>
      <c r="C66" s="306">
        <v>1.5</v>
      </c>
      <c r="D66" s="307">
        <v>0.49999999999900002</v>
      </c>
      <c r="E66" s="308">
        <v>1.5</v>
      </c>
      <c r="F66" s="306">
        <v>2</v>
      </c>
      <c r="G66" s="307">
        <v>0.5</v>
      </c>
      <c r="H66" s="309">
        <v>0</v>
      </c>
      <c r="I66" s="306">
        <v>1.5</v>
      </c>
      <c r="J66" s="307">
        <v>0.99999999999900002</v>
      </c>
      <c r="K66" s="310">
        <v>0.74999999999900002</v>
      </c>
      <c r="L66" s="109"/>
    </row>
    <row r="67" spans="1:12" ht="14.4" customHeight="1" thickBot="1" x14ac:dyDescent="0.35">
      <c r="A67" s="327" t="s">
        <v>221</v>
      </c>
      <c r="B67" s="311">
        <v>1</v>
      </c>
      <c r="C67" s="311">
        <v>1.5</v>
      </c>
      <c r="D67" s="312">
        <v>0.49999999999900002</v>
      </c>
      <c r="E67" s="313">
        <v>1.5</v>
      </c>
      <c r="F67" s="311">
        <v>2</v>
      </c>
      <c r="G67" s="312">
        <v>0.5</v>
      </c>
      <c r="H67" s="314">
        <v>0</v>
      </c>
      <c r="I67" s="311">
        <v>1.5</v>
      </c>
      <c r="J67" s="312">
        <v>0.99999999999900002</v>
      </c>
      <c r="K67" s="315">
        <v>0.74999999999900002</v>
      </c>
      <c r="L67" s="109"/>
    </row>
    <row r="68" spans="1:12" ht="14.4" customHeight="1" thickBot="1" x14ac:dyDescent="0.35">
      <c r="A68" s="328" t="s">
        <v>222</v>
      </c>
      <c r="B68" s="306">
        <v>1</v>
      </c>
      <c r="C68" s="306">
        <v>1.5</v>
      </c>
      <c r="D68" s="307">
        <v>0.49999999999900002</v>
      </c>
      <c r="E68" s="308">
        <v>1.5</v>
      </c>
      <c r="F68" s="306">
        <v>2</v>
      </c>
      <c r="G68" s="307">
        <v>0.5</v>
      </c>
      <c r="H68" s="309">
        <v>0</v>
      </c>
      <c r="I68" s="306">
        <v>1.5</v>
      </c>
      <c r="J68" s="307">
        <v>0.99999999999900002</v>
      </c>
      <c r="K68" s="310">
        <v>0.74999999999900002</v>
      </c>
      <c r="L68" s="109"/>
    </row>
    <row r="69" spans="1:12" ht="14.4" customHeight="1" thickBot="1" x14ac:dyDescent="0.35">
      <c r="A69" s="325" t="s">
        <v>223</v>
      </c>
      <c r="B69" s="306">
        <v>9</v>
      </c>
      <c r="C69" s="306">
        <v>89.304000000000002</v>
      </c>
      <c r="D69" s="307">
        <v>80.304000000000002</v>
      </c>
      <c r="E69" s="308">
        <v>9.9226666666660002</v>
      </c>
      <c r="F69" s="306">
        <v>142.392767455837</v>
      </c>
      <c r="G69" s="307">
        <v>35.598191863959002</v>
      </c>
      <c r="H69" s="309">
        <v>0</v>
      </c>
      <c r="I69" s="306">
        <v>2.9649999999999999</v>
      </c>
      <c r="J69" s="307">
        <v>-32.633191863958999</v>
      </c>
      <c r="K69" s="310">
        <v>2.0822686803999998E-2</v>
      </c>
      <c r="L69" s="109"/>
    </row>
    <row r="70" spans="1:12" ht="14.4" customHeight="1" thickBot="1" x14ac:dyDescent="0.35">
      <c r="A70" s="326" t="s">
        <v>224</v>
      </c>
      <c r="B70" s="306">
        <v>9</v>
      </c>
      <c r="C70" s="306">
        <v>89.304000000000002</v>
      </c>
      <c r="D70" s="307">
        <v>80.304000000000002</v>
      </c>
      <c r="E70" s="308">
        <v>9.9226666666660002</v>
      </c>
      <c r="F70" s="306">
        <v>142.392767455837</v>
      </c>
      <c r="G70" s="307">
        <v>35.598191863959002</v>
      </c>
      <c r="H70" s="309">
        <v>0</v>
      </c>
      <c r="I70" s="306">
        <v>2.9649999999999999</v>
      </c>
      <c r="J70" s="307">
        <v>-32.633191863958999</v>
      </c>
      <c r="K70" s="310">
        <v>2.0822686803999998E-2</v>
      </c>
      <c r="L70" s="109"/>
    </row>
    <row r="71" spans="1:12" ht="14.4" customHeight="1" thickBot="1" x14ac:dyDescent="0.35">
      <c r="A71" s="327" t="s">
        <v>225</v>
      </c>
      <c r="B71" s="311">
        <v>0</v>
      </c>
      <c r="C71" s="311">
        <v>80.605000000000004</v>
      </c>
      <c r="D71" s="312">
        <v>80.605000000000004</v>
      </c>
      <c r="E71" s="318" t="s">
        <v>162</v>
      </c>
      <c r="F71" s="311">
        <v>132.392767455837</v>
      </c>
      <c r="G71" s="312">
        <v>33.098191863959002</v>
      </c>
      <c r="H71" s="314">
        <v>0</v>
      </c>
      <c r="I71" s="311">
        <v>0.22</v>
      </c>
      <c r="J71" s="312">
        <v>-32.878191863959003</v>
      </c>
      <c r="K71" s="315">
        <v>1.6617221929999999E-3</v>
      </c>
      <c r="L71" s="109"/>
    </row>
    <row r="72" spans="1:12" ht="14.4" customHeight="1" thickBot="1" x14ac:dyDescent="0.35">
      <c r="A72" s="328" t="s">
        <v>226</v>
      </c>
      <c r="B72" s="306">
        <v>0</v>
      </c>
      <c r="C72" s="306">
        <v>80</v>
      </c>
      <c r="D72" s="307">
        <v>80</v>
      </c>
      <c r="E72" s="316" t="s">
        <v>162</v>
      </c>
      <c r="F72" s="306">
        <v>131.18418135769201</v>
      </c>
      <c r="G72" s="307">
        <v>32.796045339423003</v>
      </c>
      <c r="H72" s="309">
        <v>0</v>
      </c>
      <c r="I72" s="306">
        <v>0</v>
      </c>
      <c r="J72" s="307">
        <v>-32.796045339423003</v>
      </c>
      <c r="K72" s="310">
        <v>0</v>
      </c>
      <c r="L72" s="109"/>
    </row>
    <row r="73" spans="1:12" ht="14.4" customHeight="1" thickBot="1" x14ac:dyDescent="0.35">
      <c r="A73" s="328" t="s">
        <v>227</v>
      </c>
      <c r="B73" s="306">
        <v>0</v>
      </c>
      <c r="C73" s="306">
        <v>0.604999999999</v>
      </c>
      <c r="D73" s="307">
        <v>0.604999999999</v>
      </c>
      <c r="E73" s="316" t="s">
        <v>172</v>
      </c>
      <c r="F73" s="306">
        <v>1.208586098144</v>
      </c>
      <c r="G73" s="307">
        <v>0.30214652453599999</v>
      </c>
      <c r="H73" s="309">
        <v>0</v>
      </c>
      <c r="I73" s="306">
        <v>0</v>
      </c>
      <c r="J73" s="307">
        <v>-0.30214652453599999</v>
      </c>
      <c r="K73" s="310">
        <v>0</v>
      </c>
      <c r="L73" s="109"/>
    </row>
    <row r="74" spans="1:12" ht="14.4" customHeight="1" thickBot="1" x14ac:dyDescent="0.35">
      <c r="A74" s="328" t="s">
        <v>228</v>
      </c>
      <c r="B74" s="306">
        <v>0</v>
      </c>
      <c r="C74" s="306">
        <v>0</v>
      </c>
      <c r="D74" s="307">
        <v>0</v>
      </c>
      <c r="E74" s="308">
        <v>1</v>
      </c>
      <c r="F74" s="306">
        <v>0</v>
      </c>
      <c r="G74" s="307">
        <v>0</v>
      </c>
      <c r="H74" s="309">
        <v>0</v>
      </c>
      <c r="I74" s="306">
        <v>0.22</v>
      </c>
      <c r="J74" s="307">
        <v>0.22</v>
      </c>
      <c r="K74" s="317" t="s">
        <v>172</v>
      </c>
      <c r="L74" s="109"/>
    </row>
    <row r="75" spans="1:12" ht="14.4" customHeight="1" thickBot="1" x14ac:dyDescent="0.35">
      <c r="A75" s="327" t="s">
        <v>229</v>
      </c>
      <c r="B75" s="311">
        <v>9</v>
      </c>
      <c r="C75" s="311">
        <v>8.6989999999999998</v>
      </c>
      <c r="D75" s="312">
        <v>-0.30099999999999999</v>
      </c>
      <c r="E75" s="313">
        <v>0.96655555555499995</v>
      </c>
      <c r="F75" s="311">
        <v>10</v>
      </c>
      <c r="G75" s="312">
        <v>2.5</v>
      </c>
      <c r="H75" s="314">
        <v>0</v>
      </c>
      <c r="I75" s="311">
        <v>2.7450000000000001</v>
      </c>
      <c r="J75" s="312">
        <v>0.24499999999899999</v>
      </c>
      <c r="K75" s="315">
        <v>0.27450000000000002</v>
      </c>
      <c r="L75" s="109"/>
    </row>
    <row r="76" spans="1:12" ht="14.4" customHeight="1" thickBot="1" x14ac:dyDescent="0.35">
      <c r="A76" s="328" t="s">
        <v>230</v>
      </c>
      <c r="B76" s="306">
        <v>9</v>
      </c>
      <c r="C76" s="306">
        <v>8.6989999999999998</v>
      </c>
      <c r="D76" s="307">
        <v>-0.30099999999999999</v>
      </c>
      <c r="E76" s="308">
        <v>0.96655555555499995</v>
      </c>
      <c r="F76" s="306">
        <v>10</v>
      </c>
      <c r="G76" s="307">
        <v>2.5</v>
      </c>
      <c r="H76" s="309">
        <v>0</v>
      </c>
      <c r="I76" s="306">
        <v>2.7450000000000001</v>
      </c>
      <c r="J76" s="307">
        <v>0.24499999999899999</v>
      </c>
      <c r="K76" s="310">
        <v>0.27450000000000002</v>
      </c>
      <c r="L76" s="109"/>
    </row>
    <row r="77" spans="1:12" ht="14.4" customHeight="1" thickBot="1" x14ac:dyDescent="0.35">
      <c r="A77" s="325" t="s">
        <v>231</v>
      </c>
      <c r="B77" s="306">
        <v>45</v>
      </c>
      <c r="C77" s="306">
        <v>44.06</v>
      </c>
      <c r="D77" s="307">
        <v>-0.94</v>
      </c>
      <c r="E77" s="308">
        <v>0.97911111111100002</v>
      </c>
      <c r="F77" s="306">
        <v>46.820778567331999</v>
      </c>
      <c r="G77" s="307">
        <v>11.705194641833</v>
      </c>
      <c r="H77" s="309">
        <v>2.0449999999999999</v>
      </c>
      <c r="I77" s="306">
        <v>6.1349999999999998</v>
      </c>
      <c r="J77" s="307">
        <v>-5.5701946418329999</v>
      </c>
      <c r="K77" s="310">
        <v>0.13103156734499999</v>
      </c>
      <c r="L77" s="109"/>
    </row>
    <row r="78" spans="1:12" ht="14.4" customHeight="1" thickBot="1" x14ac:dyDescent="0.35">
      <c r="A78" s="326" t="s">
        <v>232</v>
      </c>
      <c r="B78" s="306">
        <v>45</v>
      </c>
      <c r="C78" s="306">
        <v>44.06</v>
      </c>
      <c r="D78" s="307">
        <v>-0.94</v>
      </c>
      <c r="E78" s="308">
        <v>0.97911111111100002</v>
      </c>
      <c r="F78" s="306">
        <v>46.820778567331999</v>
      </c>
      <c r="G78" s="307">
        <v>11.705194641833</v>
      </c>
      <c r="H78" s="309">
        <v>2.0449999999999999</v>
      </c>
      <c r="I78" s="306">
        <v>6.1349999999999998</v>
      </c>
      <c r="J78" s="307">
        <v>-5.5701946418329999</v>
      </c>
      <c r="K78" s="310">
        <v>0.13103156734499999</v>
      </c>
      <c r="L78" s="109"/>
    </row>
    <row r="79" spans="1:12" ht="14.4" customHeight="1" thickBot="1" x14ac:dyDescent="0.35">
      <c r="A79" s="327" t="s">
        <v>233</v>
      </c>
      <c r="B79" s="311">
        <v>45</v>
      </c>
      <c r="C79" s="311">
        <v>44.06</v>
      </c>
      <c r="D79" s="312">
        <v>-0.94</v>
      </c>
      <c r="E79" s="313">
        <v>0.97911111111100002</v>
      </c>
      <c r="F79" s="311">
        <v>46.820778567331999</v>
      </c>
      <c r="G79" s="312">
        <v>11.705194641833</v>
      </c>
      <c r="H79" s="314">
        <v>2.0449999999999999</v>
      </c>
      <c r="I79" s="311">
        <v>6.1349999999999998</v>
      </c>
      <c r="J79" s="312">
        <v>-5.5701946418329999</v>
      </c>
      <c r="K79" s="315">
        <v>0.13103156734499999</v>
      </c>
      <c r="L79" s="109"/>
    </row>
    <row r="80" spans="1:12" ht="14.4" customHeight="1" thickBot="1" x14ac:dyDescent="0.35">
      <c r="A80" s="328" t="s">
        <v>234</v>
      </c>
      <c r="B80" s="306">
        <v>3</v>
      </c>
      <c r="C80" s="306">
        <v>2.8149999999999999</v>
      </c>
      <c r="D80" s="307">
        <v>-0.185</v>
      </c>
      <c r="E80" s="308">
        <v>0.93833333333299995</v>
      </c>
      <c r="F80" s="306">
        <v>2.9884698867649999</v>
      </c>
      <c r="G80" s="307">
        <v>0.74711747169099996</v>
      </c>
      <c r="H80" s="309">
        <v>0.24399999999999999</v>
      </c>
      <c r="I80" s="306">
        <v>0.73199999999999998</v>
      </c>
      <c r="J80" s="307">
        <v>-1.5117471691000001E-2</v>
      </c>
      <c r="K80" s="310">
        <v>0.24494140069500001</v>
      </c>
      <c r="L80" s="109"/>
    </row>
    <row r="81" spans="1:12" ht="14.4" customHeight="1" thickBot="1" x14ac:dyDescent="0.35">
      <c r="A81" s="328" t="s">
        <v>235</v>
      </c>
      <c r="B81" s="306">
        <v>20</v>
      </c>
      <c r="C81" s="306">
        <v>19.66</v>
      </c>
      <c r="D81" s="307">
        <v>-0.34</v>
      </c>
      <c r="E81" s="308">
        <v>0.98299999999900001</v>
      </c>
      <c r="F81" s="306">
        <v>20.893783063232</v>
      </c>
      <c r="G81" s="307">
        <v>5.223445765808</v>
      </c>
      <c r="H81" s="309">
        <v>0</v>
      </c>
      <c r="I81" s="306">
        <v>0</v>
      </c>
      <c r="J81" s="307">
        <v>-5.223445765808</v>
      </c>
      <c r="K81" s="310">
        <v>0</v>
      </c>
      <c r="L81" s="109"/>
    </row>
    <row r="82" spans="1:12" ht="14.4" customHeight="1" thickBot="1" x14ac:dyDescent="0.35">
      <c r="A82" s="328" t="s">
        <v>236</v>
      </c>
      <c r="B82" s="306">
        <v>22</v>
      </c>
      <c r="C82" s="306">
        <v>21.585000000000001</v>
      </c>
      <c r="D82" s="307">
        <v>-0.41499999999999998</v>
      </c>
      <c r="E82" s="308">
        <v>0.98113636363599999</v>
      </c>
      <c r="F82" s="306">
        <v>22.938525617334999</v>
      </c>
      <c r="G82" s="307">
        <v>5.7346314043330002</v>
      </c>
      <c r="H82" s="309">
        <v>1.8009999999999999</v>
      </c>
      <c r="I82" s="306">
        <v>5.4029999999999996</v>
      </c>
      <c r="J82" s="307">
        <v>-0.33163140433299998</v>
      </c>
      <c r="K82" s="310">
        <v>0.23554260156599999</v>
      </c>
      <c r="L82" s="109"/>
    </row>
    <row r="83" spans="1:12" ht="14.4" customHeight="1" thickBot="1" x14ac:dyDescent="0.35">
      <c r="A83" s="324" t="s">
        <v>237</v>
      </c>
      <c r="B83" s="306">
        <v>0</v>
      </c>
      <c r="C83" s="306">
        <v>64.974000000000004</v>
      </c>
      <c r="D83" s="307">
        <v>64.974000000000004</v>
      </c>
      <c r="E83" s="316" t="s">
        <v>162</v>
      </c>
      <c r="F83" s="306">
        <v>19.869040566997999</v>
      </c>
      <c r="G83" s="307">
        <v>4.9672601417489997</v>
      </c>
      <c r="H83" s="309">
        <v>0</v>
      </c>
      <c r="I83" s="306">
        <v>0</v>
      </c>
      <c r="J83" s="307">
        <v>-4.9672601417489997</v>
      </c>
      <c r="K83" s="310">
        <v>0</v>
      </c>
      <c r="L83" s="109"/>
    </row>
    <row r="84" spans="1:12" ht="14.4" customHeight="1" thickBot="1" x14ac:dyDescent="0.35">
      <c r="A84" s="325" t="s">
        <v>238</v>
      </c>
      <c r="B84" s="306">
        <v>0</v>
      </c>
      <c r="C84" s="306">
        <v>64.974000000000004</v>
      </c>
      <c r="D84" s="307">
        <v>64.974000000000004</v>
      </c>
      <c r="E84" s="316" t="s">
        <v>172</v>
      </c>
      <c r="F84" s="306">
        <v>19.869040566997999</v>
      </c>
      <c r="G84" s="307">
        <v>4.9672601417489997</v>
      </c>
      <c r="H84" s="309">
        <v>0</v>
      </c>
      <c r="I84" s="306">
        <v>0</v>
      </c>
      <c r="J84" s="307">
        <v>-4.9672601417489997</v>
      </c>
      <c r="K84" s="310">
        <v>0</v>
      </c>
      <c r="L84" s="109"/>
    </row>
    <row r="85" spans="1:12" ht="14.4" customHeight="1" thickBot="1" x14ac:dyDescent="0.35">
      <c r="A85" s="331" t="s">
        <v>239</v>
      </c>
      <c r="B85" s="311">
        <v>0</v>
      </c>
      <c r="C85" s="311">
        <v>64.974000000000004</v>
      </c>
      <c r="D85" s="312">
        <v>64.974000000000004</v>
      </c>
      <c r="E85" s="318" t="s">
        <v>172</v>
      </c>
      <c r="F85" s="311">
        <v>19.869040566997999</v>
      </c>
      <c r="G85" s="312">
        <v>4.9672601417489997</v>
      </c>
      <c r="H85" s="314">
        <v>0</v>
      </c>
      <c r="I85" s="311">
        <v>0</v>
      </c>
      <c r="J85" s="312">
        <v>-4.9672601417489997</v>
      </c>
      <c r="K85" s="315">
        <v>0</v>
      </c>
      <c r="L85" s="109"/>
    </row>
    <row r="86" spans="1:12" ht="14.4" customHeight="1" thickBot="1" x14ac:dyDescent="0.35">
      <c r="A86" s="327" t="s">
        <v>240</v>
      </c>
      <c r="B86" s="311">
        <v>0</v>
      </c>
      <c r="C86" s="311">
        <v>64.974000000000004</v>
      </c>
      <c r="D86" s="312">
        <v>64.974000000000004</v>
      </c>
      <c r="E86" s="318" t="s">
        <v>172</v>
      </c>
      <c r="F86" s="311">
        <v>19.869040566997999</v>
      </c>
      <c r="G86" s="312">
        <v>4.9672601417489997</v>
      </c>
      <c r="H86" s="314">
        <v>0</v>
      </c>
      <c r="I86" s="311">
        <v>0</v>
      </c>
      <c r="J86" s="312">
        <v>-4.9672601417489997</v>
      </c>
      <c r="K86" s="315">
        <v>0</v>
      </c>
      <c r="L86" s="109"/>
    </row>
    <row r="87" spans="1:12" ht="14.4" customHeight="1" thickBot="1" x14ac:dyDescent="0.35">
      <c r="A87" s="328" t="s">
        <v>241</v>
      </c>
      <c r="B87" s="306">
        <v>0</v>
      </c>
      <c r="C87" s="306">
        <v>64.974000000000004</v>
      </c>
      <c r="D87" s="307">
        <v>64.974000000000004</v>
      </c>
      <c r="E87" s="316" t="s">
        <v>172</v>
      </c>
      <c r="F87" s="306">
        <v>19.869040566997999</v>
      </c>
      <c r="G87" s="307">
        <v>4.9672601417489997</v>
      </c>
      <c r="H87" s="309">
        <v>0</v>
      </c>
      <c r="I87" s="306">
        <v>0</v>
      </c>
      <c r="J87" s="307">
        <v>-4.9672601417489997</v>
      </c>
      <c r="K87" s="310">
        <v>0</v>
      </c>
      <c r="L87" s="109"/>
    </row>
    <row r="88" spans="1:12" ht="14.4" customHeight="1" thickBot="1" x14ac:dyDescent="0.35">
      <c r="A88" s="324" t="s">
        <v>242</v>
      </c>
      <c r="B88" s="306">
        <v>67.170899085325999</v>
      </c>
      <c r="C88" s="306">
        <v>66.458449999999999</v>
      </c>
      <c r="D88" s="307">
        <v>-0.71244908532600004</v>
      </c>
      <c r="E88" s="308">
        <v>0.98939348594300003</v>
      </c>
      <c r="F88" s="306">
        <v>0</v>
      </c>
      <c r="G88" s="307">
        <v>0</v>
      </c>
      <c r="H88" s="309">
        <v>4.1813700000000003</v>
      </c>
      <c r="I88" s="306">
        <v>12.9686</v>
      </c>
      <c r="J88" s="307">
        <v>12.9686</v>
      </c>
      <c r="K88" s="317" t="s">
        <v>172</v>
      </c>
      <c r="L88" s="109"/>
    </row>
    <row r="89" spans="1:12" ht="14.4" customHeight="1" thickBot="1" x14ac:dyDescent="0.35">
      <c r="A89" s="329" t="s">
        <v>243</v>
      </c>
      <c r="B89" s="311">
        <v>67.170899085325999</v>
      </c>
      <c r="C89" s="311">
        <v>66.458449999999999</v>
      </c>
      <c r="D89" s="312">
        <v>-0.71244908532600004</v>
      </c>
      <c r="E89" s="313">
        <v>0.98939348594300003</v>
      </c>
      <c r="F89" s="311">
        <v>0</v>
      </c>
      <c r="G89" s="312">
        <v>0</v>
      </c>
      <c r="H89" s="314">
        <v>4.1813700000000003</v>
      </c>
      <c r="I89" s="311">
        <v>12.9686</v>
      </c>
      <c r="J89" s="312">
        <v>12.9686</v>
      </c>
      <c r="K89" s="319" t="s">
        <v>172</v>
      </c>
      <c r="L89" s="109"/>
    </row>
    <row r="90" spans="1:12" ht="14.4" customHeight="1" thickBot="1" x14ac:dyDescent="0.35">
      <c r="A90" s="331" t="s">
        <v>28</v>
      </c>
      <c r="B90" s="311">
        <v>67.170899085325999</v>
      </c>
      <c r="C90" s="311">
        <v>66.458449999999999</v>
      </c>
      <c r="D90" s="312">
        <v>-0.71244908532600004</v>
      </c>
      <c r="E90" s="313">
        <v>0.98939348594300003</v>
      </c>
      <c r="F90" s="311">
        <v>0</v>
      </c>
      <c r="G90" s="312">
        <v>0</v>
      </c>
      <c r="H90" s="314">
        <v>4.1813700000000003</v>
      </c>
      <c r="I90" s="311">
        <v>12.9686</v>
      </c>
      <c r="J90" s="312">
        <v>12.9686</v>
      </c>
      <c r="K90" s="319" t="s">
        <v>172</v>
      </c>
      <c r="L90" s="109"/>
    </row>
    <row r="91" spans="1:12" ht="14.4" customHeight="1" thickBot="1" x14ac:dyDescent="0.35">
      <c r="A91" s="327" t="s">
        <v>244</v>
      </c>
      <c r="B91" s="311">
        <v>3.9333118702909999</v>
      </c>
      <c r="C91" s="311">
        <v>1.6072</v>
      </c>
      <c r="D91" s="312">
        <v>-2.3261118702910002</v>
      </c>
      <c r="E91" s="313">
        <v>0.408612399169</v>
      </c>
      <c r="F91" s="311">
        <v>0</v>
      </c>
      <c r="G91" s="312">
        <v>0</v>
      </c>
      <c r="H91" s="314">
        <v>0</v>
      </c>
      <c r="I91" s="311">
        <v>0</v>
      </c>
      <c r="J91" s="312">
        <v>0</v>
      </c>
      <c r="K91" s="315">
        <v>0</v>
      </c>
      <c r="L91" s="109"/>
    </row>
    <row r="92" spans="1:12" ht="14.4" customHeight="1" thickBot="1" x14ac:dyDescent="0.35">
      <c r="A92" s="328" t="s">
        <v>245</v>
      </c>
      <c r="B92" s="306">
        <v>3.9333118702909999</v>
      </c>
      <c r="C92" s="306">
        <v>1.3131999999999999</v>
      </c>
      <c r="D92" s="307">
        <v>-2.6201118702909998</v>
      </c>
      <c r="E92" s="308">
        <v>0.333866228589</v>
      </c>
      <c r="F92" s="306">
        <v>0</v>
      </c>
      <c r="G92" s="307">
        <v>0</v>
      </c>
      <c r="H92" s="309">
        <v>0</v>
      </c>
      <c r="I92" s="306">
        <v>0</v>
      </c>
      <c r="J92" s="307">
        <v>0</v>
      </c>
      <c r="K92" s="310">
        <v>0</v>
      </c>
      <c r="L92" s="109"/>
    </row>
    <row r="93" spans="1:12" ht="14.4" customHeight="1" thickBot="1" x14ac:dyDescent="0.35">
      <c r="A93" s="328" t="s">
        <v>246</v>
      </c>
      <c r="B93" s="306">
        <v>0</v>
      </c>
      <c r="C93" s="306">
        <v>0.29399999999999998</v>
      </c>
      <c r="D93" s="307">
        <v>0.29399999999999998</v>
      </c>
      <c r="E93" s="316" t="s">
        <v>172</v>
      </c>
      <c r="F93" s="306">
        <v>0</v>
      </c>
      <c r="G93" s="307">
        <v>0</v>
      </c>
      <c r="H93" s="309">
        <v>0</v>
      </c>
      <c r="I93" s="306">
        <v>0</v>
      </c>
      <c r="J93" s="307">
        <v>0</v>
      </c>
      <c r="K93" s="310">
        <v>0</v>
      </c>
      <c r="L93" s="109"/>
    </row>
    <row r="94" spans="1:12" ht="14.4" customHeight="1" thickBot="1" x14ac:dyDescent="0.35">
      <c r="A94" s="327" t="s">
        <v>247</v>
      </c>
      <c r="B94" s="311">
        <v>63.237587215034999</v>
      </c>
      <c r="C94" s="311">
        <v>64.851249999999993</v>
      </c>
      <c r="D94" s="312">
        <v>1.613662784964</v>
      </c>
      <c r="E94" s="313">
        <v>1.025517462889</v>
      </c>
      <c r="F94" s="311">
        <v>0</v>
      </c>
      <c r="G94" s="312">
        <v>0</v>
      </c>
      <c r="H94" s="314">
        <v>4.1813700000000003</v>
      </c>
      <c r="I94" s="311">
        <v>12.9686</v>
      </c>
      <c r="J94" s="312">
        <v>12.9686</v>
      </c>
      <c r="K94" s="319" t="s">
        <v>172</v>
      </c>
      <c r="L94" s="109"/>
    </row>
    <row r="95" spans="1:12" ht="14.4" customHeight="1" thickBot="1" x14ac:dyDescent="0.35">
      <c r="A95" s="328" t="s">
        <v>248</v>
      </c>
      <c r="B95" s="306">
        <v>63.237587215034999</v>
      </c>
      <c r="C95" s="306">
        <v>64.851249999999993</v>
      </c>
      <c r="D95" s="307">
        <v>1.613662784964</v>
      </c>
      <c r="E95" s="308">
        <v>1.025517462889</v>
      </c>
      <c r="F95" s="306">
        <v>0</v>
      </c>
      <c r="G95" s="307">
        <v>0</v>
      </c>
      <c r="H95" s="309">
        <v>4.1813700000000003</v>
      </c>
      <c r="I95" s="306">
        <v>12.9686</v>
      </c>
      <c r="J95" s="307">
        <v>12.9686</v>
      </c>
      <c r="K95" s="317" t="s">
        <v>172</v>
      </c>
      <c r="L95" s="109"/>
    </row>
    <row r="96" spans="1:12" ht="14.4" customHeight="1" thickBot="1" x14ac:dyDescent="0.35">
      <c r="A96" s="324" t="s">
        <v>249</v>
      </c>
      <c r="B96" s="306">
        <v>2935</v>
      </c>
      <c r="C96" s="306">
        <v>3174.0561200000002</v>
      </c>
      <c r="D96" s="307">
        <v>239.05611999999999</v>
      </c>
      <c r="E96" s="308">
        <v>1.0814501260639999</v>
      </c>
      <c r="F96" s="306">
        <v>0</v>
      </c>
      <c r="G96" s="307">
        <v>0</v>
      </c>
      <c r="H96" s="309">
        <v>284.74250999999998</v>
      </c>
      <c r="I96" s="306">
        <v>774.67246</v>
      </c>
      <c r="J96" s="307">
        <v>774.67246</v>
      </c>
      <c r="K96" s="317" t="s">
        <v>172</v>
      </c>
      <c r="L96" s="109"/>
    </row>
    <row r="97" spans="1:12" ht="14.4" customHeight="1" thickBot="1" x14ac:dyDescent="0.35">
      <c r="A97" s="329" t="s">
        <v>250</v>
      </c>
      <c r="B97" s="311">
        <v>2935</v>
      </c>
      <c r="C97" s="311">
        <v>3174.0561200000002</v>
      </c>
      <c r="D97" s="312">
        <v>239.05611999999999</v>
      </c>
      <c r="E97" s="313">
        <v>1.0814501260639999</v>
      </c>
      <c r="F97" s="311">
        <v>0</v>
      </c>
      <c r="G97" s="312">
        <v>0</v>
      </c>
      <c r="H97" s="314">
        <v>284.74250999999998</v>
      </c>
      <c r="I97" s="311">
        <v>774.67246</v>
      </c>
      <c r="J97" s="312">
        <v>774.67246</v>
      </c>
      <c r="K97" s="319" t="s">
        <v>172</v>
      </c>
      <c r="L97" s="109"/>
    </row>
    <row r="98" spans="1:12" ht="14.4" customHeight="1" thickBot="1" x14ac:dyDescent="0.35">
      <c r="A98" s="331" t="s">
        <v>251</v>
      </c>
      <c r="B98" s="311">
        <v>2935</v>
      </c>
      <c r="C98" s="311">
        <v>3174.0561200000002</v>
      </c>
      <c r="D98" s="312">
        <v>239.05611999999999</v>
      </c>
      <c r="E98" s="313">
        <v>1.0814501260639999</v>
      </c>
      <c r="F98" s="311">
        <v>0</v>
      </c>
      <c r="G98" s="312">
        <v>0</v>
      </c>
      <c r="H98" s="314">
        <v>284.74250999999998</v>
      </c>
      <c r="I98" s="311">
        <v>774.67246</v>
      </c>
      <c r="J98" s="312">
        <v>774.67246</v>
      </c>
      <c r="K98" s="319" t="s">
        <v>172</v>
      </c>
      <c r="L98" s="109"/>
    </row>
    <row r="99" spans="1:12" ht="14.4" customHeight="1" thickBot="1" x14ac:dyDescent="0.35">
      <c r="A99" s="327" t="s">
        <v>252</v>
      </c>
      <c r="B99" s="311">
        <v>2935</v>
      </c>
      <c r="C99" s="311">
        <v>3174.0561200000002</v>
      </c>
      <c r="D99" s="312">
        <v>239.05611999999999</v>
      </c>
      <c r="E99" s="313">
        <v>1.0814501260639999</v>
      </c>
      <c r="F99" s="311">
        <v>0</v>
      </c>
      <c r="G99" s="312">
        <v>0</v>
      </c>
      <c r="H99" s="314">
        <v>284.74250999999998</v>
      </c>
      <c r="I99" s="311">
        <v>774.67246</v>
      </c>
      <c r="J99" s="312">
        <v>774.67246</v>
      </c>
      <c r="K99" s="319" t="s">
        <v>172</v>
      </c>
      <c r="L99" s="109"/>
    </row>
    <row r="100" spans="1:12" ht="14.4" customHeight="1" thickBot="1" x14ac:dyDescent="0.35">
      <c r="A100" s="328" t="s">
        <v>253</v>
      </c>
      <c r="B100" s="306">
        <v>2935</v>
      </c>
      <c r="C100" s="306">
        <v>3174.0561200000002</v>
      </c>
      <c r="D100" s="307">
        <v>239.05611999999999</v>
      </c>
      <c r="E100" s="308">
        <v>1.0814501260639999</v>
      </c>
      <c r="F100" s="306">
        <v>0</v>
      </c>
      <c r="G100" s="307">
        <v>0</v>
      </c>
      <c r="H100" s="309">
        <v>284.74250999999998</v>
      </c>
      <c r="I100" s="306">
        <v>774.67246</v>
      </c>
      <c r="J100" s="307">
        <v>774.67246</v>
      </c>
      <c r="K100" s="317" t="s">
        <v>172</v>
      </c>
      <c r="L100" s="109"/>
    </row>
    <row r="101" spans="1:12" ht="14.4" customHeight="1" thickBot="1" x14ac:dyDescent="0.35">
      <c r="A101" s="332"/>
      <c r="B101" s="306">
        <v>1.662210012109</v>
      </c>
      <c r="C101" s="306">
        <v>-9.0949470177292804E-13</v>
      </c>
      <c r="D101" s="307">
        <v>-1.6622100121100001</v>
      </c>
      <c r="E101" s="308">
        <v>-5.4715992272148902E-13</v>
      </c>
      <c r="F101" s="306">
        <v>-3244.69821288194</v>
      </c>
      <c r="G101" s="307">
        <v>-811.174553220485</v>
      </c>
      <c r="H101" s="309">
        <v>-7.9580786405131201E-13</v>
      </c>
      <c r="I101" s="306">
        <v>-7.67386154620908E-13</v>
      </c>
      <c r="J101" s="307">
        <v>811.17455322048397</v>
      </c>
      <c r="K101" s="310">
        <v>2.3650463133189698E-16</v>
      </c>
      <c r="L101" s="109"/>
    </row>
    <row r="102" spans="1:12" ht="14.4" customHeight="1" thickBot="1" x14ac:dyDescent="0.35">
      <c r="A102" s="333" t="s">
        <v>40</v>
      </c>
      <c r="B102" s="320">
        <v>1.662210012109</v>
      </c>
      <c r="C102" s="320">
        <v>-9.0949470177292804E-13</v>
      </c>
      <c r="D102" s="321">
        <v>-1.6622100121109999</v>
      </c>
      <c r="E102" s="322" t="s">
        <v>162</v>
      </c>
      <c r="F102" s="320">
        <v>-3244.69821288194</v>
      </c>
      <c r="G102" s="321">
        <v>-811.174553220485</v>
      </c>
      <c r="H102" s="320">
        <v>-7.9580786405131201E-13</v>
      </c>
      <c r="I102" s="320">
        <v>-7.9580786405131201E-13</v>
      </c>
      <c r="J102" s="321">
        <v>811.174553220485</v>
      </c>
      <c r="K102" s="323">
        <v>2.4526406212196698E-16</v>
      </c>
      <c r="L102" s="109"/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58" customWidth="1"/>
    <col min="2" max="2" width="61.109375" style="158" customWidth="1"/>
    <col min="3" max="3" width="9.5546875" style="92" hidden="1" customWidth="1" outlineLevel="1"/>
    <col min="4" max="4" width="9.5546875" style="159" customWidth="1" collapsed="1"/>
    <col min="5" max="5" width="2.21875" style="159" customWidth="1"/>
    <col min="6" max="6" width="9.5546875" style="160" customWidth="1"/>
    <col min="7" max="7" width="9.5546875" style="157" customWidth="1"/>
    <col min="8" max="9" width="9.5546875" style="92" customWidth="1"/>
    <col min="10" max="10" width="0" style="92" hidden="1" customWidth="1"/>
    <col min="11" max="16384" width="8.88671875" style="92"/>
  </cols>
  <sheetData>
    <row r="1" spans="1:10" ht="18.600000000000001" customHeight="1" thickBot="1" x14ac:dyDescent="0.4">
      <c r="A1" s="264" t="s">
        <v>61</v>
      </c>
      <c r="B1" s="265"/>
      <c r="C1" s="265"/>
      <c r="D1" s="265"/>
      <c r="E1" s="265"/>
      <c r="F1" s="265"/>
      <c r="G1" s="235"/>
      <c r="H1" s="266"/>
      <c r="I1" s="266"/>
    </row>
    <row r="2" spans="1:10" ht="14.4" customHeight="1" thickBot="1" x14ac:dyDescent="0.35">
      <c r="A2" s="162" t="s">
        <v>161</v>
      </c>
      <c r="B2" s="156"/>
      <c r="C2" s="156"/>
      <c r="D2" s="156"/>
      <c r="E2" s="156"/>
      <c r="F2" s="156"/>
    </row>
    <row r="3" spans="1:10" ht="14.4" customHeight="1" thickBot="1" x14ac:dyDescent="0.35">
      <c r="A3" s="162"/>
      <c r="B3" s="180"/>
      <c r="C3" s="168">
        <v>2015</v>
      </c>
      <c r="D3" s="169">
        <v>2017</v>
      </c>
      <c r="E3" s="7"/>
      <c r="F3" s="243">
        <v>2018</v>
      </c>
      <c r="G3" s="261"/>
      <c r="H3" s="261"/>
      <c r="I3" s="244"/>
    </row>
    <row r="4" spans="1:10" ht="14.4" customHeight="1" thickBot="1" x14ac:dyDescent="0.35">
      <c r="A4" s="173" t="s">
        <v>0</v>
      </c>
      <c r="B4" s="174" t="s">
        <v>103</v>
      </c>
      <c r="C4" s="262" t="s">
        <v>43</v>
      </c>
      <c r="D4" s="263"/>
      <c r="E4" s="175"/>
      <c r="F4" s="170" t="s">
        <v>43</v>
      </c>
      <c r="G4" s="171" t="s">
        <v>44</v>
      </c>
      <c r="H4" s="171" t="s">
        <v>41</v>
      </c>
      <c r="I4" s="172" t="s">
        <v>45</v>
      </c>
    </row>
    <row r="5" spans="1:10" ht="14.4" customHeight="1" x14ac:dyDescent="0.3">
      <c r="A5" s="334" t="s">
        <v>254</v>
      </c>
      <c r="B5" s="335" t="s">
        <v>255</v>
      </c>
      <c r="C5" s="336" t="s">
        <v>256</v>
      </c>
      <c r="D5" s="336" t="s">
        <v>256</v>
      </c>
      <c r="E5" s="336"/>
      <c r="F5" s="336" t="s">
        <v>256</v>
      </c>
      <c r="G5" s="336" t="s">
        <v>256</v>
      </c>
      <c r="H5" s="336" t="s">
        <v>256</v>
      </c>
      <c r="I5" s="337" t="s">
        <v>256</v>
      </c>
      <c r="J5" s="338" t="s">
        <v>42</v>
      </c>
    </row>
    <row r="6" spans="1:10" ht="14.4" customHeight="1" x14ac:dyDescent="0.3">
      <c r="A6" s="334" t="s">
        <v>254</v>
      </c>
      <c r="B6" s="335" t="s">
        <v>257</v>
      </c>
      <c r="C6" s="336">
        <v>0</v>
      </c>
      <c r="D6" s="336">
        <v>0</v>
      </c>
      <c r="E6" s="336"/>
      <c r="F6" s="336">
        <v>0</v>
      </c>
      <c r="G6" s="336">
        <v>26.25</v>
      </c>
      <c r="H6" s="336">
        <v>-26.25</v>
      </c>
      <c r="I6" s="337">
        <v>0</v>
      </c>
      <c r="J6" s="338" t="s">
        <v>1</v>
      </c>
    </row>
    <row r="7" spans="1:10" ht="14.4" customHeight="1" x14ac:dyDescent="0.3">
      <c r="A7" s="334" t="s">
        <v>254</v>
      </c>
      <c r="B7" s="335" t="s">
        <v>258</v>
      </c>
      <c r="C7" s="336">
        <v>0</v>
      </c>
      <c r="D7" s="336">
        <v>0</v>
      </c>
      <c r="E7" s="336"/>
      <c r="F7" s="336">
        <v>0</v>
      </c>
      <c r="G7" s="336">
        <v>26.25</v>
      </c>
      <c r="H7" s="336">
        <v>-26.25</v>
      </c>
      <c r="I7" s="337">
        <v>0</v>
      </c>
      <c r="J7" s="338" t="s">
        <v>259</v>
      </c>
    </row>
    <row r="9" spans="1:10" ht="14.4" customHeight="1" x14ac:dyDescent="0.3">
      <c r="A9" s="334" t="s">
        <v>254</v>
      </c>
      <c r="B9" s="335" t="s">
        <v>255</v>
      </c>
      <c r="C9" s="336" t="s">
        <v>256</v>
      </c>
      <c r="D9" s="336" t="s">
        <v>256</v>
      </c>
      <c r="E9" s="336"/>
      <c r="F9" s="336" t="s">
        <v>256</v>
      </c>
      <c r="G9" s="336" t="s">
        <v>256</v>
      </c>
      <c r="H9" s="336" t="s">
        <v>256</v>
      </c>
      <c r="I9" s="337" t="s">
        <v>256</v>
      </c>
      <c r="J9" s="338" t="s">
        <v>42</v>
      </c>
    </row>
    <row r="10" spans="1:10" ht="14.4" customHeight="1" x14ac:dyDescent="0.3">
      <c r="A10" s="334" t="s">
        <v>260</v>
      </c>
      <c r="B10" s="335" t="s">
        <v>261</v>
      </c>
      <c r="C10" s="336" t="s">
        <v>256</v>
      </c>
      <c r="D10" s="336" t="s">
        <v>256</v>
      </c>
      <c r="E10" s="336"/>
      <c r="F10" s="336" t="s">
        <v>256</v>
      </c>
      <c r="G10" s="336" t="s">
        <v>256</v>
      </c>
      <c r="H10" s="336" t="s">
        <v>256</v>
      </c>
      <c r="I10" s="337" t="s">
        <v>256</v>
      </c>
      <c r="J10" s="338" t="s">
        <v>0</v>
      </c>
    </row>
    <row r="11" spans="1:10" ht="14.4" customHeight="1" x14ac:dyDescent="0.3">
      <c r="A11" s="334" t="s">
        <v>260</v>
      </c>
      <c r="B11" s="335" t="s">
        <v>257</v>
      </c>
      <c r="C11" s="336">
        <v>0</v>
      </c>
      <c r="D11" s="336">
        <v>0</v>
      </c>
      <c r="E11" s="336"/>
      <c r="F11" s="336">
        <v>0</v>
      </c>
      <c r="G11" s="336">
        <v>26</v>
      </c>
      <c r="H11" s="336">
        <v>-26</v>
      </c>
      <c r="I11" s="337">
        <v>0</v>
      </c>
      <c r="J11" s="338" t="s">
        <v>1</v>
      </c>
    </row>
    <row r="12" spans="1:10" ht="14.4" customHeight="1" x14ac:dyDescent="0.3">
      <c r="A12" s="334" t="s">
        <v>260</v>
      </c>
      <c r="B12" s="335" t="s">
        <v>262</v>
      </c>
      <c r="C12" s="336">
        <v>0</v>
      </c>
      <c r="D12" s="336">
        <v>0</v>
      </c>
      <c r="E12" s="336"/>
      <c r="F12" s="336">
        <v>0</v>
      </c>
      <c r="G12" s="336">
        <v>26</v>
      </c>
      <c r="H12" s="336">
        <v>-26</v>
      </c>
      <c r="I12" s="337">
        <v>0</v>
      </c>
      <c r="J12" s="338" t="s">
        <v>263</v>
      </c>
    </row>
    <row r="13" spans="1:10" ht="14.4" customHeight="1" x14ac:dyDescent="0.3">
      <c r="A13" s="334" t="s">
        <v>256</v>
      </c>
      <c r="B13" s="335" t="s">
        <v>256</v>
      </c>
      <c r="C13" s="336" t="s">
        <v>256</v>
      </c>
      <c r="D13" s="336" t="s">
        <v>256</v>
      </c>
      <c r="E13" s="336"/>
      <c r="F13" s="336" t="s">
        <v>256</v>
      </c>
      <c r="G13" s="336" t="s">
        <v>256</v>
      </c>
      <c r="H13" s="336" t="s">
        <v>256</v>
      </c>
      <c r="I13" s="337" t="s">
        <v>256</v>
      </c>
      <c r="J13" s="338" t="s">
        <v>264</v>
      </c>
    </row>
    <row r="14" spans="1:10" ht="14.4" customHeight="1" x14ac:dyDescent="0.3">
      <c r="A14" s="334" t="s">
        <v>254</v>
      </c>
      <c r="B14" s="335" t="s">
        <v>258</v>
      </c>
      <c r="C14" s="336">
        <v>0</v>
      </c>
      <c r="D14" s="336">
        <v>0</v>
      </c>
      <c r="E14" s="336"/>
      <c r="F14" s="336">
        <v>0</v>
      </c>
      <c r="G14" s="336">
        <v>26</v>
      </c>
      <c r="H14" s="336">
        <v>-26</v>
      </c>
      <c r="I14" s="337">
        <v>0</v>
      </c>
      <c r="J14" s="338" t="s">
        <v>259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6">
      <formula>$H9&gt;0</formula>
    </cfRule>
  </conditionalFormatting>
  <conditionalFormatting sqref="A9:A14">
    <cfRule type="expression" dxfId="9" priority="5">
      <formula>AND($J9&lt;&gt;"mezeraKL",$J9&lt;&gt;"")</formula>
    </cfRule>
  </conditionalFormatting>
  <conditionalFormatting sqref="I9:I14">
    <cfRule type="expression" dxfId="8" priority="7">
      <formula>$I9&gt;1</formula>
    </cfRule>
  </conditionalFormatting>
  <conditionalFormatting sqref="B9:B14">
    <cfRule type="expression" dxfId="7" priority="4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4" priority="2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182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1" customWidth="1"/>
    <col min="18" max="18" width="7.33203125" style="181" customWidth="1"/>
    <col min="19" max="19" width="8" style="161" customWidth="1"/>
    <col min="21" max="21" width="11.21875" bestFit="1" customWidth="1"/>
  </cols>
  <sheetData>
    <row r="1" spans="1:19" ht="18.600000000000001" thickBot="1" x14ac:dyDescent="0.4">
      <c r="A1" s="267" t="s">
        <v>49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ht="15" thickBot="1" x14ac:dyDescent="0.35">
      <c r="A2" s="162" t="s">
        <v>161</v>
      </c>
      <c r="B2" s="163"/>
    </row>
    <row r="3" spans="1:19" x14ac:dyDescent="0.3">
      <c r="A3" s="281" t="s">
        <v>99</v>
      </c>
      <c r="B3" s="282"/>
      <c r="C3" s="283" t="s">
        <v>88</v>
      </c>
      <c r="D3" s="284"/>
      <c r="E3" s="284"/>
      <c r="F3" s="285"/>
      <c r="G3" s="286" t="s">
        <v>89</v>
      </c>
      <c r="H3" s="287"/>
      <c r="I3" s="287"/>
      <c r="J3" s="288"/>
      <c r="K3" s="289" t="s">
        <v>98</v>
      </c>
      <c r="L3" s="290"/>
      <c r="M3" s="290"/>
      <c r="N3" s="290"/>
      <c r="O3" s="291"/>
      <c r="P3" s="287" t="s">
        <v>136</v>
      </c>
      <c r="Q3" s="287"/>
      <c r="R3" s="287"/>
      <c r="S3" s="288"/>
    </row>
    <row r="4" spans="1:19" ht="15" thickBot="1" x14ac:dyDescent="0.35">
      <c r="A4" s="300">
        <v>2018</v>
      </c>
      <c r="B4" s="301"/>
      <c r="C4" s="302" t="s">
        <v>135</v>
      </c>
      <c r="D4" s="304" t="s">
        <v>50</v>
      </c>
      <c r="E4" s="304" t="s">
        <v>45</v>
      </c>
      <c r="F4" s="279" t="s">
        <v>41</v>
      </c>
      <c r="G4" s="294" t="s">
        <v>90</v>
      </c>
      <c r="H4" s="296" t="s">
        <v>94</v>
      </c>
      <c r="I4" s="296" t="s">
        <v>134</v>
      </c>
      <c r="J4" s="298" t="s">
        <v>91</v>
      </c>
      <c r="K4" s="276" t="s">
        <v>133</v>
      </c>
      <c r="L4" s="277"/>
      <c r="M4" s="277"/>
      <c r="N4" s="278"/>
      <c r="O4" s="279" t="s">
        <v>132</v>
      </c>
      <c r="P4" s="268" t="s">
        <v>131</v>
      </c>
      <c r="Q4" s="268" t="s">
        <v>101</v>
      </c>
      <c r="R4" s="270" t="s">
        <v>45</v>
      </c>
      <c r="S4" s="272" t="s">
        <v>100</v>
      </c>
    </row>
    <row r="5" spans="1:19" s="216" customFormat="1" ht="19.2" customHeight="1" x14ac:dyDescent="0.3">
      <c r="A5" s="274" t="s">
        <v>130</v>
      </c>
      <c r="B5" s="275"/>
      <c r="C5" s="303"/>
      <c r="D5" s="305"/>
      <c r="E5" s="305"/>
      <c r="F5" s="280"/>
      <c r="G5" s="295"/>
      <c r="H5" s="297"/>
      <c r="I5" s="297"/>
      <c r="J5" s="299"/>
      <c r="K5" s="219" t="s">
        <v>92</v>
      </c>
      <c r="L5" s="218" t="s">
        <v>93</v>
      </c>
      <c r="M5" s="218" t="s">
        <v>129</v>
      </c>
      <c r="N5" s="217" t="s">
        <v>2</v>
      </c>
      <c r="O5" s="280"/>
      <c r="P5" s="269"/>
      <c r="Q5" s="269"/>
      <c r="R5" s="271"/>
      <c r="S5" s="273"/>
    </row>
    <row r="6" spans="1:19" ht="15" thickBot="1" x14ac:dyDescent="0.35">
      <c r="A6" s="292" t="s">
        <v>87</v>
      </c>
      <c r="B6" s="293"/>
      <c r="C6" s="215">
        <f ca="1">SUM(Tabulka[01 uv_sk])/2</f>
        <v>2</v>
      </c>
      <c r="D6" s="213"/>
      <c r="E6" s="213"/>
      <c r="F6" s="212"/>
      <c r="G6" s="214">
        <f ca="1">SUM(Tabulka[05 h_vram])/2</f>
        <v>968</v>
      </c>
      <c r="H6" s="213">
        <f ca="1">SUM(Tabulka[06 h_naduv])/2</f>
        <v>102</v>
      </c>
      <c r="I6" s="213">
        <f ca="1">SUM(Tabulka[07 h_nadzk])/2</f>
        <v>0</v>
      </c>
      <c r="J6" s="212">
        <f ca="1">SUM(Tabulka[08 h_oon])/2</f>
        <v>1292</v>
      </c>
      <c r="K6" s="214">
        <f ca="1">SUM(Tabulka[09 m_kl])/2</f>
        <v>0</v>
      </c>
      <c r="L6" s="213">
        <f ca="1">SUM(Tabulka[10 m_gr])/2</f>
        <v>0</v>
      </c>
      <c r="M6" s="213">
        <f ca="1">SUM(Tabulka[11 m_jo])/2</f>
        <v>10000</v>
      </c>
      <c r="N6" s="213">
        <f ca="1">SUM(Tabulka[12 m_oc])/2</f>
        <v>10000</v>
      </c>
      <c r="O6" s="212">
        <f ca="1">SUM(Tabulka[13 m_sk])/2</f>
        <v>536459</v>
      </c>
      <c r="P6" s="211">
        <f ca="1">SUM(Tabulka[14_vzsk])/2</f>
        <v>220</v>
      </c>
      <c r="Q6" s="211">
        <f ca="1">SUM(Tabulka[15_vzpl])/2</f>
        <v>731.00512987338516</v>
      </c>
      <c r="R6" s="210">
        <f ca="1">IF(Q6=0,0,P6/Q6)</f>
        <v>0.30095548035087721</v>
      </c>
      <c r="S6" s="209">
        <f ca="1">Q6-P6</f>
        <v>511.00512987338516</v>
      </c>
    </row>
    <row r="7" spans="1:19" hidden="1" x14ac:dyDescent="0.3">
      <c r="A7" s="208" t="s">
        <v>128</v>
      </c>
      <c r="B7" s="207" t="s">
        <v>127</v>
      </c>
      <c r="C7" s="206" t="s">
        <v>126</v>
      </c>
      <c r="D7" s="205" t="s">
        <v>125</v>
      </c>
      <c r="E7" s="204" t="s">
        <v>124</v>
      </c>
      <c r="F7" s="203" t="s">
        <v>123</v>
      </c>
      <c r="G7" s="202" t="s">
        <v>122</v>
      </c>
      <c r="H7" s="200" t="s">
        <v>121</v>
      </c>
      <c r="I7" s="200" t="s">
        <v>120</v>
      </c>
      <c r="J7" s="199" t="s">
        <v>119</v>
      </c>
      <c r="K7" s="201" t="s">
        <v>118</v>
      </c>
      <c r="L7" s="200" t="s">
        <v>117</v>
      </c>
      <c r="M7" s="200" t="s">
        <v>116</v>
      </c>
      <c r="N7" s="199" t="s">
        <v>115</v>
      </c>
      <c r="O7" s="198" t="s">
        <v>114</v>
      </c>
      <c r="P7" s="197" t="s">
        <v>113</v>
      </c>
      <c r="Q7" s="196" t="s">
        <v>112</v>
      </c>
      <c r="R7" s="195" t="s">
        <v>111</v>
      </c>
      <c r="S7" s="194" t="s">
        <v>110</v>
      </c>
    </row>
    <row r="8" spans="1:19" x14ac:dyDescent="0.3">
      <c r="A8" s="191" t="s">
        <v>109</v>
      </c>
      <c r="B8" s="190"/>
      <c r="C8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8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</v>
      </c>
      <c r="H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</v>
      </c>
      <c r="I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1292</v>
      </c>
      <c r="K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N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O8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450048</v>
      </c>
      <c r="P8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</v>
      </c>
      <c r="Q8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731.00512987338516</v>
      </c>
      <c r="R8" s="193">
        <f ca="1">IF(Tabulka[[#This Row],[15_vzpl]]=0,"",Tabulka[[#This Row],[14_vzsk]]/Tabulka[[#This Row],[15_vzpl]])</f>
        <v>0.30095548035087721</v>
      </c>
      <c r="S8" s="192">
        <f ca="1">IF(Tabulka[[#This Row],[15_vzpl]]-Tabulka[[#This Row],[14_vzsk]]=0,"",Tabulka[[#This Row],[15_vzpl]]-Tabulka[[#This Row],[14_vzsk]])</f>
        <v>511.00512987338516</v>
      </c>
    </row>
    <row r="9" spans="1:19" x14ac:dyDescent="0.3">
      <c r="A9" s="191">
        <v>99</v>
      </c>
      <c r="B9" s="190" t="s">
        <v>270</v>
      </c>
      <c r="C9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</v>
      </c>
      <c r="Q9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731.00512987338516</v>
      </c>
      <c r="R9" s="193">
        <f ca="1">IF(Tabulka[[#This Row],[15_vzpl]]=0,"",Tabulka[[#This Row],[14_vzsk]]/Tabulka[[#This Row],[15_vzpl]])</f>
        <v>0.30095548035087721</v>
      </c>
      <c r="S9" s="192">
        <f ca="1">IF(Tabulka[[#This Row],[15_vzpl]]-Tabulka[[#This Row],[14_vzsk]]=0,"",Tabulka[[#This Row],[15_vzpl]]-Tabulka[[#This Row],[14_vzsk]])</f>
        <v>511.00512987338516</v>
      </c>
    </row>
    <row r="10" spans="1:19" x14ac:dyDescent="0.3">
      <c r="A10" s="191">
        <v>101</v>
      </c>
      <c r="B10" s="190" t="s">
        <v>271</v>
      </c>
      <c r="C10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</v>
      </c>
      <c r="H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</v>
      </c>
      <c r="I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1292</v>
      </c>
      <c r="K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N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O10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450048</v>
      </c>
      <c r="P10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193" t="str">
        <f ca="1">IF(Tabulka[[#This Row],[15_vzpl]]=0,"",Tabulka[[#This Row],[14_vzsk]]/Tabulka[[#This Row],[15_vzpl]])</f>
        <v/>
      </c>
      <c r="S10" s="192" t="str">
        <f ca="1">IF(Tabulka[[#This Row],[15_vzpl]]-Tabulka[[#This Row],[14_vzsk]]=0,"",Tabulka[[#This Row],[15_vzpl]]-Tabulka[[#This Row],[14_vzsk]])</f>
        <v/>
      </c>
    </row>
    <row r="11" spans="1:19" x14ac:dyDescent="0.3">
      <c r="A11" s="191" t="s">
        <v>265</v>
      </c>
      <c r="B11" s="190"/>
      <c r="C11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</v>
      </c>
      <c r="H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86411</v>
      </c>
      <c r="P11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193" t="str">
        <f ca="1">IF(Tabulka[[#This Row],[15_vzpl]]=0,"",Tabulka[[#This Row],[14_vzsk]]/Tabulka[[#This Row],[15_vzpl]])</f>
        <v/>
      </c>
      <c r="S11" s="192" t="str">
        <f ca="1">IF(Tabulka[[#This Row],[15_vzpl]]-Tabulka[[#This Row],[14_vzsk]]=0,"",Tabulka[[#This Row],[15_vzpl]]-Tabulka[[#This Row],[14_vzsk]])</f>
        <v/>
      </c>
    </row>
    <row r="12" spans="1:19" x14ac:dyDescent="0.3">
      <c r="A12" s="191">
        <v>30</v>
      </c>
      <c r="B12" s="190" t="s">
        <v>272</v>
      </c>
      <c r="C12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</v>
      </c>
      <c r="H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86411</v>
      </c>
      <c r="P12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193" t="str">
        <f ca="1">IF(Tabulka[[#This Row],[15_vzpl]]=0,"",Tabulka[[#This Row],[14_vzsk]]/Tabulka[[#This Row],[15_vzpl]])</f>
        <v/>
      </c>
      <c r="S12" s="192" t="str">
        <f ca="1">IF(Tabulka[[#This Row],[15_vzpl]]-Tabulka[[#This Row],[14_vzsk]]=0,"",Tabulka[[#This Row],[15_vzpl]]-Tabulka[[#This Row],[14_vzsk]])</f>
        <v/>
      </c>
    </row>
    <row r="13" spans="1:19" x14ac:dyDescent="0.3">
      <c r="A13" t="s">
        <v>138</v>
      </c>
    </row>
    <row r="14" spans="1:19" x14ac:dyDescent="0.3">
      <c r="A14" s="76" t="s">
        <v>71</v>
      </c>
    </row>
    <row r="15" spans="1:19" x14ac:dyDescent="0.3">
      <c r="A15" s="77" t="s">
        <v>108</v>
      </c>
    </row>
    <row r="16" spans="1:19" x14ac:dyDescent="0.3">
      <c r="A16" s="183" t="s">
        <v>107</v>
      </c>
    </row>
    <row r="17" spans="1:1" x14ac:dyDescent="0.3">
      <c r="A17" s="165" t="s">
        <v>97</v>
      </c>
    </row>
    <row r="18" spans="1:1" x14ac:dyDescent="0.3">
      <c r="A18" s="167" t="s">
        <v>102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2">
    <cfRule type="cellIs" dxfId="3" priority="3" operator="lessThan">
      <formula>0</formula>
    </cfRule>
  </conditionalFormatting>
  <conditionalFormatting sqref="R6:R12">
    <cfRule type="cellIs" dxfId="2" priority="4" operator="greaterThan">
      <formula>1</formula>
    </cfRule>
  </conditionalFormatting>
  <conditionalFormatting sqref="A8:S12">
    <cfRule type="expression" dxfId="1" priority="2">
      <formula>$B8=""</formula>
    </cfRule>
  </conditionalFormatting>
  <conditionalFormatting sqref="P8:S12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2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269</v>
      </c>
    </row>
    <row r="2" spans="1:19" x14ac:dyDescent="0.3">
      <c r="A2" s="162" t="s">
        <v>161</v>
      </c>
    </row>
    <row r="3" spans="1:19" x14ac:dyDescent="0.3">
      <c r="A3" s="229" t="s">
        <v>74</v>
      </c>
      <c r="B3" s="228">
        <v>2018</v>
      </c>
      <c r="C3" t="s">
        <v>137</v>
      </c>
      <c r="D3" t="s">
        <v>128</v>
      </c>
      <c r="E3" t="s">
        <v>126</v>
      </c>
      <c r="F3" t="s">
        <v>125</v>
      </c>
      <c r="G3" t="s">
        <v>124</v>
      </c>
      <c r="H3" t="s">
        <v>123</v>
      </c>
      <c r="I3" t="s">
        <v>122</v>
      </c>
      <c r="J3" t="s">
        <v>121</v>
      </c>
      <c r="K3" t="s">
        <v>120</v>
      </c>
      <c r="L3" t="s">
        <v>119</v>
      </c>
      <c r="M3" t="s">
        <v>118</v>
      </c>
      <c r="N3" t="s">
        <v>117</v>
      </c>
      <c r="O3" t="s">
        <v>116</v>
      </c>
      <c r="P3" t="s">
        <v>115</v>
      </c>
      <c r="Q3" t="s">
        <v>114</v>
      </c>
      <c r="R3" t="s">
        <v>113</v>
      </c>
      <c r="S3" t="s">
        <v>112</v>
      </c>
    </row>
    <row r="4" spans="1:19" x14ac:dyDescent="0.3">
      <c r="A4" s="227" t="s">
        <v>75</v>
      </c>
      <c r="B4" s="226">
        <v>1</v>
      </c>
      <c r="C4" s="221">
        <v>1</v>
      </c>
      <c r="D4" s="221" t="s">
        <v>109</v>
      </c>
      <c r="E4" s="220">
        <v>1</v>
      </c>
      <c r="F4" s="220"/>
      <c r="G4" s="220"/>
      <c r="H4" s="220"/>
      <c r="I4" s="220">
        <v>176</v>
      </c>
      <c r="J4" s="220">
        <v>34</v>
      </c>
      <c r="K4" s="220"/>
      <c r="L4" s="220">
        <v>421</v>
      </c>
      <c r="M4" s="220"/>
      <c r="N4" s="220"/>
      <c r="O4" s="220"/>
      <c r="P4" s="220"/>
      <c r="Q4" s="220">
        <v>138006</v>
      </c>
      <c r="R4" s="220"/>
      <c r="S4" s="220">
        <v>243.66837662446173</v>
      </c>
    </row>
    <row r="5" spans="1:19" x14ac:dyDescent="0.3">
      <c r="A5" s="225" t="s">
        <v>76</v>
      </c>
      <c r="B5" s="224">
        <v>2</v>
      </c>
      <c r="C5">
        <v>1</v>
      </c>
      <c r="D5">
        <v>99</v>
      </c>
      <c r="S5">
        <v>243.66837662446173</v>
      </c>
    </row>
    <row r="6" spans="1:19" x14ac:dyDescent="0.3">
      <c r="A6" s="227" t="s">
        <v>77</v>
      </c>
      <c r="B6" s="226">
        <v>3</v>
      </c>
      <c r="C6">
        <v>1</v>
      </c>
      <c r="D6">
        <v>101</v>
      </c>
      <c r="E6">
        <v>1</v>
      </c>
      <c r="I6">
        <v>176</v>
      </c>
      <c r="J6">
        <v>34</v>
      </c>
      <c r="L6">
        <v>421</v>
      </c>
      <c r="Q6">
        <v>138006</v>
      </c>
    </row>
    <row r="7" spans="1:19" x14ac:dyDescent="0.3">
      <c r="A7" s="225" t="s">
        <v>78</v>
      </c>
      <c r="B7" s="224">
        <v>4</v>
      </c>
      <c r="C7">
        <v>1</v>
      </c>
      <c r="D7" t="s">
        <v>265</v>
      </c>
      <c r="E7">
        <v>1</v>
      </c>
      <c r="I7">
        <v>184</v>
      </c>
      <c r="Q7">
        <v>28780</v>
      </c>
    </row>
    <row r="8" spans="1:19" x14ac:dyDescent="0.3">
      <c r="A8" s="227" t="s">
        <v>79</v>
      </c>
      <c r="B8" s="226">
        <v>5</v>
      </c>
      <c r="C8">
        <v>1</v>
      </c>
      <c r="D8">
        <v>30</v>
      </c>
      <c r="E8">
        <v>1</v>
      </c>
      <c r="I8">
        <v>184</v>
      </c>
      <c r="Q8">
        <v>28780</v>
      </c>
    </row>
    <row r="9" spans="1:19" x14ac:dyDescent="0.3">
      <c r="A9" s="225" t="s">
        <v>80</v>
      </c>
      <c r="B9" s="224">
        <v>6</v>
      </c>
      <c r="C9" t="s">
        <v>266</v>
      </c>
      <c r="E9">
        <v>2</v>
      </c>
      <c r="I9">
        <v>360</v>
      </c>
      <c r="J9">
        <v>34</v>
      </c>
      <c r="L9">
        <v>421</v>
      </c>
      <c r="Q9">
        <v>166786</v>
      </c>
      <c r="S9">
        <v>243.66837662446173</v>
      </c>
    </row>
    <row r="10" spans="1:19" x14ac:dyDescent="0.3">
      <c r="A10" s="227" t="s">
        <v>81</v>
      </c>
      <c r="B10" s="226">
        <v>7</v>
      </c>
      <c r="C10">
        <v>2</v>
      </c>
      <c r="D10" t="s">
        <v>109</v>
      </c>
      <c r="E10">
        <v>1</v>
      </c>
      <c r="I10">
        <v>160</v>
      </c>
      <c r="J10">
        <v>34</v>
      </c>
      <c r="L10">
        <v>380</v>
      </c>
      <c r="Q10">
        <v>140328</v>
      </c>
      <c r="R10">
        <v>220</v>
      </c>
      <c r="S10">
        <v>243.66837662446173</v>
      </c>
    </row>
    <row r="11" spans="1:19" x14ac:dyDescent="0.3">
      <c r="A11" s="225" t="s">
        <v>82</v>
      </c>
      <c r="B11" s="224">
        <v>8</v>
      </c>
      <c r="C11">
        <v>2</v>
      </c>
      <c r="D11">
        <v>99</v>
      </c>
      <c r="R11">
        <v>220</v>
      </c>
      <c r="S11">
        <v>243.66837662446173</v>
      </c>
    </row>
    <row r="12" spans="1:19" x14ac:dyDescent="0.3">
      <c r="A12" s="227" t="s">
        <v>83</v>
      </c>
      <c r="B12" s="226">
        <v>9</v>
      </c>
      <c r="C12">
        <v>2</v>
      </c>
      <c r="D12">
        <v>101</v>
      </c>
      <c r="E12">
        <v>1</v>
      </c>
      <c r="I12">
        <v>160</v>
      </c>
      <c r="J12">
        <v>34</v>
      </c>
      <c r="L12">
        <v>380</v>
      </c>
      <c r="Q12">
        <v>140328</v>
      </c>
    </row>
    <row r="13" spans="1:19" x14ac:dyDescent="0.3">
      <c r="A13" s="225" t="s">
        <v>84</v>
      </c>
      <c r="B13" s="224">
        <v>10</v>
      </c>
      <c r="C13">
        <v>2</v>
      </c>
      <c r="D13" t="s">
        <v>265</v>
      </c>
      <c r="E13">
        <v>1</v>
      </c>
      <c r="I13">
        <v>160</v>
      </c>
      <c r="Q13">
        <v>28780</v>
      </c>
    </row>
    <row r="14" spans="1:19" x14ac:dyDescent="0.3">
      <c r="A14" s="227" t="s">
        <v>85</v>
      </c>
      <c r="B14" s="226">
        <v>11</v>
      </c>
      <c r="C14">
        <v>2</v>
      </c>
      <c r="D14">
        <v>30</v>
      </c>
      <c r="E14">
        <v>1</v>
      </c>
      <c r="I14">
        <v>160</v>
      </c>
      <c r="Q14">
        <v>28780</v>
      </c>
    </row>
    <row r="15" spans="1:19" x14ac:dyDescent="0.3">
      <c r="A15" s="225" t="s">
        <v>86</v>
      </c>
      <c r="B15" s="224">
        <v>12</v>
      </c>
      <c r="C15" t="s">
        <v>267</v>
      </c>
      <c r="E15">
        <v>2</v>
      </c>
      <c r="I15">
        <v>320</v>
      </c>
      <c r="J15">
        <v>34</v>
      </c>
      <c r="L15">
        <v>380</v>
      </c>
      <c r="Q15">
        <v>169108</v>
      </c>
      <c r="R15">
        <v>220</v>
      </c>
      <c r="S15">
        <v>243.66837662446173</v>
      </c>
    </row>
    <row r="16" spans="1:19" x14ac:dyDescent="0.3">
      <c r="A16" s="223" t="s">
        <v>74</v>
      </c>
      <c r="B16" s="222">
        <v>2018</v>
      </c>
      <c r="C16">
        <v>3</v>
      </c>
      <c r="D16" t="s">
        <v>109</v>
      </c>
      <c r="E16">
        <v>1</v>
      </c>
      <c r="I16">
        <v>128</v>
      </c>
      <c r="J16">
        <v>34</v>
      </c>
      <c r="L16">
        <v>491</v>
      </c>
      <c r="O16">
        <v>10000</v>
      </c>
      <c r="P16">
        <v>10000</v>
      </c>
      <c r="Q16">
        <v>171714</v>
      </c>
      <c r="S16">
        <v>243.66837662446173</v>
      </c>
    </row>
    <row r="17" spans="3:19" x14ac:dyDescent="0.3">
      <c r="C17">
        <v>3</v>
      </c>
      <c r="D17">
        <v>99</v>
      </c>
      <c r="S17">
        <v>243.66837662446173</v>
      </c>
    </row>
    <row r="18" spans="3:19" x14ac:dyDescent="0.3">
      <c r="C18">
        <v>3</v>
      </c>
      <c r="D18">
        <v>101</v>
      </c>
      <c r="E18">
        <v>1</v>
      </c>
      <c r="I18">
        <v>128</v>
      </c>
      <c r="J18">
        <v>34</v>
      </c>
      <c r="L18">
        <v>491</v>
      </c>
      <c r="O18">
        <v>10000</v>
      </c>
      <c r="P18">
        <v>10000</v>
      </c>
      <c r="Q18">
        <v>171714</v>
      </c>
    </row>
    <row r="19" spans="3:19" x14ac:dyDescent="0.3">
      <c r="C19">
        <v>3</v>
      </c>
      <c r="D19" t="s">
        <v>265</v>
      </c>
      <c r="E19">
        <v>1</v>
      </c>
      <c r="I19">
        <v>160</v>
      </c>
      <c r="Q19">
        <v>28851</v>
      </c>
    </row>
    <row r="20" spans="3:19" x14ac:dyDescent="0.3">
      <c r="C20">
        <v>3</v>
      </c>
      <c r="D20">
        <v>30</v>
      </c>
      <c r="E20">
        <v>1</v>
      </c>
      <c r="I20">
        <v>160</v>
      </c>
      <c r="Q20">
        <v>28851</v>
      </c>
    </row>
    <row r="21" spans="3:19" x14ac:dyDescent="0.3">
      <c r="C21" t="s">
        <v>268</v>
      </c>
      <c r="E21">
        <v>2</v>
      </c>
      <c r="I21">
        <v>288</v>
      </c>
      <c r="J21">
        <v>34</v>
      </c>
      <c r="L21">
        <v>491</v>
      </c>
      <c r="O21">
        <v>10000</v>
      </c>
      <c r="P21">
        <v>10000</v>
      </c>
      <c r="Q21">
        <v>200565</v>
      </c>
      <c r="S21">
        <v>243.66837662446173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2018-04-24T10:42:35Z</dcterms:modified>
</cp:coreProperties>
</file>