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20" r:id="rId8"/>
    <sheet name="MŽ Detail" sheetId="403" r:id="rId9"/>
    <sheet name="Osobní náklady" sheetId="419" r:id="rId10"/>
    <sheet name="ON Data" sheetId="418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A12" i="383" l="1"/>
  <c r="A10" i="383"/>
  <c r="C12" i="414"/>
  <c r="D12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G18" i="419" l="1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7" i="414"/>
  <c r="A12" i="414"/>
  <c r="A4" i="414"/>
  <c r="A6" i="339" l="1"/>
  <c r="A5" i="339"/>
  <c r="D15" i="414"/>
  <c r="C15" i="414"/>
  <c r="D4" i="414"/>
  <c r="C11" i="414" l="1"/>
  <c r="C7" i="414"/>
  <c r="E11" i="414" l="1"/>
  <c r="E7" i="414"/>
  <c r="K3" i="403" l="1"/>
  <c r="J3" i="403"/>
  <c r="I3" i="403" l="1"/>
  <c r="M3" i="220"/>
  <c r="E12" i="339" l="1"/>
  <c r="C12" i="339"/>
  <c r="B12" i="339"/>
  <c r="F12" i="339" s="1"/>
  <c r="N3" i="220"/>
  <c r="L3" i="220" s="1"/>
  <c r="C16" i="414"/>
  <c r="D16" i="414"/>
  <c r="F13" i="339" l="1"/>
  <c r="E13" i="339"/>
  <c r="E15" i="339" s="1"/>
  <c r="H12" i="339"/>
  <c r="G12" i="339"/>
  <c r="A4" i="383"/>
  <c r="A14" i="383"/>
  <c r="A13" i="383"/>
  <c r="A11" i="383"/>
  <c r="A7" i="383"/>
  <c r="A6" i="383"/>
  <c r="A5" i="383"/>
  <c r="C13" i="339"/>
  <c r="C15" i="339" s="1"/>
  <c r="B13" i="339"/>
  <c r="B15" i="339" s="1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<sst xmlns="http://schemas.openxmlformats.org/spreadsheetml/2006/main" count="3047" uniqueCount="886">
  <si>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</si>
  <si>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</si>
  <si>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</si>
  <si>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</si>
  <si>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</si>
  <si>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</si>
  <si>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</si>
  <si>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</si>
  <si>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</si>
  <si>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</si>
  <si>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</si>
  <si>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</si>
  <si>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</si>
  <si>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</si>
  <si>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</si>
  <si>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</si>
  <si>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</si>
  <si>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</si>
  <si>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</si>
  <si>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</si>
  <si>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</si>
  <si>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</si>
  <si>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</si>
  <si>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</si>
  <si>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</si>
  <si>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</si>
  <si>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</si>
  <si>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</si>
  <si>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</si>
  <si>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</si>
  <si>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</si>
  <si>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</si>
  <si>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</si>
  <si>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</si>
  <si>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</si>
  <si>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</si>
  <si>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</si>
  <si>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</si>
  <si>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</si>
  <si>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</si>
  <si>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</si>
  <si>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</si>
  <si>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</si>
  <si>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</si>
  <si>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</si>
  <si>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</si>
  <si>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</si>
  <si>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</si>
  <si>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</si>
  <si>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</si>
  <si>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</si>
  <si>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</si>
  <si>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</si>
  <si>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</si>
  <si>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</si>
  <si>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</si>
  <si>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</si>
  <si>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</si>
  <si>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</si>
  <si>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</si>
  <si>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</si>
  <si>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</si>
  <si>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</si>
  <si>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</si>
  <si>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</si>
  <si>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</si>
  <si>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</si>
  <si>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</si>
  <si>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</si>
  <si>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</si>
  <si>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</si>
  <si>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</si>
  <si>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</si>
  <si>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</si>
  <si>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</si>
  <si>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</si>
  <si>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</si>
  <si>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</si>
  <si>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</si>
  <si>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</si>
  <si>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</si>
  <si>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</si>
  <si>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</si>
  <si>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</si>
  <si>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</si>
  <si>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</si>
  <si>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</si>
  <si>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</si>
  <si>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</si>
  <si>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</si>
  <si>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</si>
  <si>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</si>
  <si>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</si>
  <si>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</si>
  <si>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</si>
  <si>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</si>
  <si>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</si>
  <si>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</si>
  <si>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</si>
  <si>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</si>
  <si>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</si>
  <si>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</si>
  <si>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</si>
  <si>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</si>
  <si>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</si>
  <si>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</si>
  <si>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</si>
  <si>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</si>
  <si>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</si>
  <si>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</si>
  <si>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</si>
  <si>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</si>
  <si>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</si>
  <si>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</si>
  <si>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</si>
  <si>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</si>
  <si>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</si>
  <si>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</si>
  <si>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</si>
  <si>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</si>
  <si>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</si>
  <si>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</si>
  <si>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</si>
  <si>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</si>
  <si>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</si>
  <si>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</si>
  <si>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</si>
  <si>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</si>
  <si>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</si>
  <si>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</si>
  <si>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</si>
  <si>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</si>
  <si>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</si>
  <si>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</si>
  <si>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</si>
  <si>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</si>
  <si>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</si>
  <si>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</si>
  <si>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</si>
  <si>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</si>
  <si>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</si>
  <si>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</si>
  <si>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</si>
  <si>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</si>
  <si>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</si>
  <si>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</si>
  <si>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</si>
  <si>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</si>
  <si>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</si>
  <si>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</si>
  <si>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</si>
  <si>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</si>
  <si>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</si>
  <si>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</si>
  <si>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</si>
  <si>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</si>
  <si>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</si>
  <si>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</si>
  <si>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</si>
  <si>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</si>
  <si>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</si>
  <si>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</si>
  <si>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</si>
  <si>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</si>
  <si>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</si>
  <si>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</si>
  <si>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</si>
  <si>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</si>
  <si>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</si>
  <si>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</si>
  <si>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</si>
  <si>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</si>
  <si>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</si>
  <si>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</si>
  <si>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</si>
  <si>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</si>
  <si>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</si>
  <si>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</si>
  <si>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</si>
  <si>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</si>
  <si>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</si>
  <si>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</si>
  <si>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</si>
  <si>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</si>
  <si>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</si>
  <si>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</si>
  <si>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</si>
  <si>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</si>
  <si>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</si>
  <si>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</si>
  <si>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</si>
  <si>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</si>
  <si>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</si>
  <si>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</si>
  <si>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</si>
  <si>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</si>
  <si>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</si>
  <si>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</si>
  <si>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</si>
  <si>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</si>
  <si>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</si>
  <si>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</si>
  <si>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</si>
  <si>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</si>
  <si>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</si>
  <si>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</si>
  <si>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</si>
  <si>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</si>
  <si>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</si>
  <si>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</si>
  <si>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</si>
  <si>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</si>
  <si>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</si>
  <si>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</si>
  <si>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</si>
  <si>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</si>
  <si>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</si>
  <si>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</si>
  <si>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</si>
  <si>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</si>
  <si>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</si>
  <si>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</si>
  <si>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</si>
  <si>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</si>
  <si>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</si>
  <si>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</si>
  <si>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</si>
  <si>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</si>
  <si>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</si>
  <si>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</si>
  <si>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</si>
  <si>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</si>
  <si>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</si>
  <si>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</si>
  <si>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</si>
  <si>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</si>
  <si>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</si>
  <si>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</si>
  <si>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</si>
  <si>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</si>
  <si>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</si>
  <si>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</si>
  <si>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</si>
  <si>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</si>
  <si>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</si>
  <si>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</si>
  <si>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</si>
  <si>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</si>
  <si>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</si>
  <si>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</si>
  <si>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</si>
  <si>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</si>
  <si>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</si>
  <si>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</si>
  <si>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</si>
  <si>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</si>
  <si>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</si>
  <si>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</si>
  <si>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</si>
  <si>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</si>
  <si>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</si>
  <si>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513     Náklady na reprezentaci</t>
  </si>
  <si>
    <t>51399     Náklady na reprezentaci (daň.neúč.)</t>
  </si>
  <si>
    <t>51399001     dodavatelsky</t>
  </si>
  <si>
    <t>51801     Přepravné</t>
  </si>
  <si>
    <t>51801000     přepravné-lab. vzorky,...</t>
  </si>
  <si>
    <t>51802     Spoje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</si>
  <si>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</si>
  <si>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</si>
  <si>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</si>
  <si>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</si>
  <si>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</si>
  <si>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</si>
  <si>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</si>
  <si>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</si>
  <si>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</si>
  <si>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</si>
  <si>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</si>
  <si>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51808018     smluvní servis - OHM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</si>
  <si>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</si>
  <si>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</si>
  <si>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</si>
  <si>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</si>
  <si>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</si>
  <si>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</si>
  <si>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</si>
  <si>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</si>
  <si>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</si>
  <si>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</si>
  <si>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</si>
  <si>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</si>
  <si>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</si>
  <si>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</si>
  <si>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</si>
  <si>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</si>
  <si>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</si>
  <si>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</si>
  <si>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</si>
  <si>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</si>
  <si>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</si>
  <si>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</si>
  <si>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</si>
  <si>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</si>
  <si>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</si>
  <si>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</si>
  <si>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</si>
  <si>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</si>
  <si>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</si>
  <si>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</si>
  <si>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</si>
  <si>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</si>
  <si>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</si>
  <si>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</si>
  <si>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</si>
  <si>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</si>
  <si>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</si>
  <si>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</si>
  <si>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</si>
  <si>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</si>
  <si>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</si>
  <si>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</si>
  <si>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</si>
  <si>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</si>
  <si>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</si>
  <si>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</si>
  <si>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</si>
  <si>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60246     Dorovnání péče ZP - min.let         OZPI</t>
  </si>
  <si>
    <t>60246400     tržby VZP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</si>
  <si>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</si>
  <si>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</si>
  <si>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</si>
  <si>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</si>
  <si>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</si>
  <si>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</si>
  <si>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</si>
  <si>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</si>
  <si>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</si>
  <si>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</si>
  <si>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</si>
  <si>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</si>
  <si>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</si>
  <si>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</si>
  <si>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</si>
  <si>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</si>
  <si>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</si>
  <si>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</si>
  <si>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</si>
  <si>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</si>
  <si>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</si>
  <si>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</si>
  <si>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</si>
  <si>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</si>
  <si>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</si>
  <si>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</si>
  <si>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</si>
  <si>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</si>
  <si>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</si>
  <si>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</si>
  <si>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</si>
  <si>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</si>
  <si>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</si>
  <si>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</si>
  <si>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</si>
  <si>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</si>
  <si>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</si>
  <si>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</si>
  <si>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</si>
  <si>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</si>
  <si>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</si>
  <si>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</si>
  <si>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</si>
  <si>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</si>
  <si>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</si>
  <si>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</si>
  <si>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</si>
  <si>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</si>
  <si>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</si>
  <si>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</si>
  <si>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</si>
  <si>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</si>
  <si>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</si>
  <si>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</si>
  <si>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</si>
  <si>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</si>
  <si>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</si>
  <si>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</si>
  <si>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162320</t>
  </si>
  <si>
    <t>62320</t>
  </si>
  <si>
    <t>BETADINE</t>
  </si>
  <si>
    <t>UNG 1X20GM</t>
  </si>
  <si>
    <t>395210</t>
  </si>
  <si>
    <t>Aqua Touch Jelly 25x6ml</t>
  </si>
  <si>
    <t>905098</t>
  </si>
  <si>
    <t>23989</t>
  </si>
  <si>
    <t>DZ OCTENISEPT 1 l</t>
  </si>
  <si>
    <t>DPH 15 %</t>
  </si>
  <si>
    <t>169789</t>
  </si>
  <si>
    <t>69789</t>
  </si>
  <si>
    <t>AQUA PRO INJECTIONE ARDEAPHARMA</t>
  </si>
  <si>
    <t>INF 1X500ML</t>
  </si>
  <si>
    <t>921458</t>
  </si>
  <si>
    <t>KL ETHER 200G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</si>
  <si>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</si>
  <si>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</si>
  <si>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</si>
  <si>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</si>
  <si>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</si>
  <si>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</si>
  <si>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</si>
  <si>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16321</t>
  </si>
  <si>
    <t>BRAUNOVIDON MAST</t>
  </si>
  <si>
    <t>DRM UNG 1X250GM</t>
  </si>
  <si>
    <t>116324</t>
  </si>
  <si>
    <t>16324</t>
  </si>
  <si>
    <t>BRAUNOVIDON GAZA S MASTI</t>
  </si>
  <si>
    <t>DRM LIG IPR 1X7.5X10CM</t>
  </si>
  <si>
    <t>790001</t>
  </si>
  <si>
    <t>TRAUMACEL P 2G</t>
  </si>
  <si>
    <t>neleč.</t>
  </si>
  <si>
    <t>198880</t>
  </si>
  <si>
    <t>98880</t>
  </si>
  <si>
    <t>FYZIOLOGICKÝ ROZTOK VIAFLO</t>
  </si>
  <si>
    <t>INF SOL 10X1000ML</t>
  </si>
  <si>
    <t>920200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</si>
  <si>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</si>
  <si>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</si>
  <si>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</si>
  <si>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</si>
  <si>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</si>
  <si>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</si>
  <si>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</si>
  <si>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</si>
  <si>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920273</t>
  </si>
  <si>
    <t>KL SOL.FORMAL.K FIXACI TKANI,5000G</t>
  </si>
  <si>
    <t>500989</t>
  </si>
  <si>
    <t>KL MS HYDROG.PEROX. 3% 1000g</t>
  </si>
  <si>
    <t>501075</t>
  </si>
  <si>
    <t>IR  NaCl 0,9% 3000 ml vak Bieffe</t>
  </si>
  <si>
    <t>for irrig. 1x3000 ml 15%</t>
  </si>
  <si>
    <t>901171</t>
  </si>
  <si>
    <t>IR PARAFFINUM PERLIQUIDUM 10 ml</t>
  </si>
  <si>
    <t>IR 10 ml</t>
  </si>
  <si>
    <t>900530</t>
  </si>
  <si>
    <t>KL ROZTOK LNRS,4000G</t>
  </si>
  <si>
    <t>200863</t>
  </si>
  <si>
    <t>OPH GTT SOL 1X10ML PLAST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</si>
  <si>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</si>
  <si>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</si>
  <si>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</si>
  <si>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</si>
  <si>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</si>
  <si>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</si>
  <si>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</si>
  <si>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</si>
  <si>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</si>
  <si>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4704</t>
  </si>
  <si>
    <t>500701</t>
  </si>
  <si>
    <t>IR  AQUA STERILE OPLACH 1000 ml Pour Bottle Prom.</t>
  </si>
  <si>
    <t>Centrální operační sály</t>
  </si>
  <si>
    <t>Centrální operační sály , centrální operační sály</t>
  </si>
  <si>
    <t>COS - Operační sály dětské chirurgie</t>
  </si>
  <si>
    <t>COSS, IOP - Mod.obn.přístr.vyb.c.k.onkologické p.</t>
  </si>
  <si>
    <t>Lékárna - léčiva</t>
  </si>
  <si>
    <t>Lékárna - antibiotika</t>
  </si>
  <si>
    <t>50115006     implant.umělé těl.náhr.-neuromod.-DBS(s.Z_508)</t>
  </si>
  <si>
    <t>50115090     ostatní ZPr - zubolékařský materiál (sk.Z_509)</t>
  </si>
  <si>
    <t>ZA317</t>
  </si>
  <si>
    <t>Krytí s mastí atrauman 5 x  5 cm bal. á 10 ks 499510</t>
  </si>
  <si>
    <t>ZA331</t>
  </si>
  <si>
    <t>Obinadlo fixa crep 10 cm x 4 m 1323100104</t>
  </si>
  <si>
    <t>ZA338</t>
  </si>
  <si>
    <t>Obinadlo hydrofilní   6 cm x   5 m 13005</t>
  </si>
  <si>
    <t>ZA424</t>
  </si>
  <si>
    <t>Obinadlo elastické idealtex 14 cm x 5 m 9310643</t>
  </si>
  <si>
    <t>ZA436</t>
  </si>
  <si>
    <t>Obinadlo pruban č.12 427312</t>
  </si>
  <si>
    <t>ZA444</t>
  </si>
  <si>
    <t>Tampon nesterilní stáčený 20 x 19 cm 1320300404</t>
  </si>
  <si>
    <t>ZA446</t>
  </si>
  <si>
    <t>Vata buničitá přířezy 20 x 30 cm 1230200129</t>
  </si>
  <si>
    <t>ZA451</t>
  </si>
  <si>
    <t>Náplast omniplast 5 cm x 9,2 m 9004540 (900429)</t>
  </si>
  <si>
    <t>ZA508</t>
  </si>
  <si>
    <t>Rouška břišní předepraná 40 x 40 cm zelená 20 nití ,karton á 300 ks, 03012+</t>
  </si>
  <si>
    <t>ZA539</t>
  </si>
  <si>
    <t>Kompresa NT 10 x 10 cm nesterilní 06103</t>
  </si>
  <si>
    <t>ZA601</t>
  </si>
  <si>
    <t>Obinadlo fixa crep 12 cm x 4 m 1323100105</t>
  </si>
  <si>
    <t>ZA614</t>
  </si>
  <si>
    <t>Gáza přířezy 48 cm x 50 cm 17 nití karton á 750 ks 07012+</t>
  </si>
  <si>
    <t>ZB084</t>
  </si>
  <si>
    <t>Náplast transpore 2,50 cm x 9,14 m 1527-1</t>
  </si>
  <si>
    <t>ZB085</t>
  </si>
  <si>
    <t>Krytí surgicel standard 5 x 7,50 cm bal. á 12 ks 1903GB</t>
  </si>
  <si>
    <t>ZC857</t>
  </si>
  <si>
    <t>Krytí mastný tyl grassolind 10 x 20 cm bal. á 30 ks 4993368</t>
  </si>
  <si>
    <t>ZD825</t>
  </si>
  <si>
    <t>Tampon stáčený s RTG 50 cm x 50 cm tkanicí karton á 1250 ks 05002+</t>
  </si>
  <si>
    <t>ZD829</t>
  </si>
  <si>
    <t>Bandáž evelína pod sádru 1321303125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</si>
  <si>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</si>
  <si>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</si>
  <si>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</si>
  <si>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</si>
  <si>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</si>
  <si>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</si>
  <si>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</si>
  <si>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</si>
  <si>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ZA488</t>
  </si>
  <si>
    <t>Tampon nesterilní stáčený 9 x 9 cm karton á 12000 ks 1320300411</t>
  </si>
  <si>
    <t>ZB086</t>
  </si>
  <si>
    <t>Krytí surgicel standard 10 x 20,0 cm bal. á 24 ks 1902GB</t>
  </si>
  <si>
    <t>ZL762</t>
  </si>
  <si>
    <t>Krytí okcel H-T 510  7 x 10 cm bal. á 15 ks 2080710 - již se nevyrábí</t>
  </si>
  <si>
    <t>ZB048</t>
  </si>
  <si>
    <t>Krytí cellistyp F (fibrilar) 2,5 x 5 cm bal. á 10 ks (náhrada za okcel) 2082025</t>
  </si>
  <si>
    <t>ZB049</t>
  </si>
  <si>
    <t>Krytí cellistyp 7 x 10 cm bal. á 15 ks (náhrada za okcel) 2080511</t>
  </si>
  <si>
    <t>ZJ230</t>
  </si>
  <si>
    <t>Krytí okcel H-D 7 x 10 cm bal. á 10 ks 2087010 - již se nevyrábí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</si>
  <si>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</si>
  <si>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</si>
  <si>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</si>
  <si>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</si>
  <si>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</si>
  <si>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</si>
  <si>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ZA749</t>
  </si>
  <si>
    <t>Stříkačka omnifix 50 ml 4617509F</t>
  </si>
  <si>
    <t>ZA758</t>
  </si>
  <si>
    <t>Drén redon CH14 50 cm U2111400</t>
  </si>
  <si>
    <t>ZA761</t>
  </si>
  <si>
    <t>Drén redon CH12 50 cm U2111200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</si>
  <si>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</si>
  <si>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</si>
  <si>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</si>
  <si>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</si>
  <si>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</si>
  <si>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</si>
  <si>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ZA817</t>
  </si>
  <si>
    <t>Zkumavka PS 10 ml sterilní 400914</t>
  </si>
  <si>
    <t>ZA890</t>
  </si>
  <si>
    <t>Elektroda neutrální jednorázová 20193-071</t>
  </si>
  <si>
    <t>ZA964</t>
  </si>
  <si>
    <t>Stříkačka janett 60 ml vyplachovací MRG564</t>
  </si>
  <si>
    <t>ZB026</t>
  </si>
  <si>
    <t>Hadice silikon 5/9/2,á 10 m pro drenáž těl.dutin KVS 60-050090</t>
  </si>
  <si>
    <t>ZB103</t>
  </si>
  <si>
    <t>Láhev k odsávačce flovac 2l hadice 1,8 m 000-036-021</t>
  </si>
  <si>
    <t>ZB249</t>
  </si>
  <si>
    <t>Sáček močový s křížovou výpustí sterilní 2000 ml ZAR-TNU201601</t>
  </si>
  <si>
    <t>ZB399</t>
  </si>
  <si>
    <t>Hadička PVC 1/1,5 KVS 599812</t>
  </si>
  <si>
    <t>ZB598</t>
  </si>
  <si>
    <t>Spojka přímá symetrická 7 x 7 mm 120 430</t>
  </si>
  <si>
    <t>ZB780</t>
  </si>
  <si>
    <t>Kontejner 120 ml sterilní 331690250350</t>
  </si>
  <si>
    <t>ZC728</t>
  </si>
  <si>
    <t>Hadice silikon 1,5 x 3 m á 25 m 34.000.00.101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</si>
  <si>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</si>
  <si>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</si>
  <si>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</si>
  <si>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</si>
  <si>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</si>
  <si>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</si>
  <si>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</si>
  <si>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</si>
  <si>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ZC900</t>
  </si>
  <si>
    <t>Systém odsávací hi-vac 200 ml-komplet bal. á 60 ks 05.000.22.801</t>
  </si>
  <si>
    <t>ZE310</t>
  </si>
  <si>
    <t>Nádoba na kontaminovaný odpad CS 6 l pův. 077802300</t>
  </si>
  <si>
    <t>ZF159</t>
  </si>
  <si>
    <t>Nádoba na kontaminovaný odpad 1 l 15-0002</t>
  </si>
  <si>
    <t>ZF985</t>
  </si>
  <si>
    <t>Katetr močový foley 24CH bal. á 12 ks 1620-02</t>
  </si>
  <si>
    <t>ZH072</t>
  </si>
  <si>
    <t>Hadice spojovací k odsávacím soupravám CH30 délka 3 m 07.068.30.301</t>
  </si>
  <si>
    <t>ZH816</t>
  </si>
  <si>
    <t>Katetr močový foley CH14 180605-000140</t>
  </si>
  <si>
    <t>ZI179</t>
  </si>
  <si>
    <t>Zkumavka s mediem+ flovakovaný tampon eSwab růžový 490CE.A</t>
  </si>
  <si>
    <t>ZJ312</t>
  </si>
  <si>
    <t>Sonda žaludeční CH16 1200 mm s RTG linkou bal. á 50 ks 412016</t>
  </si>
  <si>
    <t>ZJ696</t>
  </si>
  <si>
    <t>Sonda žaludeční CH18 1200 mm s RTG linkou bal. á 30 ks 412018</t>
  </si>
  <si>
    <t>ZJ703</t>
  </si>
  <si>
    <t>Sonda žaludeční CH8 1200mm s RTG linkou bal. á 10 ks 412008</t>
  </si>
  <si>
    <t>ZB071</t>
  </si>
  <si>
    <t>Podložka almarys twin+pooperační 39080U</t>
  </si>
  <si>
    <t>ZB072</t>
  </si>
  <si>
    <t>Sáček almarys Twin+pooperační 039980U</t>
  </si>
  <si>
    <t>ZB502</t>
  </si>
  <si>
    <t>Hadice silikon 3 x 5 mm á 25 m 34.000.00.103</t>
  </si>
  <si>
    <t>ZE174</t>
  </si>
  <si>
    <t>Nádoba na histologický mat. 920 ml 333000041024</t>
  </si>
  <si>
    <t>ZF176</t>
  </si>
  <si>
    <t>Nádoba na histologický mat. 5,7 l 333000086003</t>
  </si>
  <si>
    <t>ZF574</t>
  </si>
  <si>
    <t>Drén redon CH18 50 cm U2111800</t>
  </si>
  <si>
    <t>ZH519</t>
  </si>
  <si>
    <t>Gumička těsnící k laparosk.trokarům 3 mm á 10 ks A5857</t>
  </si>
  <si>
    <t>ZH521</t>
  </si>
  <si>
    <t>Gumička spojovací k laparosk.redukci bal.10 ks A5858</t>
  </si>
  <si>
    <t>ZL464</t>
  </si>
  <si>
    <t xml:space="preserve">Popisovač sterilní se dvěma hroty Sandel 4-in-1Marker, bal. á 25 ks, S1041F </t>
  </si>
  <si>
    <t>ZL627</t>
  </si>
  <si>
    <t xml:space="preserve">Hadice silikon 4/6/1 mm pro drenáž tělních dutin bal. á 10 m KVS 60-040060 </t>
  </si>
  <si>
    <t>ZA891</t>
  </si>
  <si>
    <t>Elektroda neutrální nessy ke koagulaci á 50 ks 20193-070</t>
  </si>
  <si>
    <t>ZE385</t>
  </si>
  <si>
    <t>Hadice silikon 1 x 3,0 mm á 25 m 34.000.00.100</t>
  </si>
  <si>
    <t>ZA783</t>
  </si>
  <si>
    <t>Drén Easy Flow 40 mm/30 cm, á 10 ks, 97.816.92.224</t>
  </si>
  <si>
    <t>ZD425</t>
  </si>
  <si>
    <t>Nůž k elektrodermatomu á 10 ks GB228 R</t>
  </si>
  <si>
    <t>ZA892</t>
  </si>
  <si>
    <t>Elektroda neutrální kojenecká bal. á 50 ks 20193-073</t>
  </si>
  <si>
    <t>ZE456</t>
  </si>
  <si>
    <t>Nádoba na histologický mat. 1000 ml 1396</t>
  </si>
  <si>
    <t>ZK719</t>
  </si>
  <si>
    <t>Hadice 3 m splash vac 57270</t>
  </si>
  <si>
    <t>ZF174</t>
  </si>
  <si>
    <t>Nádoba na histologický mat. 400 ml 333000041012</t>
  </si>
  <si>
    <t>ZB748</t>
  </si>
  <si>
    <t>Spojka T 7-7-7 UH 86067572</t>
  </si>
  <si>
    <t>ZA015</t>
  </si>
  <si>
    <t>Šroub kortikální 1.5 mm 200.808</t>
  </si>
  <si>
    <t>ZA016</t>
  </si>
  <si>
    <t>Šroub kortikální 1.5 mm 200.812</t>
  </si>
  <si>
    <t>ZC208</t>
  </si>
  <si>
    <t>Šroub kortikální 1.5 mm 200.811</t>
  </si>
  <si>
    <t>ZC473</t>
  </si>
  <si>
    <t>Obturátor, á 24 ks, 420023-02</t>
  </si>
  <si>
    <t>ZD613</t>
  </si>
  <si>
    <t xml:space="preserve">Obal na rameno robota bal. á 20 ks 420015-03 </t>
  </si>
  <si>
    <t>ZE762</t>
  </si>
  <si>
    <t>Nástroj robotický jehelec 8 mm 1 kus = 10 životů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</si>
  <si>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</si>
  <si>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</si>
  <si>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</si>
  <si>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</si>
  <si>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</si>
  <si>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</si>
  <si>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</si>
  <si>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</si>
  <si>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ZE918</t>
  </si>
  <si>
    <t>Nůžky monopolární na pálení 420179-10</t>
  </si>
  <si>
    <t>ZE919</t>
  </si>
  <si>
    <t>Kleště maryland biopolární 420172-07</t>
  </si>
  <si>
    <t>ZD721</t>
  </si>
  <si>
    <t>Set odsávací CH 6-18 05.000.22.641</t>
  </si>
  <si>
    <t>ZA248</t>
  </si>
  <si>
    <t>Šití prolen bl 2/0 bal. á 12 ks W8977</t>
  </si>
  <si>
    <t>ZA250</t>
  </si>
  <si>
    <t>Šití ethbond zelený 2/0 bal. á 12 ks W6767</t>
  </si>
  <si>
    <t>ZA853</t>
  </si>
  <si>
    <t>Šití prolen bl 5/0 bal. á 12 ks W8830</t>
  </si>
  <si>
    <t>ZA958</t>
  </si>
  <si>
    <t>Šití safil fialový 2/0 bal. á 36 ks C1048251</t>
  </si>
  <si>
    <t>ZB033</t>
  </si>
  <si>
    <t>Šití dafilon modrý 3/0 bal. á 36 ks C0935468</t>
  </si>
  <si>
    <t>ZB034</t>
  </si>
  <si>
    <t>Šití dafilon modrý 2/0 bal. á 36 ks C0935476</t>
  </si>
  <si>
    <t>ZB039</t>
  </si>
  <si>
    <t>Šití ventrofil bal. á 4 ks 993034</t>
  </si>
  <si>
    <t>ZB214</t>
  </si>
  <si>
    <t>Šití safil fialový 4/0 bal. á 36 ks C1048029</t>
  </si>
  <si>
    <t>ZB215</t>
  </si>
  <si>
    <t>Šití safil fialový 3/0 bal. á 36 ks C1048041</t>
  </si>
  <si>
    <t>ZB216</t>
  </si>
  <si>
    <t>Šití safil fialový 2/0 bal. á 36 ks C1048051</t>
  </si>
  <si>
    <t>ZB217</t>
  </si>
  <si>
    <t>Šití dafilon modrý 3/0 bal. á 36 ks C0932353</t>
  </si>
  <si>
    <t>ZB220</t>
  </si>
  <si>
    <t>Šití safil fialový 3/0 bal. á 36 ks C1048046</t>
  </si>
  <si>
    <t>ZB520</t>
  </si>
  <si>
    <t>Šití safil fialový 3/0 bal. á 12 ks G1038715</t>
  </si>
  <si>
    <t>ZB979</t>
  </si>
  <si>
    <t>Šití dafilon modrý 4/0 bal. á 36 ks C0932205</t>
  </si>
  <si>
    <t>ZE801</t>
  </si>
  <si>
    <t>Šití monocryl 3/0 bal. á 12 ks W3637</t>
  </si>
  <si>
    <t>ZF699</t>
  </si>
  <si>
    <t xml:space="preserve">Šití premicron 3/0, 2,5 m bal. á 12 ks G0120060 </t>
  </si>
  <si>
    <t>ZG672</t>
  </si>
  <si>
    <t>Šití safil quick 4/0 bal. á 36 ks C1046013</t>
  </si>
  <si>
    <t>ZG849</t>
  </si>
  <si>
    <t>Šití premicron 2/0 2,5m bal. á 12ks G0120061</t>
  </si>
  <si>
    <t>ZG886</t>
  </si>
  <si>
    <t>Šití premicron 1 2,5m bal. á 12ks G0120063</t>
  </si>
  <si>
    <t>ZH872</t>
  </si>
  <si>
    <t xml:space="preserve">Šití ethbond excel 0 90 cm bal. á 12 ks W6978 </t>
  </si>
  <si>
    <t>ZB036</t>
  </si>
  <si>
    <t>Šití safil fialový 2 bal. á 36 ks C1038210</t>
  </si>
  <si>
    <t>ZB185</t>
  </si>
  <si>
    <t>Šití vicryl un 4/0 bal. á 12 ks W9951</t>
  </si>
  <si>
    <t>ZB213</t>
  </si>
  <si>
    <t>Šití safil fialový 5/0 bal. á 36 ks C1048012</t>
  </si>
  <si>
    <t>ZB279</t>
  </si>
  <si>
    <t>Šití prolen bl 6/0 bal. á 12 ks W8815</t>
  </si>
  <si>
    <t>ZB560</t>
  </si>
  <si>
    <t>Šití prolen 3/0 bal. á 12 ks W8630</t>
  </si>
  <si>
    <t>ZB718</t>
  </si>
  <si>
    <t>Šití prolen bl 4/0 bal. á 12 ks W8840</t>
  </si>
  <si>
    <t>ZB878</t>
  </si>
  <si>
    <t>Šití safil quick 2/0 bal. á 36 ks C1046042</t>
  </si>
  <si>
    <t>ZC789</t>
  </si>
  <si>
    <t>Šití safil fialový 0 bal. á 12 ks G1038717</t>
  </si>
  <si>
    <t>ZD067</t>
  </si>
  <si>
    <t>Šití safil fialový 2/0 bal. á 36 ks C1048042</t>
  </si>
  <si>
    <t>ZG876</t>
  </si>
  <si>
    <t xml:space="preserve">Šití premicron 0 2,5m bal. á 12ks G0120062 </t>
  </si>
  <si>
    <t>ZI467</t>
  </si>
  <si>
    <t>Šití monoplus fialový bal. á 24 ks B0024091</t>
  </si>
  <si>
    <t>ZM044</t>
  </si>
  <si>
    <t>Šití PDS 4-0 bal. á 36 ks W9115H</t>
  </si>
  <si>
    <t>ZK581</t>
  </si>
  <si>
    <t>Šití monocryl 3/0 bal. á 12 ks W3650</t>
  </si>
  <si>
    <t>ZD308</t>
  </si>
  <si>
    <t>Šití monocryl 3/0 bal. á 12 ks W3664</t>
  </si>
  <si>
    <t>ZA865</t>
  </si>
  <si>
    <t>Šití prolen 2/0 bal. á 12 ks W8400</t>
  </si>
  <si>
    <t>ZA975</t>
  </si>
  <si>
    <t>Šití safil fialový 4/0 bal. á 36 ks C1048220</t>
  </si>
  <si>
    <t>ZB115</t>
  </si>
  <si>
    <t>Šití prolen bl 3/0 bal. á 12 ks W8849</t>
  </si>
  <si>
    <t>ZB219</t>
  </si>
  <si>
    <t>Šití safil fialový 2 bal. á 36 ks C1048535</t>
  </si>
  <si>
    <t>ZA959</t>
  </si>
  <si>
    <t>Šití safil fialový 3/0 bal. á 36 ks C1048241</t>
  </si>
  <si>
    <t>ZE535</t>
  </si>
  <si>
    <t>Šití vicryl rapide un 6/0 bal. á 12 ks W9913</t>
  </si>
  <si>
    <t>ZA360</t>
  </si>
  <si>
    <t>Jehla sterican 0,5 x 25 mm oranžová 9186158</t>
  </si>
  <si>
    <t>ZA833</t>
  </si>
  <si>
    <t>Jehla injekční 0,8 x   40 mm zelená 4657527</t>
  </si>
  <si>
    <t>ZB168</t>
  </si>
  <si>
    <t>Jehla chirurgická B10</t>
  </si>
  <si>
    <t>ZB206</t>
  </si>
  <si>
    <t>Jehla chirurgická G6</t>
  </si>
  <si>
    <t>ZB248</t>
  </si>
  <si>
    <t>Jehla chirurgická G7</t>
  </si>
  <si>
    <t>ZB460</t>
  </si>
  <si>
    <t>Jehla chirurgicka G8</t>
  </si>
  <si>
    <t>ZB469</t>
  </si>
  <si>
    <t>Jehla chirurgická G15</t>
  </si>
  <si>
    <t>ZB478</t>
  </si>
  <si>
    <t>Jehla chirurgická B11</t>
  </si>
  <si>
    <t>ZB480</t>
  </si>
  <si>
    <t>Jehla chirurgická G10</t>
  </si>
  <si>
    <t>ZB556</t>
  </si>
  <si>
    <t>Jehla injekční 1,2 x   40 mm růžová 4665120</t>
  </si>
  <si>
    <t>ZG676</t>
  </si>
  <si>
    <t>Jehla chirurgická s pérovými oušky bal. á 12 ks HSF - 17 3076</t>
  </si>
  <si>
    <t>ZG677</t>
  </si>
  <si>
    <t>Jehla chirurgická s pérovými oušky bal. á 12 ks HS - 26 3058</t>
  </si>
  <si>
    <t>ZB198</t>
  </si>
  <si>
    <t>Jehla chirurgická G3</t>
  </si>
  <si>
    <t>ZB133</t>
  </si>
  <si>
    <t>Jehla chirurgická G9</t>
  </si>
  <si>
    <t>ZG675</t>
  </si>
  <si>
    <t>Jehla chirurgická s pérovými oušky bal. á 12 ks HSF - 20 3075</t>
  </si>
  <si>
    <t>ZG673</t>
  </si>
  <si>
    <t>Jehla chirurgická s pérovými oušky bal. á 12 ks DSF - 25 3072</t>
  </si>
  <si>
    <t>ZF776</t>
  </si>
  <si>
    <t>Jehla chirurgická B16</t>
  </si>
  <si>
    <t>ZH089</t>
  </si>
  <si>
    <t>Jehla chirurgická GA7</t>
  </si>
  <si>
    <t>ZF983</t>
  </si>
  <si>
    <t>Jehla chirurgická B15</t>
  </si>
  <si>
    <t>ZG674</t>
  </si>
  <si>
    <t>Jehla chirurgická s pérovými oušky bal. á 12 ks DSF - 21 3073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</si>
  <si>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</si>
  <si>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</si>
  <si>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</si>
  <si>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</si>
  <si>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</si>
  <si>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</si>
  <si>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</si>
  <si>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</si>
  <si>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</si>
  <si>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</si>
  <si>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ZL426</t>
  </si>
  <si>
    <t>Rukavice operační ansell sensi - touch vel. 7,5 bal. á 40 párů 8050154</t>
  </si>
  <si>
    <t>ZL069</t>
  </si>
  <si>
    <t>Rukavice operační gammex bez pudru PF EnLite vel. 5,5 353381</t>
  </si>
  <si>
    <t>ZL949</t>
  </si>
  <si>
    <t>Rukavice nitril promedica bez p. L bílé 6N á 100 ks 9399W4</t>
  </si>
  <si>
    <t>ZA047</t>
  </si>
  <si>
    <t xml:space="preserve">Tampon proš. NT s RTG 45 x 45 cm bal. tkanicí á 50 ks 03100 </t>
  </si>
  <si>
    <t>ZA329</t>
  </si>
  <si>
    <t>Obinadlo fixa crep   6 cm x 4 m 1323100102</t>
  </si>
  <si>
    <t>ZA330</t>
  </si>
  <si>
    <t>Obinadlo fixa crep   8 cm x 4 m 1323100103</t>
  </si>
  <si>
    <t>ZA340</t>
  </si>
  <si>
    <t>Obinadlo hydrofilní 12 cm x   5 m 13008</t>
  </si>
  <si>
    <t>ZA465</t>
  </si>
  <si>
    <t>Fólie incizní raucodrape sterilní 45 x 50 cm 23445</t>
  </si>
  <si>
    <t>ZA480</t>
  </si>
  <si>
    <t>Fólie incizní raucodrape 15 x 20 cm á 10 ks 25441</t>
  </si>
  <si>
    <t>ZA516</t>
  </si>
  <si>
    <t>Kompresa NT 7,5 x 7,5 cm / 10 sterilní karton á 900 ks 1230119526</t>
  </si>
  <si>
    <t>ZA540</t>
  </si>
  <si>
    <t>Náplast omnifix E 15 cm x 10 m 9006513</t>
  </si>
  <si>
    <t>ZA547</t>
  </si>
  <si>
    <t>Krytí inadine nepřilnavé 9,5 x 9,5 cm 1/10 SYS01512EE</t>
  </si>
  <si>
    <t>ZA554</t>
  </si>
  <si>
    <t>Krytí hypro-sorb R 10 x 10 x 10 mm bal. á 10 ks 006</t>
  </si>
  <si>
    <t>ZJ687</t>
  </si>
  <si>
    <t xml:space="preserve">Krytí gelitaspon tampon   80 x 30 mm bal. á 5 ks GS -210 </t>
  </si>
  <si>
    <t>ZK405</t>
  </si>
  <si>
    <t>Krytí gelitaspon standard 80 x 50 mm x 10 mm bal. á 10 ks 2107861</t>
  </si>
  <si>
    <t>ZA417</t>
  </si>
  <si>
    <t>Krytí mastný tyl lomatuell H 10 x 20, á 10 ks, 23316</t>
  </si>
  <si>
    <t>ZC694</t>
  </si>
  <si>
    <t>Tyčinka oční PRO OPTHA nesteril. á 500 ks 16 515</t>
  </si>
  <si>
    <t>ZA513</t>
  </si>
  <si>
    <t>Krytí s mastí atrauman 10 x 10 cm bal. á 10 ks 499573</t>
  </si>
  <si>
    <t>ZA494</t>
  </si>
  <si>
    <t>Fólie incizní rucodrape ( opraflex ) 45 x 20 cm 25443</t>
  </si>
  <si>
    <t>ZL814</t>
  </si>
  <si>
    <t xml:space="preserve">Krytí nevstřebatelné textilní hemostatikum s kaolínem QuikClot 10 x 10cm 2090301 </t>
  </si>
  <si>
    <t>ZE824</t>
  </si>
  <si>
    <t>Krytí cellistyp 5 x 7 cm bal. á 15 ks (náhrada za okcel) 2080508</t>
  </si>
  <si>
    <t>ZA757</t>
  </si>
  <si>
    <t>Drén redon CH16 50 cm U2111600</t>
  </si>
  <si>
    <t>ZA790</t>
  </si>
  <si>
    <t>Stříkačka injekční   5 ml 4606051V</t>
  </si>
  <si>
    <t>ZA932</t>
  </si>
  <si>
    <t>Elektroda neutrální ke koagulaci bal. á 50 ks E7509</t>
  </si>
  <si>
    <t>ZJ695</t>
  </si>
  <si>
    <t>Sonda žaludeční CH14 1200 mm s RTG linkou bal. á 50 ks 412014</t>
  </si>
  <si>
    <t>ZA695</t>
  </si>
  <si>
    <t>Držák skalpelových čepelek 4 135 mm BB084R</t>
  </si>
  <si>
    <t>ZK183</t>
  </si>
  <si>
    <t>Násadka skalpelu č. 3l BB075R</t>
  </si>
  <si>
    <t>ZK192</t>
  </si>
  <si>
    <t>Podložka pod mesh 1:1, 5 mm bal. á 10 ks BA721</t>
  </si>
  <si>
    <t>ZK085</t>
  </si>
  <si>
    <t>Svorka art. kocher 140 mm BH614R</t>
  </si>
  <si>
    <t>ZB069</t>
  </si>
  <si>
    <t>Držák skalpelových čepelek 3 BB073R</t>
  </si>
  <si>
    <t>ZK036</t>
  </si>
  <si>
    <t>Tubus zevní izol.   5/10 mm 310 mm PM975R</t>
  </si>
  <si>
    <t>ZE132</t>
  </si>
  <si>
    <t>Kleště úchopové atraum. jednoráz. D5/310 PO893SU</t>
  </si>
  <si>
    <t>ZA917</t>
  </si>
  <si>
    <t>Šití silon braided white bal. á 20 ks SB2056</t>
  </si>
  <si>
    <t>ZF107</t>
  </si>
  <si>
    <t>Rukavice operační latexové bez pudru ortpedic vel. 7,0 5788203</t>
  </si>
  <si>
    <t>ZF431</t>
  </si>
  <si>
    <t>Rukavice operační gammex PF sensitive vel. 7,5 353195</t>
  </si>
  <si>
    <t>ZK476</t>
  </si>
  <si>
    <t>Rukavice operační latexové s pudrem ansell medigrip plus vel. 7,5 302925</t>
  </si>
  <si>
    <t>ZK482</t>
  </si>
  <si>
    <t>Rukavice operační latexové bez pudru ortpedic vel. 8,0 5788205</t>
  </si>
  <si>
    <t>ZK483</t>
  </si>
  <si>
    <t>Rukavice operační latexové bez pudru ortpedic vel. 7,5 5788204</t>
  </si>
  <si>
    <t>ZK683</t>
  </si>
  <si>
    <t>Rukavice operační gammex PF sensitive vel. 7,0 353194</t>
  </si>
  <si>
    <t>ZL075</t>
  </si>
  <si>
    <t>Rukavice operační gammex bez pudru PF EnLite vel. 8,5 353387</t>
  </si>
  <si>
    <t>ZF432</t>
  </si>
  <si>
    <t>Rukavice operační gammex PF sensitive vel. 8,0 353196</t>
  </si>
  <si>
    <t>ZJ718</t>
  </si>
  <si>
    <t>Rukavice operační gammex PF sensitive vel. 6,5 bal. á 25 párů 353193</t>
  </si>
  <si>
    <t>ZJ719</t>
  </si>
  <si>
    <t>Rukavice operační gammex PF sensitive vel. 6,0 bal. á 25 párů 353192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</si>
  <si>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</si>
  <si>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</si>
  <si>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</si>
  <si>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</si>
  <si>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</si>
  <si>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kovové (112 02 030)</t>
  </si>
  <si>
    <t>50115061</t>
  </si>
  <si>
    <t>512 SZM robotické centrum (112 02 103)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</si>
  <si>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</si>
  <si>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</si>
  <si>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</si>
  <si>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</si>
  <si>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</si>
  <si>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</si>
  <si>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</si>
  <si>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</si>
  <si>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50115080</t>
  </si>
  <si>
    <t>523 SZM staplery, endosk., optika, extraktory (112 02 102)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</si>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</sst>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69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6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3" xfId="1" applyFont="1" applyFill="1" applyBorder="1" applyAlignment="1">
      <alignment horizontal="left" indent="4"/>
    </xf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9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5" xfId="0" applyNumberFormat="1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3" fontId="53" fillId="2" borderId="58" xfId="0" applyNumberFormat="1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3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3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8" xfId="0" applyFont="1" applyBorder="1"/>
    <xf numFmtId="3" fontId="32" fillId="0" borderId="78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7" xfId="0" applyNumberFormat="1" applyFont="1" applyFill="1" applyBorder="1" applyAlignment="1">
      <alignment horizontal="center" vertical="center"/>
    </xf>
    <xf numFmtId="3" fontId="53" fillId="2" borderId="75" xfId="0" applyNumberFormat="1" applyFont="1" applyFill="1" applyBorder="1" applyAlignment="1">
      <alignment horizontal="center" vertical="center" wrapText="1"/>
    </xf>
    <xf numFmtId="174" fontId="39" fillId="4" borderId="62" xfId="0" applyNumberFormat="1" applyFont="1" applyFill="1" applyBorder="1" applyAlignment="1"/>
    <xf numFmtId="174" fontId="39" fillId="4" borderId="55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0" borderId="64" xfId="0" applyNumberFormat="1" applyFont="1" applyBorder="1"/>
    <xf numFmtId="174" fontId="32" fillId="0" borderId="68" xfId="0" applyNumberFormat="1" applyFont="1" applyBorder="1"/>
    <xf numFmtId="174" fontId="32" fillId="0" borderId="66" xfId="0" applyNumberFormat="1" applyFont="1" applyBorder="1"/>
    <xf numFmtId="174" fontId="39" fillId="0" borderId="74" xfId="0" applyNumberFormat="1" applyFont="1" applyBorder="1"/>
    <xf numFmtId="174" fontId="32" fillId="0" borderId="75" xfId="0" applyNumberFormat="1" applyFont="1" applyBorder="1"/>
    <xf numFmtId="174" fontId="32" fillId="0" borderId="59" xfId="0" applyNumberFormat="1" applyFont="1" applyBorder="1"/>
    <xf numFmtId="174" fontId="39" fillId="2" borderId="76" xfId="0" applyNumberFormat="1" applyFont="1" applyFill="1" applyBorder="1" applyAlignment="1"/>
    <xf numFmtId="174" fontId="39" fillId="2" borderId="55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9" fillId="0" borderId="62" xfId="0" applyNumberFormat="1" applyFont="1" applyBorder="1"/>
    <xf numFmtId="174" fontId="32" fillId="0" borderId="77" xfId="0" applyNumberFormat="1" applyFont="1" applyBorder="1"/>
    <xf numFmtId="174" fontId="32" fillId="0" borderId="56" xfId="0" applyNumberFormat="1" applyFont="1" applyBorder="1"/>
    <xf numFmtId="175" fontId="39" fillId="2" borderId="62" xfId="0" applyNumberFormat="1" applyFont="1" applyFill="1" applyBorder="1" applyAlignment="1"/>
    <xf numFmtId="175" fontId="32" fillId="2" borderId="55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9" fillId="0" borderId="64" xfId="0" applyNumberFormat="1" applyFont="1" applyBorder="1"/>
    <xf numFmtId="175" fontId="32" fillId="0" borderId="65" xfId="0" applyNumberFormat="1" applyFont="1" applyBorder="1"/>
    <xf numFmtId="175" fontId="32" fillId="0" borderId="66" xfId="0" applyNumberFormat="1" applyFont="1" applyBorder="1"/>
    <xf numFmtId="175" fontId="32" fillId="0" borderId="68" xfId="0" applyNumberFormat="1" applyFont="1" applyBorder="1"/>
    <xf numFmtId="175" fontId="39" fillId="0" borderId="70" xfId="0" applyNumberFormat="1" applyFont="1" applyBorder="1"/>
    <xf numFmtId="175" fontId="32" fillId="0" borderId="71" xfId="0" applyNumberFormat="1" applyFont="1" applyBorder="1"/>
    <xf numFmtId="175" fontId="32" fillId="0" borderId="72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2" xfId="0" applyNumberFormat="1" applyFont="1" applyFill="1" applyBorder="1" applyAlignment="1">
      <alignment horizontal="center"/>
    </xf>
    <xf numFmtId="176" fontId="39" fillId="0" borderId="70" xfId="0" applyNumberFormat="1" applyFont="1" applyBorder="1"/>
    <xf numFmtId="0" fontId="31" fillId="2" borderId="84" xfId="74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0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4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4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3" xfId="53" applyNumberFormat="1" applyFont="1" applyFill="1" applyBorder="1" applyAlignment="1">
      <alignment horizontal="right"/>
    </xf>
    <xf numFmtId="165" fontId="29" fillId="2" borderId="28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2" fillId="0" borderId="1" xfId="26" applyFont="1" applyFill="1" applyBorder="1" applyAlignment="1"/>
    <xf numFmtId="167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86" xfId="0" applyNumberFormat="1" applyFont="1" applyFill="1" applyBorder="1" applyAlignment="1">
      <alignment horizontal="right" vertical="top"/>
    </xf>
    <xf numFmtId="3" fontId="33" fillId="9" borderId="87" xfId="0" applyNumberFormat="1" applyFont="1" applyFill="1" applyBorder="1" applyAlignment="1">
      <alignment horizontal="right" vertical="top"/>
    </xf>
    <xf numFmtId="177" fontId="33" fillId="9" borderId="88" xfId="0" applyNumberFormat="1" applyFont="1" applyFill="1" applyBorder="1" applyAlignment="1">
      <alignment horizontal="right" vertical="top"/>
    </xf>
    <xf numFmtId="3" fontId="33" fillId="0" borderId="86" xfId="0" applyNumberFormat="1" applyFont="1" applyBorder="1" applyAlignment="1">
      <alignment horizontal="right" vertical="top"/>
    </xf>
    <xf numFmtId="177" fontId="33" fillId="9" borderId="89" xfId="0" applyNumberFormat="1" applyFont="1" applyFill="1" applyBorder="1" applyAlignment="1">
      <alignment horizontal="right" vertical="top"/>
    </xf>
    <xf numFmtId="3" fontId="35" fillId="9" borderId="91" xfId="0" applyNumberFormat="1" applyFont="1" applyFill="1" applyBorder="1" applyAlignment="1">
      <alignment horizontal="right" vertical="top"/>
    </xf>
    <xf numFmtId="3" fontId="35" fillId="9" borderId="92" xfId="0" applyNumberFormat="1" applyFont="1" applyFill="1" applyBorder="1" applyAlignment="1">
      <alignment horizontal="right" vertical="top"/>
    </xf>
    <xf numFmtId="0" fontId="35" fillId="9" borderId="93" xfId="0" applyFont="1" applyFill="1" applyBorder="1" applyAlignment="1">
      <alignment horizontal="right" vertical="top"/>
    </xf>
    <xf numFmtId="3" fontId="35" fillId="0" borderId="91" xfId="0" applyNumberFormat="1" applyFont="1" applyBorder="1" applyAlignment="1">
      <alignment horizontal="right" vertical="top"/>
    </xf>
    <xf numFmtId="0" fontId="35" fillId="9" borderId="94" xfId="0" applyFont="1" applyFill="1" applyBorder="1" applyAlignment="1">
      <alignment horizontal="right" vertical="top"/>
    </xf>
    <xf numFmtId="0" fontId="33" fillId="9" borderId="88" xfId="0" applyFont="1" applyFill="1" applyBorder="1" applyAlignment="1">
      <alignment horizontal="right" vertical="top"/>
    </xf>
    <xf numFmtId="0" fontId="33" fillId="9" borderId="89" xfId="0" applyFont="1" applyFill="1" applyBorder="1" applyAlignment="1">
      <alignment horizontal="right" vertical="top"/>
    </xf>
    <xf numFmtId="177" fontId="35" fillId="9" borderId="93" xfId="0" applyNumberFormat="1" applyFont="1" applyFill="1" applyBorder="1" applyAlignment="1">
      <alignment horizontal="right" vertical="top"/>
    </xf>
    <xf numFmtId="177" fontId="35" fillId="9" borderId="94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177" fontId="35" fillId="9" borderId="98" xfId="0" applyNumberFormat="1" applyFont="1" applyFill="1" applyBorder="1" applyAlignment="1">
      <alignment horizontal="right" vertical="top"/>
    </xf>
    <xf numFmtId="0" fontId="37" fillId="10" borderId="85" xfId="0" applyFont="1" applyFill="1" applyBorder="1" applyAlignment="1">
      <alignment vertical="top"/>
    </xf>
    <xf numFmtId="0" fontId="37" fillId="10" borderId="85" xfId="0" applyFont="1" applyFill="1" applyBorder="1" applyAlignment="1">
      <alignment vertical="top" indent="2"/>
    </xf>
    <xf numFmtId="0" fontId="37" fillId="10" borderId="85" xfId="0" applyFont="1" applyFill="1" applyBorder="1" applyAlignment="1">
      <alignment vertical="top" indent="4"/>
    </xf>
    <xf numFmtId="0" fontId="38" fillId="10" borderId="90" xfId="0" applyFont="1" applyFill="1" applyBorder="1" applyAlignment="1">
      <alignment vertical="top" indent="6"/>
    </xf>
    <xf numFmtId="0" fontId="37" fillId="10" borderId="85" xfId="0" applyFont="1" applyFill="1" applyBorder="1" applyAlignment="1">
      <alignment vertical="top" indent="8"/>
    </xf>
    <xf numFmtId="0" fontId="38" fillId="10" borderId="90" xfId="0" applyFont="1" applyFill="1" applyBorder="1" applyAlignment="1">
      <alignment vertical="top" indent="2"/>
    </xf>
    <xf numFmtId="0" fontId="37" fillId="10" borderId="85" xfId="0" applyFont="1" applyFill="1" applyBorder="1" applyAlignment="1">
      <alignment vertical="top" indent="6"/>
    </xf>
    <xf numFmtId="0" fontId="38" fillId="10" borderId="90" xfId="0" applyFont="1" applyFill="1" applyBorder="1" applyAlignment="1">
      <alignment vertical="top" indent="4"/>
    </xf>
    <xf numFmtId="0" fontId="32" fillId="10" borderId="85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99" xfId="53" applyNumberFormat="1" applyFont="1" applyFill="1" applyBorder="1" applyAlignment="1">
      <alignment horizontal="left"/>
    </xf>
    <xf numFmtId="165" fontId="31" fillId="2" borderId="100" xfId="53" applyNumberFormat="1" applyFont="1" applyFill="1" applyBorder="1" applyAlignment="1">
      <alignment horizontal="left"/>
    </xf>
    <xf numFmtId="165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55" xfId="0" applyFont="1" applyFill="1" applyBorder="1"/>
    <xf numFmtId="0" fontId="32" fillId="0" borderId="56" xfId="0" applyFont="1" applyFill="1" applyBorder="1"/>
    <xf numFmtId="165" fontId="32" fillId="0" borderId="56" xfId="0" applyNumberFormat="1" applyFont="1" applyFill="1" applyBorder="1"/>
    <xf numFmtId="165" fontId="32" fillId="0" borderId="56" xfId="0" applyNumberFormat="1" applyFont="1" applyFill="1" applyBorder="1" applyAlignment="1">
      <alignment horizontal="right"/>
    </xf>
    <xf numFmtId="3" fontId="32" fillId="0" borderId="56" xfId="0" applyNumberFormat="1" applyFont="1" applyFill="1" applyBorder="1"/>
    <xf numFmtId="3" fontId="32" fillId="0" borderId="57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5" fontId="32" fillId="0" borderId="66" xfId="0" applyNumberFormat="1" applyFont="1" applyFill="1" applyBorder="1"/>
    <xf numFmtId="165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5" fontId="32" fillId="0" borderId="59" xfId="0" applyNumberFormat="1" applyFont="1" applyFill="1" applyBorder="1"/>
    <xf numFmtId="165" fontId="32" fillId="0" borderId="59" xfId="0" applyNumberFormat="1" applyFont="1" applyFill="1" applyBorder="1" applyAlignment="1">
      <alignment horizontal="right"/>
    </xf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174" fontId="39" fillId="4" borderId="101" xfId="0" applyNumberFormat="1" applyFont="1" applyFill="1" applyBorder="1" applyAlignment="1">
      <alignment horizontal="center"/>
    </xf>
    <xf numFmtId="174" fontId="39" fillId="4" borderId="102" xfId="0" applyNumberFormat="1" applyFont="1" applyFill="1" applyBorder="1" applyAlignment="1">
      <alignment horizontal="center"/>
    </xf>
    <xf numFmtId="174" fontId="32" fillId="0" borderId="103" xfId="0" applyNumberFormat="1" applyFont="1" applyBorder="1" applyAlignment="1">
      <alignment horizontal="right"/>
    </xf>
    <xf numFmtId="174" fontId="32" fillId="0" borderId="104" xfId="0" applyNumberFormat="1" applyFont="1" applyBorder="1" applyAlignment="1">
      <alignment horizontal="right"/>
    </xf>
    <xf numFmtId="174" fontId="32" fillId="0" borderId="104" xfId="0" applyNumberFormat="1" applyFont="1" applyBorder="1" applyAlignment="1">
      <alignment horizontal="right" wrapText="1"/>
    </xf>
    <xf numFmtId="176" fontId="32" fillId="0" borderId="103" xfId="0" applyNumberFormat="1" applyFont="1" applyBorder="1" applyAlignment="1">
      <alignment horizontal="right"/>
    </xf>
    <xf numFmtId="176" fontId="32" fillId="0" borderId="104" xfId="0" applyNumberFormat="1" applyFont="1" applyBorder="1" applyAlignment="1">
      <alignment horizontal="right"/>
    </xf>
    <xf numFmtId="174" fontId="32" fillId="0" borderId="105" xfId="0" applyNumberFormat="1" applyFont="1" applyBorder="1" applyAlignment="1">
      <alignment horizontal="right"/>
    </xf>
    <xf numFmtId="174" fontId="32" fillId="0" borderId="106" xfId="0" applyNumberFormat="1" applyFont="1" applyBorder="1" applyAlignment="1">
      <alignment horizontal="right"/>
    </xf>
    <xf numFmtId="0" fontId="39" fillId="2" borderId="81" xfId="0" applyFont="1" applyFill="1" applyBorder="1" applyAlignment="1">
      <alignment horizontal="center" vertical="center"/>
    </xf>
    <xf numFmtId="0" fontId="53" fillId="2" borderId="80" xfId="0" applyFont="1" applyFill="1" applyBorder="1" applyAlignment="1">
      <alignment horizontal="center" vertical="center" wrapText="1"/>
    </xf>
    <xf numFmtId="175" fontId="32" fillId="2" borderId="81" xfId="0" applyNumberFormat="1" applyFont="1" applyFill="1" applyBorder="1" applyAlignment="1"/>
    <xf numFmtId="175" fontId="32" fillId="0" borderId="79" xfId="0" applyNumberFormat="1" applyFont="1" applyBorder="1"/>
    <xf numFmtId="175" fontId="32" fillId="0" borderId="107" xfId="0" applyNumberFormat="1" applyFont="1" applyBorder="1"/>
    <xf numFmtId="174" fontId="39" fillId="4" borderId="81" xfId="0" applyNumberFormat="1" applyFont="1" applyFill="1" applyBorder="1" applyAlignment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2" borderId="81" xfId="0" applyNumberFormat="1" applyFont="1" applyFill="1" applyBorder="1" applyAlignment="1"/>
    <xf numFmtId="174" fontId="32" fillId="0" borderId="107" xfId="0" applyNumberFormat="1" applyFont="1" applyBorder="1"/>
    <xf numFmtId="174" fontId="32" fillId="0" borderId="81" xfId="0" applyNumberFormat="1" applyFont="1" applyBorder="1"/>
    <xf numFmtId="174" fontId="39" fillId="4" borderId="108" xfId="0" applyNumberFormat="1" applyFont="1" applyFill="1" applyBorder="1" applyAlignment="1">
      <alignment horizontal="center"/>
    </xf>
    <xf numFmtId="174" fontId="32" fillId="0" borderId="109" xfId="0" applyNumberFormat="1" applyFont="1" applyBorder="1" applyAlignment="1">
      <alignment horizontal="right"/>
    </xf>
    <xf numFmtId="176" fontId="32" fillId="0" borderId="109" xfId="0" applyNumberFormat="1" applyFont="1" applyBorder="1" applyAlignment="1">
      <alignment horizontal="right"/>
    </xf>
    <xf numFmtId="174" fontId="32" fillId="0" borderId="110" xfId="0" applyNumberFormat="1" applyFont="1" applyBorder="1" applyAlignment="1">
      <alignment horizontal="right"/>
    </xf>
    <xf numFmtId="0" fontId="0" fillId="0" borderId="14" xfId="0" applyBorder="1"/>
    <xf numFmtId="174" fontId="39" fillId="4" borderId="61" xfId="0" applyNumberFormat="1" applyFont="1" applyFill="1" applyBorder="1" applyAlignment="1">
      <alignment horizontal="center"/>
    </xf>
    <xf numFmtId="174" fontId="32" fillId="0" borderId="63" xfId="0" applyNumberFormat="1" applyFont="1" applyBorder="1" applyAlignment="1">
      <alignment horizontal="right"/>
    </xf>
    <xf numFmtId="176" fontId="32" fillId="0" borderId="63" xfId="0" applyNumberFormat="1" applyFont="1" applyBorder="1" applyAlignment="1">
      <alignment horizontal="right"/>
    </xf>
    <xf numFmtId="174" fontId="32" fillId="0" borderId="73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98.6640625" style="96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44" t="s">
        <v>63</v>
      </c>
      <c r="B1" s="244"/>
    </row>
    <row r="2" spans="1:3" ht="14.4" customHeight="1" thickBot="1" x14ac:dyDescent="0.35">
      <c r="A2" s="174" t="s">
        <v>194</v>
      </c>
      <c r="B2" s="41"/>
    </row>
    <row r="3" spans="1:3" ht="14.4" customHeight="1" thickBot="1" x14ac:dyDescent="0.35">
      <c r="A3" s="240" t="s">
        <v>79</v>
      </c>
      <c r="B3" s="241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196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2" t="s">
        <v>64</v>
      </c>
      <c r="B9" s="241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4" si="2">HYPERLINK("#'"&amp;C11&amp;"'!A1",C11)</f>
        <v>LŽ Detail</v>
      </c>
      <c r="B11" s="63" t="s">
        <v>95</v>
      </c>
      <c r="C11" s="42" t="s">
        <v>69</v>
      </c>
    </row>
    <row r="12" spans="1:3" ht="14.4" customHeight="1" x14ac:dyDescent="0.3">
      <c r="A12" s="113" t="str">
        <f t="shared" ref="A12" si="3">HYPERLINK("#'"&amp;C12&amp;"'!A1",C12)</f>
        <v>Materiál Žádanky</v>
      </c>
      <c r="B12" s="63" t="s">
        <v>78</v>
      </c>
      <c r="C12" s="42" t="s">
        <v>70</v>
      </c>
    </row>
    <row r="13" spans="1:3" ht="14.4" customHeight="1" x14ac:dyDescent="0.3">
      <c r="A13" s="111" t="str">
        <f t="shared" si="2"/>
        <v>MŽ Detail</v>
      </c>
      <c r="B13" s="63" t="s">
        <v>884</v>
      </c>
      <c r="C13" s="42" t="s">
        <v>71</v>
      </c>
    </row>
    <row r="14" spans="1:3" ht="14.4" customHeight="1" thickBot="1" x14ac:dyDescent="0.35">
      <c r="A14" s="113" t="str">
        <f t="shared" si="2"/>
        <v>Osobní náklady</v>
      </c>
      <c r="B14" s="63" t="s">
        <v>61</v>
      </c>
      <c r="C14" s="42" t="s">
        <v>72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43" t="s">
        <v>65</v>
      </c>
      <c r="B16" s="241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8" width="13.109375" hidden="1" customWidth="1"/>
    <col min="29" max="29" width="13.109375" customWidth="1"/>
    <col min="30" max="33" width="13.109375" hidden="1" customWidth="1"/>
  </cols>
  <sheetData>
    <row r="1" spans="1:34" ht="18.600000000000001" thickBot="1" x14ac:dyDescent="0.4">
      <c r="A1" s="281" t="s">
        <v>61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</row>
    <row r="2" spans="1:34" ht="15" thickBot="1" x14ac:dyDescent="0.35">
      <c r="A2" s="174" t="s">
        <v>194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</row>
    <row r="3" spans="1:34" x14ac:dyDescent="0.3">
      <c r="A3" s="193" t="s">
        <v>154</v>
      </c>
      <c r="B3" s="282" t="s">
        <v>135</v>
      </c>
      <c r="C3" s="176">
        <v>0</v>
      </c>
      <c r="D3" s="177">
        <v>101</v>
      </c>
      <c r="E3" s="177">
        <v>102</v>
      </c>
      <c r="F3" s="196">
        <v>305</v>
      </c>
      <c r="G3" s="196">
        <v>306</v>
      </c>
      <c r="H3" s="196">
        <v>408</v>
      </c>
      <c r="I3" s="196">
        <v>409</v>
      </c>
      <c r="J3" s="196">
        <v>410</v>
      </c>
      <c r="K3" s="196">
        <v>415</v>
      </c>
      <c r="L3" s="196">
        <v>416</v>
      </c>
      <c r="M3" s="196">
        <v>418</v>
      </c>
      <c r="N3" s="196">
        <v>419</v>
      </c>
      <c r="O3" s="196">
        <v>420</v>
      </c>
      <c r="P3" s="196">
        <v>421</v>
      </c>
      <c r="Q3" s="196">
        <v>522</v>
      </c>
      <c r="R3" s="196">
        <v>523</v>
      </c>
      <c r="S3" s="196">
        <v>524</v>
      </c>
      <c r="T3" s="196">
        <v>525</v>
      </c>
      <c r="U3" s="196">
        <v>526</v>
      </c>
      <c r="V3" s="196">
        <v>527</v>
      </c>
      <c r="W3" s="196">
        <v>528</v>
      </c>
      <c r="X3" s="196">
        <v>629</v>
      </c>
      <c r="Y3" s="196">
        <v>630</v>
      </c>
      <c r="Z3" s="196">
        <v>636</v>
      </c>
      <c r="AA3" s="196">
        <v>637</v>
      </c>
      <c r="AB3" s="196">
        <v>640</v>
      </c>
      <c r="AC3" s="196">
        <v>642</v>
      </c>
      <c r="AD3" s="196">
        <v>743</v>
      </c>
      <c r="AE3" s="177">
        <v>745</v>
      </c>
      <c r="AF3" s="177">
        <v>746</v>
      </c>
      <c r="AG3" s="349">
        <v>930</v>
      </c>
      <c r="AH3" s="364"/>
    </row>
    <row r="4" spans="1:34" ht="36.6" outlineLevel="1" thickBot="1" x14ac:dyDescent="0.35">
      <c r="A4" s="194">
        <v>2014</v>
      </c>
      <c r="B4" s="283"/>
      <c r="C4" s="178" t="s">
        <v>136</v>
      </c>
      <c r="D4" s="179" t="s">
        <v>137</v>
      </c>
      <c r="E4" s="179" t="s">
        <v>138</v>
      </c>
      <c r="F4" s="197" t="s">
        <v>166</v>
      </c>
      <c r="G4" s="197" t="s">
        <v>167</v>
      </c>
      <c r="H4" s="197" t="s">
        <v>168</v>
      </c>
      <c r="I4" s="197" t="s">
        <v>169</v>
      </c>
      <c r="J4" s="197" t="s">
        <v>170</v>
      </c>
      <c r="K4" s="197" t="s">
        <v>171</v>
      </c>
      <c r="L4" s="197" t="s">
        <v>172</v>
      </c>
      <c r="M4" s="197" t="s">
        <v>173</v>
      </c>
      <c r="N4" s="197" t="s">
        <v>174</v>
      </c>
      <c r="O4" s="197" t="s">
        <v>175</v>
      </c>
      <c r="P4" s="197" t="s">
        <v>176</v>
      </c>
      <c r="Q4" s="197" t="s">
        <v>177</v>
      </c>
      <c r="R4" s="197" t="s">
        <v>178</v>
      </c>
      <c r="S4" s="197" t="s">
        <v>179</v>
      </c>
      <c r="T4" s="197" t="s">
        <v>180</v>
      </c>
      <c r="U4" s="197" t="s">
        <v>181</v>
      </c>
      <c r="V4" s="197" t="s">
        <v>182</v>
      </c>
      <c r="W4" s="197" t="s">
        <v>191</v>
      </c>
      <c r="X4" s="197" t="s">
        <v>183</v>
      </c>
      <c r="Y4" s="197" t="s">
        <v>192</v>
      </c>
      <c r="Z4" s="197" t="s">
        <v>184</v>
      </c>
      <c r="AA4" s="197" t="s">
        <v>185</v>
      </c>
      <c r="AB4" s="197" t="s">
        <v>186</v>
      </c>
      <c r="AC4" s="197" t="s">
        <v>187</v>
      </c>
      <c r="AD4" s="197" t="s">
        <v>188</v>
      </c>
      <c r="AE4" s="179" t="s">
        <v>189</v>
      </c>
      <c r="AF4" s="179" t="s">
        <v>190</v>
      </c>
      <c r="AG4" s="350" t="s">
        <v>156</v>
      </c>
      <c r="AH4" s="364"/>
    </row>
    <row r="5" spans="1:34" x14ac:dyDescent="0.3">
      <c r="A5" s="180" t="s">
        <v>139</v>
      </c>
      <c r="B5" s="216"/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351"/>
      <c r="AH5" s="364"/>
    </row>
    <row r="6" spans="1:34" ht="15" collapsed="1" thickBot="1" x14ac:dyDescent="0.35">
      <c r="A6" s="181" t="s">
        <v>55</v>
      </c>
      <c r="B6" s="219">
        <f xml:space="preserve">
TRUNC(IF($A$4&lt;=12,SUMIFS('ON Data'!F:F,'ON Data'!$D:$D,$A$4,'ON Data'!$E:$E,1),SUMIFS('ON Data'!F:F,'ON Data'!$E:$E,1)/'ON Data'!$D$3),1)</f>
        <v>53.3</v>
      </c>
      <c r="C6" s="220">
        <f xml:space="preserve">
TRUNC(IF($A$4&lt;=12,SUMIFS('ON Data'!G:G,'ON Data'!$D:$D,$A$4,'ON Data'!$E:$E,1),SUMIFS('ON Data'!G:G,'ON Data'!$E:$E,1)/'ON Data'!$D$3),1)</f>
        <v>0</v>
      </c>
      <c r="D6" s="221">
        <f xml:space="preserve">
TRUNC(IF($A$4&lt;=12,SUMIFS('ON Data'!H:H,'ON Data'!$D:$D,$A$4,'ON Data'!$E:$E,1),SUMIFS('ON Data'!H:H,'ON Data'!$E:$E,1)/'ON Data'!$D$3),1)</f>
        <v>0.1</v>
      </c>
      <c r="E6" s="221">
        <f xml:space="preserve">
TRUNC(IF($A$4&lt;=12,SUMIFS('ON Data'!I:I,'ON Data'!$D:$D,$A$4,'ON Data'!$E:$E,1),SUMIFS('ON Data'!I:I,'ON Data'!$E:$E,1)/'ON Data'!$D$3),1)</f>
        <v>0</v>
      </c>
      <c r="F6" s="221">
        <f xml:space="preserve">
TRUNC(IF($A$4&lt;=12,SUMIFS('ON Data'!K:K,'ON Data'!$D:$D,$A$4,'ON Data'!$E:$E,1),SUMIFS('ON Data'!K:K,'ON Data'!$E:$E,1)/'ON Data'!$D$3),1)</f>
        <v>39.200000000000003</v>
      </c>
      <c r="G6" s="221">
        <f xml:space="preserve">
TRUNC(IF($A$4&lt;=12,SUMIFS('ON Data'!L:L,'ON Data'!$D:$D,$A$4,'ON Data'!$E:$E,1),SUMIFS('ON Data'!L:L,'ON Data'!$E:$E,1)/'ON Data'!$D$3),1)</f>
        <v>0</v>
      </c>
      <c r="H6" s="221">
        <f xml:space="preserve">
TRUNC(IF($A$4&lt;=12,SUMIFS('ON Data'!M:M,'ON Data'!$D:$D,$A$4,'ON Data'!$E:$E,1),SUMIFS('ON Data'!M:M,'ON Data'!$E:$E,1)/'ON Data'!$D$3),1)</f>
        <v>0</v>
      </c>
      <c r="I6" s="221">
        <f xml:space="preserve">
TRUNC(IF($A$4&lt;=12,SUMIFS('ON Data'!N:N,'ON Data'!$D:$D,$A$4,'ON Data'!$E:$E,1),SUMIFS('ON Data'!N:N,'ON Data'!$E:$E,1)/'ON Data'!$D$3),1)</f>
        <v>0</v>
      </c>
      <c r="J6" s="221">
        <f xml:space="preserve">
TRUNC(IF($A$4&lt;=12,SUMIFS('ON Data'!O:O,'ON Data'!$D:$D,$A$4,'ON Data'!$E:$E,1),SUMIFS('ON Data'!O:O,'ON Data'!$E:$E,1)/'ON Data'!$D$3),1)</f>
        <v>0</v>
      </c>
      <c r="K6" s="221">
        <f xml:space="preserve">
TRUNC(IF($A$4&lt;=12,SUMIFS('ON Data'!P:P,'ON Data'!$D:$D,$A$4,'ON Data'!$E:$E,1),SUMIFS('ON Data'!P:P,'ON Data'!$E:$E,1)/'ON Data'!$D$3),1)</f>
        <v>0</v>
      </c>
      <c r="L6" s="221">
        <f xml:space="preserve">
TRUNC(IF($A$4&lt;=12,SUMIFS('ON Data'!Q:Q,'ON Data'!$D:$D,$A$4,'ON Data'!$E:$E,1),SUMIFS('ON Data'!Q:Q,'ON Data'!$E:$E,1)/'ON Data'!$D$3),1)</f>
        <v>0</v>
      </c>
      <c r="M6" s="221">
        <f xml:space="preserve">
TRUNC(IF($A$4&lt;=12,SUMIFS('ON Data'!R:R,'ON Data'!$D:$D,$A$4,'ON Data'!$E:$E,1),SUMIFS('ON Data'!R:R,'ON Data'!$E:$E,1)/'ON Data'!$D$3),1)</f>
        <v>0</v>
      </c>
      <c r="N6" s="221">
        <f xml:space="preserve">
TRUNC(IF($A$4&lt;=12,SUMIFS('ON Data'!S:S,'ON Data'!$D:$D,$A$4,'ON Data'!$E:$E,1),SUMIFS('ON Data'!S:S,'ON Data'!$E:$E,1)/'ON Data'!$D$3),1)</f>
        <v>0</v>
      </c>
      <c r="O6" s="221">
        <f xml:space="preserve">
TRUNC(IF($A$4&lt;=12,SUMIFS('ON Data'!T:T,'ON Data'!$D:$D,$A$4,'ON Data'!$E:$E,1),SUMIFS('ON Data'!T:T,'ON Data'!$E:$E,1)/'ON Data'!$D$3),1)</f>
        <v>0</v>
      </c>
      <c r="P6" s="221">
        <f xml:space="preserve">
TRUNC(IF($A$4&lt;=12,SUMIFS('ON Data'!U:U,'ON Data'!$D:$D,$A$4,'ON Data'!$E:$E,1),SUMIFS('ON Data'!U:U,'ON Data'!$E:$E,1)/'ON Data'!$D$3),1)</f>
        <v>0</v>
      </c>
      <c r="Q6" s="221">
        <f xml:space="preserve">
TRUNC(IF($A$4&lt;=12,SUMIFS('ON Data'!V:V,'ON Data'!$D:$D,$A$4,'ON Data'!$E:$E,1),SUMIFS('ON Data'!V:V,'ON Data'!$E:$E,1)/'ON Data'!$D$3),1)</f>
        <v>0</v>
      </c>
      <c r="R6" s="221">
        <f xml:space="preserve">
TRUNC(IF($A$4&lt;=12,SUMIFS('ON Data'!W:W,'ON Data'!$D:$D,$A$4,'ON Data'!$E:$E,1),SUMIFS('ON Data'!W:W,'ON Data'!$E:$E,1)/'ON Data'!$D$3),1)</f>
        <v>0</v>
      </c>
      <c r="S6" s="221">
        <f xml:space="preserve">
TRUNC(IF($A$4&lt;=12,SUMIFS('ON Data'!X:X,'ON Data'!$D:$D,$A$4,'ON Data'!$E:$E,1),SUMIFS('ON Data'!X:X,'ON Data'!$E:$E,1)/'ON Data'!$D$3),1)</f>
        <v>0</v>
      </c>
      <c r="T6" s="221">
        <f xml:space="preserve">
TRUNC(IF($A$4&lt;=12,SUMIFS('ON Data'!Y:Y,'ON Data'!$D:$D,$A$4,'ON Data'!$E:$E,1),SUMIFS('ON Data'!Y:Y,'ON Data'!$E:$E,1)/'ON Data'!$D$3),1)</f>
        <v>0</v>
      </c>
      <c r="U6" s="221">
        <f xml:space="preserve">
TRUNC(IF($A$4&lt;=12,SUMIFS('ON Data'!Z:Z,'ON Data'!$D:$D,$A$4,'ON Data'!$E:$E,1),SUMIFS('ON Data'!Z:Z,'ON Data'!$E:$E,1)/'ON Data'!$D$3),1)</f>
        <v>0</v>
      </c>
      <c r="V6" s="221">
        <f xml:space="preserve">
TRUNC(IF($A$4&lt;=12,SUMIFS('ON Data'!AA:AA,'ON Data'!$D:$D,$A$4,'ON Data'!$E:$E,1),SUMIFS('ON Data'!AA:AA,'ON Data'!$E:$E,1)/'ON Data'!$D$3),1)</f>
        <v>0</v>
      </c>
      <c r="W6" s="221">
        <f xml:space="preserve">
TRUNC(IF($A$4&lt;=12,SUMIFS('ON Data'!AB:AB,'ON Data'!$D:$D,$A$4,'ON Data'!$E:$E,1),SUMIFS('ON Data'!AB:AB,'ON Data'!$E:$E,1)/'ON Data'!$D$3),1)</f>
        <v>0</v>
      </c>
      <c r="X6" s="221">
        <f xml:space="preserve">
TRUNC(IF($A$4&lt;=12,SUMIFS('ON Data'!AC:AC,'ON Data'!$D:$D,$A$4,'ON Data'!$E:$E,1),SUMIFS('ON Data'!AC:AC,'ON Data'!$E:$E,1)/'ON Data'!$D$3),1)</f>
        <v>0</v>
      </c>
      <c r="Y6" s="221">
        <f xml:space="preserve">
TRUNC(IF($A$4&lt;=12,SUMIFS('ON Data'!AD:AD,'ON Data'!$D:$D,$A$4,'ON Data'!$E:$E,1),SUMIFS('ON Data'!AD:AD,'ON Data'!$E:$E,1)/'ON Data'!$D$3),1)</f>
        <v>0</v>
      </c>
      <c r="Z6" s="221">
        <f xml:space="preserve">
TRUNC(IF($A$4&lt;=12,SUMIFS('ON Data'!AE:AE,'ON Data'!$D:$D,$A$4,'ON Data'!$E:$E,1),SUMIFS('ON Data'!AE:AE,'ON Data'!$E:$E,1)/'ON Data'!$D$3),1)</f>
        <v>0</v>
      </c>
      <c r="AA6" s="221">
        <f xml:space="preserve">
TRUNC(IF($A$4&lt;=12,SUMIFS('ON Data'!AF:AF,'ON Data'!$D:$D,$A$4,'ON Data'!$E:$E,1),SUMIFS('ON Data'!AF:AF,'ON Data'!$E:$E,1)/'ON Data'!$D$3),1)</f>
        <v>0</v>
      </c>
      <c r="AB6" s="221">
        <f xml:space="preserve">
TRUNC(IF($A$4&lt;=12,SUMIFS('ON Data'!AG:AG,'ON Data'!$D:$D,$A$4,'ON Data'!$E:$E,1),SUMIFS('ON Data'!AG:AG,'ON Data'!$E:$E,1)/'ON Data'!$D$3),1)</f>
        <v>0</v>
      </c>
      <c r="AC6" s="221">
        <f xml:space="preserve">
TRUNC(IF($A$4&lt;=12,SUMIFS('ON Data'!AH:AH,'ON Data'!$D:$D,$A$4,'ON Data'!$E:$E,1),SUMIFS('ON Data'!AH:AH,'ON Data'!$E:$E,1)/'ON Data'!$D$3),1)</f>
        <v>14</v>
      </c>
      <c r="AD6" s="221">
        <f xml:space="preserve">
TRUNC(IF($A$4&lt;=12,SUMIFS('ON Data'!AI:AI,'ON Data'!$D:$D,$A$4,'ON Data'!$E:$E,1),SUMIFS('ON Data'!AI:AI,'ON Data'!$E:$E,1)/'ON Data'!$D$3),1)</f>
        <v>0</v>
      </c>
      <c r="AE6" s="221">
        <f xml:space="preserve">
TRUNC(IF($A$4&lt;=12,SUMIFS('ON Data'!AJ:AJ,'ON Data'!$D:$D,$A$4,'ON Data'!$E:$E,1),SUMIFS('ON Data'!AJ:AJ,'ON Data'!$E:$E,1)/'ON Data'!$D$3),1)</f>
        <v>0</v>
      </c>
      <c r="AF6" s="221">
        <f xml:space="preserve">
TRUNC(IF($A$4&lt;=12,SUMIFS('ON Data'!AK:AK,'ON Data'!$D:$D,$A$4,'ON Data'!$E:$E,1),SUMIFS('ON Data'!AK:AK,'ON Data'!$E:$E,1)/'ON Data'!$D$3),1)</f>
        <v>0</v>
      </c>
      <c r="AG6" s="352">
        <f xml:space="preserve">
TRUNC(IF($A$4&lt;=12,SUMIFS('ON Data'!AM:AM,'ON Data'!$D:$D,$A$4,'ON Data'!$E:$E,1),SUMIFS('ON Data'!AM:AM,'ON Data'!$E:$E,1)/'ON Data'!$D$3),1)</f>
        <v>0</v>
      </c>
      <c r="AH6" s="364"/>
    </row>
    <row r="7" spans="1:34" ht="15" hidden="1" outlineLevel="1" thickBot="1" x14ac:dyDescent="0.35">
      <c r="A7" s="181" t="s">
        <v>62</v>
      </c>
      <c r="B7" s="219"/>
      <c r="C7" s="222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352"/>
      <c r="AH7" s="364"/>
    </row>
    <row r="8" spans="1:34" ht="15" hidden="1" outlineLevel="1" thickBot="1" x14ac:dyDescent="0.35">
      <c r="A8" s="181" t="s">
        <v>57</v>
      </c>
      <c r="B8" s="219"/>
      <c r="C8" s="222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352"/>
      <c r="AH8" s="364"/>
    </row>
    <row r="9" spans="1:34" ht="15" hidden="1" outlineLevel="1" thickBot="1" x14ac:dyDescent="0.35">
      <c r="A9" s="182" t="s">
        <v>52</v>
      </c>
      <c r="B9" s="223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353"/>
      <c r="AH9" s="364"/>
    </row>
    <row r="10" spans="1:34" x14ac:dyDescent="0.3">
      <c r="A10" s="183" t="s">
        <v>140</v>
      </c>
      <c r="B10" s="198"/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354"/>
      <c r="AH10" s="364"/>
    </row>
    <row r="11" spans="1:34" x14ac:dyDescent="0.3">
      <c r="A11" s="184" t="s">
        <v>141</v>
      </c>
      <c r="B11" s="201">
        <f xml:space="preserve">
IF($A$4&lt;=12,SUMIFS('ON Data'!F:F,'ON Data'!$D:$D,$A$4,'ON Data'!$E:$E,2),SUMIFS('ON Data'!F:F,'ON Data'!$E:$E,2))</f>
        <v>22962.1</v>
      </c>
      <c r="C11" s="202">
        <f xml:space="preserve">
IF($A$4&lt;=12,SUMIFS('ON Data'!G:G,'ON Data'!$D:$D,$A$4,'ON Data'!$E:$E,2),SUMIFS('ON Data'!G:G,'ON Data'!$E:$E,2))</f>
        <v>0</v>
      </c>
      <c r="D11" s="203">
        <f xml:space="preserve">
IF($A$4&lt;=12,SUMIFS('ON Data'!H:H,'ON Data'!$D:$D,$A$4,'ON Data'!$E:$E,2),SUMIFS('ON Data'!H:H,'ON Data'!$E:$E,2))</f>
        <v>51.2</v>
      </c>
      <c r="E11" s="203">
        <f xml:space="preserve">
IF($A$4&lt;=12,SUMIFS('ON Data'!I:I,'ON Data'!$D:$D,$A$4,'ON Data'!$E:$E,2),SUMIFS('ON Data'!I:I,'ON Data'!$E:$E,2))</f>
        <v>0</v>
      </c>
      <c r="F11" s="203">
        <f xml:space="preserve">
IF($A$4&lt;=12,SUMIFS('ON Data'!K:K,'ON Data'!$D:$D,$A$4,'ON Data'!$E:$E,2),SUMIFS('ON Data'!K:K,'ON Data'!$E:$E,2))</f>
        <v>16752.400000000001</v>
      </c>
      <c r="G11" s="203">
        <f xml:space="preserve">
IF($A$4&lt;=12,SUMIFS('ON Data'!L:L,'ON Data'!$D:$D,$A$4,'ON Data'!$E:$E,2),SUMIFS('ON Data'!L:L,'ON Data'!$E:$E,2))</f>
        <v>0</v>
      </c>
      <c r="H11" s="203">
        <f xml:space="preserve">
IF($A$4&lt;=12,SUMIFS('ON Data'!M:M,'ON Data'!$D:$D,$A$4,'ON Data'!$E:$E,2),SUMIFS('ON Data'!M:M,'ON Data'!$E:$E,2))</f>
        <v>0</v>
      </c>
      <c r="I11" s="203">
        <f xml:space="preserve">
IF($A$4&lt;=12,SUMIFS('ON Data'!N:N,'ON Data'!$D:$D,$A$4,'ON Data'!$E:$E,2),SUMIFS('ON Data'!N:N,'ON Data'!$E:$E,2))</f>
        <v>0</v>
      </c>
      <c r="J11" s="203">
        <f xml:space="preserve">
IF($A$4&lt;=12,SUMIFS('ON Data'!O:O,'ON Data'!$D:$D,$A$4,'ON Data'!$E:$E,2),SUMIFS('ON Data'!O:O,'ON Data'!$E:$E,2))</f>
        <v>0</v>
      </c>
      <c r="K11" s="203">
        <f xml:space="preserve">
IF($A$4&lt;=12,SUMIFS('ON Data'!P:P,'ON Data'!$D:$D,$A$4,'ON Data'!$E:$E,2),SUMIFS('ON Data'!P:P,'ON Data'!$E:$E,2))</f>
        <v>0</v>
      </c>
      <c r="L11" s="203">
        <f xml:space="preserve">
IF($A$4&lt;=12,SUMIFS('ON Data'!Q:Q,'ON Data'!$D:$D,$A$4,'ON Data'!$E:$E,2),SUMIFS('ON Data'!Q:Q,'ON Data'!$E:$E,2))</f>
        <v>0</v>
      </c>
      <c r="M11" s="203">
        <f xml:space="preserve">
IF($A$4&lt;=12,SUMIFS('ON Data'!R:R,'ON Data'!$D:$D,$A$4,'ON Data'!$E:$E,2),SUMIFS('ON Data'!R:R,'ON Data'!$E:$E,2))</f>
        <v>0</v>
      </c>
      <c r="N11" s="203">
        <f xml:space="preserve">
IF($A$4&lt;=12,SUMIFS('ON Data'!S:S,'ON Data'!$D:$D,$A$4,'ON Data'!$E:$E,2),SUMIFS('ON Data'!S:S,'ON Data'!$E:$E,2))</f>
        <v>0</v>
      </c>
      <c r="O11" s="203">
        <f xml:space="preserve">
IF($A$4&lt;=12,SUMIFS('ON Data'!T:T,'ON Data'!$D:$D,$A$4,'ON Data'!$E:$E,2),SUMIFS('ON Data'!T:T,'ON Data'!$E:$E,2))</f>
        <v>0</v>
      </c>
      <c r="P11" s="203">
        <f xml:space="preserve">
IF($A$4&lt;=12,SUMIFS('ON Data'!U:U,'ON Data'!$D:$D,$A$4,'ON Data'!$E:$E,2),SUMIFS('ON Data'!U:U,'ON Data'!$E:$E,2))</f>
        <v>0</v>
      </c>
      <c r="Q11" s="203">
        <f xml:space="preserve">
IF($A$4&lt;=12,SUMIFS('ON Data'!V:V,'ON Data'!$D:$D,$A$4,'ON Data'!$E:$E,2),SUMIFS('ON Data'!V:V,'ON Data'!$E:$E,2))</f>
        <v>0</v>
      </c>
      <c r="R11" s="203">
        <f xml:space="preserve">
IF($A$4&lt;=12,SUMIFS('ON Data'!W:W,'ON Data'!$D:$D,$A$4,'ON Data'!$E:$E,2),SUMIFS('ON Data'!W:W,'ON Data'!$E:$E,2))</f>
        <v>0</v>
      </c>
      <c r="S11" s="203">
        <f xml:space="preserve">
IF($A$4&lt;=12,SUMIFS('ON Data'!X:X,'ON Data'!$D:$D,$A$4,'ON Data'!$E:$E,2),SUMIFS('ON Data'!X:X,'ON Data'!$E:$E,2))</f>
        <v>0</v>
      </c>
      <c r="T11" s="203">
        <f xml:space="preserve">
IF($A$4&lt;=12,SUMIFS('ON Data'!Y:Y,'ON Data'!$D:$D,$A$4,'ON Data'!$E:$E,2),SUMIFS('ON Data'!Y:Y,'ON Data'!$E:$E,2))</f>
        <v>0</v>
      </c>
      <c r="U11" s="203">
        <f xml:space="preserve">
IF($A$4&lt;=12,SUMIFS('ON Data'!Z:Z,'ON Data'!$D:$D,$A$4,'ON Data'!$E:$E,2),SUMIFS('ON Data'!Z:Z,'ON Data'!$E:$E,2))</f>
        <v>0</v>
      </c>
      <c r="V11" s="203">
        <f xml:space="preserve">
IF($A$4&lt;=12,SUMIFS('ON Data'!AA:AA,'ON Data'!$D:$D,$A$4,'ON Data'!$E:$E,2),SUMIFS('ON Data'!AA:AA,'ON Data'!$E:$E,2))</f>
        <v>0</v>
      </c>
      <c r="W11" s="203">
        <f xml:space="preserve">
IF($A$4&lt;=12,SUMIFS('ON Data'!AB:AB,'ON Data'!$D:$D,$A$4,'ON Data'!$E:$E,2),SUMIFS('ON Data'!AB:AB,'ON Data'!$E:$E,2))</f>
        <v>0</v>
      </c>
      <c r="X11" s="203">
        <f xml:space="preserve">
IF($A$4&lt;=12,SUMIFS('ON Data'!AC:AC,'ON Data'!$D:$D,$A$4,'ON Data'!$E:$E,2),SUMIFS('ON Data'!AC:AC,'ON Data'!$E:$E,2))</f>
        <v>0</v>
      </c>
      <c r="Y11" s="203">
        <f xml:space="preserve">
IF($A$4&lt;=12,SUMIFS('ON Data'!AD:AD,'ON Data'!$D:$D,$A$4,'ON Data'!$E:$E,2),SUMIFS('ON Data'!AD:AD,'ON Data'!$E:$E,2))</f>
        <v>0</v>
      </c>
      <c r="Z11" s="203">
        <f xml:space="preserve">
IF($A$4&lt;=12,SUMIFS('ON Data'!AE:AE,'ON Data'!$D:$D,$A$4,'ON Data'!$E:$E,2),SUMIFS('ON Data'!AE:AE,'ON Data'!$E:$E,2))</f>
        <v>0</v>
      </c>
      <c r="AA11" s="203">
        <f xml:space="preserve">
IF($A$4&lt;=12,SUMIFS('ON Data'!AF:AF,'ON Data'!$D:$D,$A$4,'ON Data'!$E:$E,2),SUMIFS('ON Data'!AF:AF,'ON Data'!$E:$E,2))</f>
        <v>0</v>
      </c>
      <c r="AB11" s="203">
        <f xml:space="preserve">
IF($A$4&lt;=12,SUMIFS('ON Data'!AG:AG,'ON Data'!$D:$D,$A$4,'ON Data'!$E:$E,2),SUMIFS('ON Data'!AG:AG,'ON Data'!$E:$E,2))</f>
        <v>0</v>
      </c>
      <c r="AC11" s="203">
        <f xml:space="preserve">
IF($A$4&lt;=12,SUMIFS('ON Data'!AH:AH,'ON Data'!$D:$D,$A$4,'ON Data'!$E:$E,2),SUMIFS('ON Data'!AH:AH,'ON Data'!$E:$E,2))</f>
        <v>6158.5</v>
      </c>
      <c r="AD11" s="203">
        <f xml:space="preserve">
IF($A$4&lt;=12,SUMIFS('ON Data'!AI:AI,'ON Data'!$D:$D,$A$4,'ON Data'!$E:$E,2),SUMIFS('ON Data'!AI:AI,'ON Data'!$E:$E,2))</f>
        <v>0</v>
      </c>
      <c r="AE11" s="203">
        <f xml:space="preserve">
IF($A$4&lt;=12,SUMIFS('ON Data'!AJ:AJ,'ON Data'!$D:$D,$A$4,'ON Data'!$E:$E,2),SUMIFS('ON Data'!AJ:AJ,'ON Data'!$E:$E,2))</f>
        <v>0</v>
      </c>
      <c r="AF11" s="203">
        <f xml:space="preserve">
IF($A$4&lt;=12,SUMIFS('ON Data'!AK:AK,'ON Data'!$D:$D,$A$4,'ON Data'!$E:$E,2),SUMIFS('ON Data'!AK:AK,'ON Data'!$E:$E,2))</f>
        <v>0</v>
      </c>
      <c r="AG11" s="355">
        <f xml:space="preserve">
IF($A$4&lt;=12,SUMIFS('ON Data'!AM:AM,'ON Data'!$D:$D,$A$4,'ON Data'!$E:$E,2),SUMIFS('ON Data'!AM:AM,'ON Data'!$E:$E,2))</f>
        <v>0</v>
      </c>
      <c r="AH11" s="364"/>
    </row>
    <row r="12" spans="1:34" x14ac:dyDescent="0.3">
      <c r="A12" s="184" t="s">
        <v>142</v>
      </c>
      <c r="B12" s="201">
        <f xml:space="preserve">
IF($A$4&lt;=12,SUMIFS('ON Data'!F:F,'ON Data'!$D:$D,$A$4,'ON Data'!$E:$E,3),SUMIFS('ON Data'!F:F,'ON Data'!$E:$E,3))</f>
        <v>0</v>
      </c>
      <c r="C12" s="202">
        <f xml:space="preserve">
IF($A$4&lt;=12,SUMIFS('ON Data'!G:G,'ON Data'!$D:$D,$A$4,'ON Data'!$E:$E,3),SUMIFS('ON Data'!G:G,'ON Data'!$E:$E,3))</f>
        <v>0</v>
      </c>
      <c r="D12" s="203">
        <f xml:space="preserve">
IF($A$4&lt;=12,SUMIFS('ON Data'!H:H,'ON Data'!$D:$D,$A$4,'ON Data'!$E:$E,3),SUMIFS('ON Data'!H:H,'ON Data'!$E:$E,3))</f>
        <v>0</v>
      </c>
      <c r="E12" s="203">
        <f xml:space="preserve">
IF($A$4&lt;=12,SUMIFS('ON Data'!I:I,'ON Data'!$D:$D,$A$4,'ON Data'!$E:$E,3),SUMIFS('ON Data'!I:I,'ON Data'!$E:$E,3))</f>
        <v>0</v>
      </c>
      <c r="F12" s="203">
        <f xml:space="preserve">
IF($A$4&lt;=12,SUMIFS('ON Data'!K:K,'ON Data'!$D:$D,$A$4,'ON Data'!$E:$E,3),SUMIFS('ON Data'!K:K,'ON Data'!$E:$E,3))</f>
        <v>0</v>
      </c>
      <c r="G12" s="203">
        <f xml:space="preserve">
IF($A$4&lt;=12,SUMIFS('ON Data'!L:L,'ON Data'!$D:$D,$A$4,'ON Data'!$E:$E,3),SUMIFS('ON Data'!L:L,'ON Data'!$E:$E,3))</f>
        <v>0</v>
      </c>
      <c r="H12" s="203">
        <f xml:space="preserve">
IF($A$4&lt;=12,SUMIFS('ON Data'!M:M,'ON Data'!$D:$D,$A$4,'ON Data'!$E:$E,3),SUMIFS('ON Data'!M:M,'ON Data'!$E:$E,3))</f>
        <v>0</v>
      </c>
      <c r="I12" s="203">
        <f xml:space="preserve">
IF($A$4&lt;=12,SUMIFS('ON Data'!N:N,'ON Data'!$D:$D,$A$4,'ON Data'!$E:$E,3),SUMIFS('ON Data'!N:N,'ON Data'!$E:$E,3))</f>
        <v>0</v>
      </c>
      <c r="J12" s="203">
        <f xml:space="preserve">
IF($A$4&lt;=12,SUMIFS('ON Data'!O:O,'ON Data'!$D:$D,$A$4,'ON Data'!$E:$E,3),SUMIFS('ON Data'!O:O,'ON Data'!$E:$E,3))</f>
        <v>0</v>
      </c>
      <c r="K12" s="203">
        <f xml:space="preserve">
IF($A$4&lt;=12,SUMIFS('ON Data'!P:P,'ON Data'!$D:$D,$A$4,'ON Data'!$E:$E,3),SUMIFS('ON Data'!P:P,'ON Data'!$E:$E,3))</f>
        <v>0</v>
      </c>
      <c r="L12" s="203">
        <f xml:space="preserve">
IF($A$4&lt;=12,SUMIFS('ON Data'!Q:Q,'ON Data'!$D:$D,$A$4,'ON Data'!$E:$E,3),SUMIFS('ON Data'!Q:Q,'ON Data'!$E:$E,3))</f>
        <v>0</v>
      </c>
      <c r="M12" s="203">
        <f xml:space="preserve">
IF($A$4&lt;=12,SUMIFS('ON Data'!R:R,'ON Data'!$D:$D,$A$4,'ON Data'!$E:$E,3),SUMIFS('ON Data'!R:R,'ON Data'!$E:$E,3))</f>
        <v>0</v>
      </c>
      <c r="N12" s="203">
        <f xml:space="preserve">
IF($A$4&lt;=12,SUMIFS('ON Data'!S:S,'ON Data'!$D:$D,$A$4,'ON Data'!$E:$E,3),SUMIFS('ON Data'!S:S,'ON Data'!$E:$E,3))</f>
        <v>0</v>
      </c>
      <c r="O12" s="203">
        <f xml:space="preserve">
IF($A$4&lt;=12,SUMIFS('ON Data'!T:T,'ON Data'!$D:$D,$A$4,'ON Data'!$E:$E,3),SUMIFS('ON Data'!T:T,'ON Data'!$E:$E,3))</f>
        <v>0</v>
      </c>
      <c r="P12" s="203">
        <f xml:space="preserve">
IF($A$4&lt;=12,SUMIFS('ON Data'!U:U,'ON Data'!$D:$D,$A$4,'ON Data'!$E:$E,3),SUMIFS('ON Data'!U:U,'ON Data'!$E:$E,3))</f>
        <v>0</v>
      </c>
      <c r="Q12" s="203">
        <f xml:space="preserve">
IF($A$4&lt;=12,SUMIFS('ON Data'!V:V,'ON Data'!$D:$D,$A$4,'ON Data'!$E:$E,3),SUMIFS('ON Data'!V:V,'ON Data'!$E:$E,3))</f>
        <v>0</v>
      </c>
      <c r="R12" s="203">
        <f xml:space="preserve">
IF($A$4&lt;=12,SUMIFS('ON Data'!W:W,'ON Data'!$D:$D,$A$4,'ON Data'!$E:$E,3),SUMIFS('ON Data'!W:W,'ON Data'!$E:$E,3))</f>
        <v>0</v>
      </c>
      <c r="S12" s="203">
        <f xml:space="preserve">
IF($A$4&lt;=12,SUMIFS('ON Data'!X:X,'ON Data'!$D:$D,$A$4,'ON Data'!$E:$E,3),SUMIFS('ON Data'!X:X,'ON Data'!$E:$E,3))</f>
        <v>0</v>
      </c>
      <c r="T12" s="203">
        <f xml:space="preserve">
IF($A$4&lt;=12,SUMIFS('ON Data'!Y:Y,'ON Data'!$D:$D,$A$4,'ON Data'!$E:$E,3),SUMIFS('ON Data'!Y:Y,'ON Data'!$E:$E,3))</f>
        <v>0</v>
      </c>
      <c r="U12" s="203">
        <f xml:space="preserve">
IF($A$4&lt;=12,SUMIFS('ON Data'!Z:Z,'ON Data'!$D:$D,$A$4,'ON Data'!$E:$E,3),SUMIFS('ON Data'!Z:Z,'ON Data'!$E:$E,3))</f>
        <v>0</v>
      </c>
      <c r="V12" s="203">
        <f xml:space="preserve">
IF($A$4&lt;=12,SUMIFS('ON Data'!AA:AA,'ON Data'!$D:$D,$A$4,'ON Data'!$E:$E,3),SUMIFS('ON Data'!AA:AA,'ON Data'!$E:$E,3))</f>
        <v>0</v>
      </c>
      <c r="W12" s="203">
        <f xml:space="preserve">
IF($A$4&lt;=12,SUMIFS('ON Data'!AB:AB,'ON Data'!$D:$D,$A$4,'ON Data'!$E:$E,3),SUMIFS('ON Data'!AB:AB,'ON Data'!$E:$E,3))</f>
        <v>0</v>
      </c>
      <c r="X12" s="203">
        <f xml:space="preserve">
IF($A$4&lt;=12,SUMIFS('ON Data'!AC:AC,'ON Data'!$D:$D,$A$4,'ON Data'!$E:$E,3),SUMIFS('ON Data'!AC:AC,'ON Data'!$E:$E,3))</f>
        <v>0</v>
      </c>
      <c r="Y12" s="203">
        <f xml:space="preserve">
IF($A$4&lt;=12,SUMIFS('ON Data'!AD:AD,'ON Data'!$D:$D,$A$4,'ON Data'!$E:$E,3),SUMIFS('ON Data'!AD:AD,'ON Data'!$E:$E,3))</f>
        <v>0</v>
      </c>
      <c r="Z12" s="203">
        <f xml:space="preserve">
IF($A$4&lt;=12,SUMIFS('ON Data'!AE:AE,'ON Data'!$D:$D,$A$4,'ON Data'!$E:$E,3),SUMIFS('ON Data'!AE:AE,'ON Data'!$E:$E,3))</f>
        <v>0</v>
      </c>
      <c r="AA12" s="203">
        <f xml:space="preserve">
IF($A$4&lt;=12,SUMIFS('ON Data'!AF:AF,'ON Data'!$D:$D,$A$4,'ON Data'!$E:$E,3),SUMIFS('ON Data'!AF:AF,'ON Data'!$E:$E,3))</f>
        <v>0</v>
      </c>
      <c r="AB12" s="203">
        <f xml:space="preserve">
IF($A$4&lt;=12,SUMIFS('ON Data'!AG:AG,'ON Data'!$D:$D,$A$4,'ON Data'!$E:$E,3),SUMIFS('ON Data'!AG:AG,'ON Data'!$E:$E,3))</f>
        <v>0</v>
      </c>
      <c r="AC12" s="203">
        <f xml:space="preserve">
IF($A$4&lt;=12,SUMIFS('ON Data'!AH:AH,'ON Data'!$D:$D,$A$4,'ON Data'!$E:$E,3),SUMIFS('ON Data'!AH:AH,'ON Data'!$E:$E,3))</f>
        <v>0</v>
      </c>
      <c r="AD12" s="203">
        <f xml:space="preserve">
IF($A$4&lt;=12,SUMIFS('ON Data'!AI:AI,'ON Data'!$D:$D,$A$4,'ON Data'!$E:$E,3),SUMIFS('ON Data'!AI:AI,'ON Data'!$E:$E,3))</f>
        <v>0</v>
      </c>
      <c r="AE12" s="203">
        <f xml:space="preserve">
IF($A$4&lt;=12,SUMIFS('ON Data'!AJ:AJ,'ON Data'!$D:$D,$A$4,'ON Data'!$E:$E,3),SUMIFS('ON Data'!AJ:AJ,'ON Data'!$E:$E,3))</f>
        <v>0</v>
      </c>
      <c r="AF12" s="203">
        <f xml:space="preserve">
IF($A$4&lt;=12,SUMIFS('ON Data'!AK:AK,'ON Data'!$D:$D,$A$4,'ON Data'!$E:$E,3),SUMIFS('ON Data'!AK:AK,'ON Data'!$E:$E,3))</f>
        <v>0</v>
      </c>
      <c r="AG12" s="355">
        <f xml:space="preserve">
IF($A$4&lt;=12,SUMIFS('ON Data'!AM:AM,'ON Data'!$D:$D,$A$4,'ON Data'!$E:$E,3),SUMIFS('ON Data'!AM:AM,'ON Data'!$E:$E,3))</f>
        <v>0</v>
      </c>
      <c r="AH12" s="364"/>
    </row>
    <row r="13" spans="1:34" x14ac:dyDescent="0.3">
      <c r="A13" s="184" t="s">
        <v>149</v>
      </c>
      <c r="B13" s="201">
        <f xml:space="preserve">
IF($A$4&lt;=12,SUMIFS('ON Data'!F:F,'ON Data'!$D:$D,$A$4,'ON Data'!$E:$E,4),SUMIFS('ON Data'!F:F,'ON Data'!$E:$E,4))</f>
        <v>377</v>
      </c>
      <c r="C13" s="202">
        <f xml:space="preserve">
IF($A$4&lt;=12,SUMIFS('ON Data'!G:G,'ON Data'!$D:$D,$A$4,'ON Data'!$E:$E,4),SUMIFS('ON Data'!G:G,'ON Data'!$E:$E,4))</f>
        <v>0</v>
      </c>
      <c r="D13" s="203">
        <f xml:space="preserve">
IF($A$4&lt;=12,SUMIFS('ON Data'!H:H,'ON Data'!$D:$D,$A$4,'ON Data'!$E:$E,4),SUMIFS('ON Data'!H:H,'ON Data'!$E:$E,4))</f>
        <v>0</v>
      </c>
      <c r="E13" s="203">
        <f xml:space="preserve">
IF($A$4&lt;=12,SUMIFS('ON Data'!I:I,'ON Data'!$D:$D,$A$4,'ON Data'!$E:$E,4),SUMIFS('ON Data'!I:I,'ON Data'!$E:$E,4))</f>
        <v>0</v>
      </c>
      <c r="F13" s="203">
        <f xml:space="preserve">
IF($A$4&lt;=12,SUMIFS('ON Data'!K:K,'ON Data'!$D:$D,$A$4,'ON Data'!$E:$E,4),SUMIFS('ON Data'!K:K,'ON Data'!$E:$E,4))</f>
        <v>0</v>
      </c>
      <c r="G13" s="203">
        <f xml:space="preserve">
IF($A$4&lt;=12,SUMIFS('ON Data'!L:L,'ON Data'!$D:$D,$A$4,'ON Data'!$E:$E,4),SUMIFS('ON Data'!L:L,'ON Data'!$E:$E,4))</f>
        <v>0</v>
      </c>
      <c r="H13" s="203">
        <f xml:space="preserve">
IF($A$4&lt;=12,SUMIFS('ON Data'!M:M,'ON Data'!$D:$D,$A$4,'ON Data'!$E:$E,4),SUMIFS('ON Data'!M:M,'ON Data'!$E:$E,4))</f>
        <v>0</v>
      </c>
      <c r="I13" s="203">
        <f xml:space="preserve">
IF($A$4&lt;=12,SUMIFS('ON Data'!N:N,'ON Data'!$D:$D,$A$4,'ON Data'!$E:$E,4),SUMIFS('ON Data'!N:N,'ON Data'!$E:$E,4))</f>
        <v>0</v>
      </c>
      <c r="J13" s="203">
        <f xml:space="preserve">
IF($A$4&lt;=12,SUMIFS('ON Data'!O:O,'ON Data'!$D:$D,$A$4,'ON Data'!$E:$E,4),SUMIFS('ON Data'!O:O,'ON Data'!$E:$E,4))</f>
        <v>0</v>
      </c>
      <c r="K13" s="203">
        <f xml:space="preserve">
IF($A$4&lt;=12,SUMIFS('ON Data'!P:P,'ON Data'!$D:$D,$A$4,'ON Data'!$E:$E,4),SUMIFS('ON Data'!P:P,'ON Data'!$E:$E,4))</f>
        <v>0</v>
      </c>
      <c r="L13" s="203">
        <f xml:space="preserve">
IF($A$4&lt;=12,SUMIFS('ON Data'!Q:Q,'ON Data'!$D:$D,$A$4,'ON Data'!$E:$E,4),SUMIFS('ON Data'!Q:Q,'ON Data'!$E:$E,4))</f>
        <v>0</v>
      </c>
      <c r="M13" s="203">
        <f xml:space="preserve">
IF($A$4&lt;=12,SUMIFS('ON Data'!R:R,'ON Data'!$D:$D,$A$4,'ON Data'!$E:$E,4),SUMIFS('ON Data'!R:R,'ON Data'!$E:$E,4))</f>
        <v>0</v>
      </c>
      <c r="N13" s="203">
        <f xml:space="preserve">
IF($A$4&lt;=12,SUMIFS('ON Data'!S:S,'ON Data'!$D:$D,$A$4,'ON Data'!$E:$E,4),SUMIFS('ON Data'!S:S,'ON Data'!$E:$E,4))</f>
        <v>0</v>
      </c>
      <c r="O13" s="203">
        <f xml:space="preserve">
IF($A$4&lt;=12,SUMIFS('ON Data'!T:T,'ON Data'!$D:$D,$A$4,'ON Data'!$E:$E,4),SUMIFS('ON Data'!T:T,'ON Data'!$E:$E,4))</f>
        <v>0</v>
      </c>
      <c r="P13" s="203">
        <f xml:space="preserve">
IF($A$4&lt;=12,SUMIFS('ON Data'!U:U,'ON Data'!$D:$D,$A$4,'ON Data'!$E:$E,4),SUMIFS('ON Data'!U:U,'ON Data'!$E:$E,4))</f>
        <v>0</v>
      </c>
      <c r="Q13" s="203">
        <f xml:space="preserve">
IF($A$4&lt;=12,SUMIFS('ON Data'!V:V,'ON Data'!$D:$D,$A$4,'ON Data'!$E:$E,4),SUMIFS('ON Data'!V:V,'ON Data'!$E:$E,4))</f>
        <v>0</v>
      </c>
      <c r="R13" s="203">
        <f xml:space="preserve">
IF($A$4&lt;=12,SUMIFS('ON Data'!W:W,'ON Data'!$D:$D,$A$4,'ON Data'!$E:$E,4),SUMIFS('ON Data'!W:W,'ON Data'!$E:$E,4))</f>
        <v>0</v>
      </c>
      <c r="S13" s="203">
        <f xml:space="preserve">
IF($A$4&lt;=12,SUMIFS('ON Data'!X:X,'ON Data'!$D:$D,$A$4,'ON Data'!$E:$E,4),SUMIFS('ON Data'!X:X,'ON Data'!$E:$E,4))</f>
        <v>0</v>
      </c>
      <c r="T13" s="203">
        <f xml:space="preserve">
IF($A$4&lt;=12,SUMIFS('ON Data'!Y:Y,'ON Data'!$D:$D,$A$4,'ON Data'!$E:$E,4),SUMIFS('ON Data'!Y:Y,'ON Data'!$E:$E,4))</f>
        <v>0</v>
      </c>
      <c r="U13" s="203">
        <f xml:space="preserve">
IF($A$4&lt;=12,SUMIFS('ON Data'!Z:Z,'ON Data'!$D:$D,$A$4,'ON Data'!$E:$E,4),SUMIFS('ON Data'!Z:Z,'ON Data'!$E:$E,4))</f>
        <v>0</v>
      </c>
      <c r="V13" s="203">
        <f xml:space="preserve">
IF($A$4&lt;=12,SUMIFS('ON Data'!AA:AA,'ON Data'!$D:$D,$A$4,'ON Data'!$E:$E,4),SUMIFS('ON Data'!AA:AA,'ON Data'!$E:$E,4))</f>
        <v>0</v>
      </c>
      <c r="W13" s="203">
        <f xml:space="preserve">
IF($A$4&lt;=12,SUMIFS('ON Data'!AB:AB,'ON Data'!$D:$D,$A$4,'ON Data'!$E:$E,4),SUMIFS('ON Data'!AB:AB,'ON Data'!$E:$E,4))</f>
        <v>0</v>
      </c>
      <c r="X13" s="203">
        <f xml:space="preserve">
IF($A$4&lt;=12,SUMIFS('ON Data'!AC:AC,'ON Data'!$D:$D,$A$4,'ON Data'!$E:$E,4),SUMIFS('ON Data'!AC:AC,'ON Data'!$E:$E,4))</f>
        <v>0</v>
      </c>
      <c r="Y13" s="203">
        <f xml:space="preserve">
IF($A$4&lt;=12,SUMIFS('ON Data'!AD:AD,'ON Data'!$D:$D,$A$4,'ON Data'!$E:$E,4),SUMIFS('ON Data'!AD:AD,'ON Data'!$E:$E,4))</f>
        <v>0</v>
      </c>
      <c r="Z13" s="203">
        <f xml:space="preserve">
IF($A$4&lt;=12,SUMIFS('ON Data'!AE:AE,'ON Data'!$D:$D,$A$4,'ON Data'!$E:$E,4),SUMIFS('ON Data'!AE:AE,'ON Data'!$E:$E,4))</f>
        <v>0</v>
      </c>
      <c r="AA13" s="203">
        <f xml:space="preserve">
IF($A$4&lt;=12,SUMIFS('ON Data'!AF:AF,'ON Data'!$D:$D,$A$4,'ON Data'!$E:$E,4),SUMIFS('ON Data'!AF:AF,'ON Data'!$E:$E,4))</f>
        <v>0</v>
      </c>
      <c r="AB13" s="203">
        <f xml:space="preserve">
IF($A$4&lt;=12,SUMIFS('ON Data'!AG:AG,'ON Data'!$D:$D,$A$4,'ON Data'!$E:$E,4),SUMIFS('ON Data'!AG:AG,'ON Data'!$E:$E,4))</f>
        <v>0</v>
      </c>
      <c r="AC13" s="203">
        <f xml:space="preserve">
IF($A$4&lt;=12,SUMIFS('ON Data'!AH:AH,'ON Data'!$D:$D,$A$4,'ON Data'!$E:$E,4),SUMIFS('ON Data'!AH:AH,'ON Data'!$E:$E,4))</f>
        <v>377</v>
      </c>
      <c r="AD13" s="203">
        <f xml:space="preserve">
IF($A$4&lt;=12,SUMIFS('ON Data'!AI:AI,'ON Data'!$D:$D,$A$4,'ON Data'!$E:$E,4),SUMIFS('ON Data'!AI:AI,'ON Data'!$E:$E,4))</f>
        <v>0</v>
      </c>
      <c r="AE13" s="203">
        <f xml:space="preserve">
IF($A$4&lt;=12,SUMIFS('ON Data'!AJ:AJ,'ON Data'!$D:$D,$A$4,'ON Data'!$E:$E,4),SUMIFS('ON Data'!AJ:AJ,'ON Data'!$E:$E,4))</f>
        <v>0</v>
      </c>
      <c r="AF13" s="203">
        <f xml:space="preserve">
IF($A$4&lt;=12,SUMIFS('ON Data'!AK:AK,'ON Data'!$D:$D,$A$4,'ON Data'!$E:$E,4),SUMIFS('ON Data'!AK:AK,'ON Data'!$E:$E,4))</f>
        <v>0</v>
      </c>
      <c r="AG13" s="355">
        <f xml:space="preserve">
IF($A$4&lt;=12,SUMIFS('ON Data'!AM:AM,'ON Data'!$D:$D,$A$4,'ON Data'!$E:$E,4),SUMIFS('ON Data'!AM:AM,'ON Data'!$E:$E,4))</f>
        <v>0</v>
      </c>
      <c r="AH13" s="364"/>
    </row>
    <row r="14" spans="1:34" ht="15" thickBot="1" x14ac:dyDescent="0.35">
      <c r="A14" s="185" t="s">
        <v>143</v>
      </c>
      <c r="B14" s="204">
        <f xml:space="preserve">
IF($A$4&lt;=12,SUMIFS('ON Data'!F:F,'ON Data'!$D:$D,$A$4,'ON Data'!$E:$E,5),SUMIFS('ON Data'!F:F,'ON Data'!$E:$E,5))</f>
        <v>0</v>
      </c>
      <c r="C14" s="205">
        <f xml:space="preserve">
IF($A$4&lt;=12,SUMIFS('ON Data'!G:G,'ON Data'!$D:$D,$A$4,'ON Data'!$E:$E,5),SUMIFS('ON Data'!G:G,'ON Data'!$E:$E,5))</f>
        <v>0</v>
      </c>
      <c r="D14" s="206">
        <f xml:space="preserve">
IF($A$4&lt;=12,SUMIFS('ON Data'!H:H,'ON Data'!$D:$D,$A$4,'ON Data'!$E:$E,5),SUMIFS('ON Data'!H:H,'ON Data'!$E:$E,5))</f>
        <v>0</v>
      </c>
      <c r="E14" s="206">
        <f xml:space="preserve">
IF($A$4&lt;=12,SUMIFS('ON Data'!I:I,'ON Data'!$D:$D,$A$4,'ON Data'!$E:$E,5),SUMIFS('ON Data'!I:I,'ON Data'!$E:$E,5))</f>
        <v>0</v>
      </c>
      <c r="F14" s="206">
        <f xml:space="preserve">
IF($A$4&lt;=12,SUMIFS('ON Data'!K:K,'ON Data'!$D:$D,$A$4,'ON Data'!$E:$E,5),SUMIFS('ON Data'!K:K,'ON Data'!$E:$E,5))</f>
        <v>0</v>
      </c>
      <c r="G14" s="206">
        <f xml:space="preserve">
IF($A$4&lt;=12,SUMIFS('ON Data'!L:L,'ON Data'!$D:$D,$A$4,'ON Data'!$E:$E,5),SUMIFS('ON Data'!L:L,'ON Data'!$E:$E,5))</f>
        <v>0</v>
      </c>
      <c r="H14" s="206">
        <f xml:space="preserve">
IF($A$4&lt;=12,SUMIFS('ON Data'!M:M,'ON Data'!$D:$D,$A$4,'ON Data'!$E:$E,5),SUMIFS('ON Data'!M:M,'ON Data'!$E:$E,5))</f>
        <v>0</v>
      </c>
      <c r="I14" s="206">
        <f xml:space="preserve">
IF($A$4&lt;=12,SUMIFS('ON Data'!N:N,'ON Data'!$D:$D,$A$4,'ON Data'!$E:$E,5),SUMIFS('ON Data'!N:N,'ON Data'!$E:$E,5))</f>
        <v>0</v>
      </c>
      <c r="J14" s="206">
        <f xml:space="preserve">
IF($A$4&lt;=12,SUMIFS('ON Data'!O:O,'ON Data'!$D:$D,$A$4,'ON Data'!$E:$E,5),SUMIFS('ON Data'!O:O,'ON Data'!$E:$E,5))</f>
        <v>0</v>
      </c>
      <c r="K14" s="206">
        <f xml:space="preserve">
IF($A$4&lt;=12,SUMIFS('ON Data'!P:P,'ON Data'!$D:$D,$A$4,'ON Data'!$E:$E,5),SUMIFS('ON Data'!P:P,'ON Data'!$E:$E,5))</f>
        <v>0</v>
      </c>
      <c r="L14" s="206">
        <f xml:space="preserve">
IF($A$4&lt;=12,SUMIFS('ON Data'!Q:Q,'ON Data'!$D:$D,$A$4,'ON Data'!$E:$E,5),SUMIFS('ON Data'!Q:Q,'ON Data'!$E:$E,5))</f>
        <v>0</v>
      </c>
      <c r="M14" s="206">
        <f xml:space="preserve">
IF($A$4&lt;=12,SUMIFS('ON Data'!R:R,'ON Data'!$D:$D,$A$4,'ON Data'!$E:$E,5),SUMIFS('ON Data'!R:R,'ON Data'!$E:$E,5))</f>
        <v>0</v>
      </c>
      <c r="N14" s="206">
        <f xml:space="preserve">
IF($A$4&lt;=12,SUMIFS('ON Data'!S:S,'ON Data'!$D:$D,$A$4,'ON Data'!$E:$E,5),SUMIFS('ON Data'!S:S,'ON Data'!$E:$E,5))</f>
        <v>0</v>
      </c>
      <c r="O14" s="206">
        <f xml:space="preserve">
IF($A$4&lt;=12,SUMIFS('ON Data'!T:T,'ON Data'!$D:$D,$A$4,'ON Data'!$E:$E,5),SUMIFS('ON Data'!T:T,'ON Data'!$E:$E,5))</f>
        <v>0</v>
      </c>
      <c r="P14" s="206">
        <f xml:space="preserve">
IF($A$4&lt;=12,SUMIFS('ON Data'!U:U,'ON Data'!$D:$D,$A$4,'ON Data'!$E:$E,5),SUMIFS('ON Data'!U:U,'ON Data'!$E:$E,5))</f>
        <v>0</v>
      </c>
      <c r="Q14" s="206">
        <f xml:space="preserve">
IF($A$4&lt;=12,SUMIFS('ON Data'!V:V,'ON Data'!$D:$D,$A$4,'ON Data'!$E:$E,5),SUMIFS('ON Data'!V:V,'ON Data'!$E:$E,5))</f>
        <v>0</v>
      </c>
      <c r="R14" s="206">
        <f xml:space="preserve">
IF($A$4&lt;=12,SUMIFS('ON Data'!W:W,'ON Data'!$D:$D,$A$4,'ON Data'!$E:$E,5),SUMIFS('ON Data'!W:W,'ON Data'!$E:$E,5))</f>
        <v>0</v>
      </c>
      <c r="S14" s="206">
        <f xml:space="preserve">
IF($A$4&lt;=12,SUMIFS('ON Data'!X:X,'ON Data'!$D:$D,$A$4,'ON Data'!$E:$E,5),SUMIFS('ON Data'!X:X,'ON Data'!$E:$E,5))</f>
        <v>0</v>
      </c>
      <c r="T14" s="206">
        <f xml:space="preserve">
IF($A$4&lt;=12,SUMIFS('ON Data'!Y:Y,'ON Data'!$D:$D,$A$4,'ON Data'!$E:$E,5),SUMIFS('ON Data'!Y:Y,'ON Data'!$E:$E,5))</f>
        <v>0</v>
      </c>
      <c r="U14" s="206">
        <f xml:space="preserve">
IF($A$4&lt;=12,SUMIFS('ON Data'!Z:Z,'ON Data'!$D:$D,$A$4,'ON Data'!$E:$E,5),SUMIFS('ON Data'!Z:Z,'ON Data'!$E:$E,5))</f>
        <v>0</v>
      </c>
      <c r="V14" s="206">
        <f xml:space="preserve">
IF($A$4&lt;=12,SUMIFS('ON Data'!AA:AA,'ON Data'!$D:$D,$A$4,'ON Data'!$E:$E,5),SUMIFS('ON Data'!AA:AA,'ON Data'!$E:$E,5))</f>
        <v>0</v>
      </c>
      <c r="W14" s="206">
        <f xml:space="preserve">
IF($A$4&lt;=12,SUMIFS('ON Data'!AB:AB,'ON Data'!$D:$D,$A$4,'ON Data'!$E:$E,5),SUMIFS('ON Data'!AB:AB,'ON Data'!$E:$E,5))</f>
        <v>0</v>
      </c>
      <c r="X14" s="206">
        <f xml:space="preserve">
IF($A$4&lt;=12,SUMIFS('ON Data'!AC:AC,'ON Data'!$D:$D,$A$4,'ON Data'!$E:$E,5),SUMIFS('ON Data'!AC:AC,'ON Data'!$E:$E,5))</f>
        <v>0</v>
      </c>
      <c r="Y14" s="206">
        <f xml:space="preserve">
IF($A$4&lt;=12,SUMIFS('ON Data'!AD:AD,'ON Data'!$D:$D,$A$4,'ON Data'!$E:$E,5),SUMIFS('ON Data'!AD:AD,'ON Data'!$E:$E,5))</f>
        <v>0</v>
      </c>
      <c r="Z14" s="206">
        <f xml:space="preserve">
IF($A$4&lt;=12,SUMIFS('ON Data'!AE:AE,'ON Data'!$D:$D,$A$4,'ON Data'!$E:$E,5),SUMIFS('ON Data'!AE:AE,'ON Data'!$E:$E,5))</f>
        <v>0</v>
      </c>
      <c r="AA14" s="206">
        <f xml:space="preserve">
IF($A$4&lt;=12,SUMIFS('ON Data'!AF:AF,'ON Data'!$D:$D,$A$4,'ON Data'!$E:$E,5),SUMIFS('ON Data'!AF:AF,'ON Data'!$E:$E,5))</f>
        <v>0</v>
      </c>
      <c r="AB14" s="206">
        <f xml:space="preserve">
IF($A$4&lt;=12,SUMIFS('ON Data'!AG:AG,'ON Data'!$D:$D,$A$4,'ON Data'!$E:$E,5),SUMIFS('ON Data'!AG:AG,'ON Data'!$E:$E,5))</f>
        <v>0</v>
      </c>
      <c r="AC14" s="206">
        <f xml:space="preserve">
IF($A$4&lt;=12,SUMIFS('ON Data'!AH:AH,'ON Data'!$D:$D,$A$4,'ON Data'!$E:$E,5),SUMIFS('ON Data'!AH:AH,'ON Data'!$E:$E,5))</f>
        <v>0</v>
      </c>
      <c r="AD14" s="206">
        <f xml:space="preserve">
IF($A$4&lt;=12,SUMIFS('ON Data'!AI:AI,'ON Data'!$D:$D,$A$4,'ON Data'!$E:$E,5),SUMIFS('ON Data'!AI:AI,'ON Data'!$E:$E,5))</f>
        <v>0</v>
      </c>
      <c r="AE14" s="206">
        <f xml:space="preserve">
IF($A$4&lt;=12,SUMIFS('ON Data'!AJ:AJ,'ON Data'!$D:$D,$A$4,'ON Data'!$E:$E,5),SUMIFS('ON Data'!AJ:AJ,'ON Data'!$E:$E,5))</f>
        <v>0</v>
      </c>
      <c r="AF14" s="206">
        <f xml:space="preserve">
IF($A$4&lt;=12,SUMIFS('ON Data'!AK:AK,'ON Data'!$D:$D,$A$4,'ON Data'!$E:$E,5),SUMIFS('ON Data'!AK:AK,'ON Data'!$E:$E,5))</f>
        <v>0</v>
      </c>
      <c r="AG14" s="356">
        <f xml:space="preserve">
IF($A$4&lt;=12,SUMIFS('ON Data'!AM:AM,'ON Data'!$D:$D,$A$4,'ON Data'!$E:$E,5),SUMIFS('ON Data'!AM:AM,'ON Data'!$E:$E,5))</f>
        <v>0</v>
      </c>
      <c r="AH14" s="364"/>
    </row>
    <row r="15" spans="1:34" x14ac:dyDescent="0.3">
      <c r="A15" s="126" t="s">
        <v>153</v>
      </c>
      <c r="B15" s="207"/>
      <c r="C15" s="208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357"/>
      <c r="AH15" s="364"/>
    </row>
    <row r="16" spans="1:34" x14ac:dyDescent="0.3">
      <c r="A16" s="186" t="s">
        <v>144</v>
      </c>
      <c r="B16" s="201">
        <f xml:space="preserve">
IF($A$4&lt;=12,SUMIFS('ON Data'!F:F,'ON Data'!$D:$D,$A$4,'ON Data'!$E:$E,7),SUMIFS('ON Data'!F:F,'ON Data'!$E:$E,7))</f>
        <v>0</v>
      </c>
      <c r="C16" s="202">
        <f xml:space="preserve">
IF($A$4&lt;=12,SUMIFS('ON Data'!G:G,'ON Data'!$D:$D,$A$4,'ON Data'!$E:$E,7),SUMIFS('ON Data'!G:G,'ON Data'!$E:$E,7))</f>
        <v>0</v>
      </c>
      <c r="D16" s="203">
        <f xml:space="preserve">
IF($A$4&lt;=12,SUMIFS('ON Data'!H:H,'ON Data'!$D:$D,$A$4,'ON Data'!$E:$E,7),SUMIFS('ON Data'!H:H,'ON Data'!$E:$E,7))</f>
        <v>0</v>
      </c>
      <c r="E16" s="203">
        <f xml:space="preserve">
IF($A$4&lt;=12,SUMIFS('ON Data'!I:I,'ON Data'!$D:$D,$A$4,'ON Data'!$E:$E,7),SUMIFS('ON Data'!I:I,'ON Data'!$E:$E,7))</f>
        <v>0</v>
      </c>
      <c r="F16" s="203">
        <f xml:space="preserve">
IF($A$4&lt;=12,SUMIFS('ON Data'!K:K,'ON Data'!$D:$D,$A$4,'ON Data'!$E:$E,7),SUMIFS('ON Data'!K:K,'ON Data'!$E:$E,7))</f>
        <v>0</v>
      </c>
      <c r="G16" s="203">
        <f xml:space="preserve">
IF($A$4&lt;=12,SUMIFS('ON Data'!L:L,'ON Data'!$D:$D,$A$4,'ON Data'!$E:$E,7),SUMIFS('ON Data'!L:L,'ON Data'!$E:$E,7))</f>
        <v>0</v>
      </c>
      <c r="H16" s="203">
        <f xml:space="preserve">
IF($A$4&lt;=12,SUMIFS('ON Data'!M:M,'ON Data'!$D:$D,$A$4,'ON Data'!$E:$E,7),SUMIFS('ON Data'!M:M,'ON Data'!$E:$E,7))</f>
        <v>0</v>
      </c>
      <c r="I16" s="203">
        <f xml:space="preserve">
IF($A$4&lt;=12,SUMIFS('ON Data'!N:N,'ON Data'!$D:$D,$A$4,'ON Data'!$E:$E,7),SUMIFS('ON Data'!N:N,'ON Data'!$E:$E,7))</f>
        <v>0</v>
      </c>
      <c r="J16" s="203">
        <f xml:space="preserve">
IF($A$4&lt;=12,SUMIFS('ON Data'!O:O,'ON Data'!$D:$D,$A$4,'ON Data'!$E:$E,7),SUMIFS('ON Data'!O:O,'ON Data'!$E:$E,7))</f>
        <v>0</v>
      </c>
      <c r="K16" s="203">
        <f xml:space="preserve">
IF($A$4&lt;=12,SUMIFS('ON Data'!P:P,'ON Data'!$D:$D,$A$4,'ON Data'!$E:$E,7),SUMIFS('ON Data'!P:P,'ON Data'!$E:$E,7))</f>
        <v>0</v>
      </c>
      <c r="L16" s="203">
        <f xml:space="preserve">
IF($A$4&lt;=12,SUMIFS('ON Data'!Q:Q,'ON Data'!$D:$D,$A$4,'ON Data'!$E:$E,7),SUMIFS('ON Data'!Q:Q,'ON Data'!$E:$E,7))</f>
        <v>0</v>
      </c>
      <c r="M16" s="203">
        <f xml:space="preserve">
IF($A$4&lt;=12,SUMIFS('ON Data'!R:R,'ON Data'!$D:$D,$A$4,'ON Data'!$E:$E,7),SUMIFS('ON Data'!R:R,'ON Data'!$E:$E,7))</f>
        <v>0</v>
      </c>
      <c r="N16" s="203">
        <f xml:space="preserve">
IF($A$4&lt;=12,SUMIFS('ON Data'!S:S,'ON Data'!$D:$D,$A$4,'ON Data'!$E:$E,7),SUMIFS('ON Data'!S:S,'ON Data'!$E:$E,7))</f>
        <v>0</v>
      </c>
      <c r="O16" s="203">
        <f xml:space="preserve">
IF($A$4&lt;=12,SUMIFS('ON Data'!T:T,'ON Data'!$D:$D,$A$4,'ON Data'!$E:$E,7),SUMIFS('ON Data'!T:T,'ON Data'!$E:$E,7))</f>
        <v>0</v>
      </c>
      <c r="P16" s="203">
        <f xml:space="preserve">
IF($A$4&lt;=12,SUMIFS('ON Data'!U:U,'ON Data'!$D:$D,$A$4,'ON Data'!$E:$E,7),SUMIFS('ON Data'!U:U,'ON Data'!$E:$E,7))</f>
        <v>0</v>
      </c>
      <c r="Q16" s="203">
        <f xml:space="preserve">
IF($A$4&lt;=12,SUMIFS('ON Data'!V:V,'ON Data'!$D:$D,$A$4,'ON Data'!$E:$E,7),SUMIFS('ON Data'!V:V,'ON Data'!$E:$E,7))</f>
        <v>0</v>
      </c>
      <c r="R16" s="203">
        <f xml:space="preserve">
IF($A$4&lt;=12,SUMIFS('ON Data'!W:W,'ON Data'!$D:$D,$A$4,'ON Data'!$E:$E,7),SUMIFS('ON Data'!W:W,'ON Data'!$E:$E,7))</f>
        <v>0</v>
      </c>
      <c r="S16" s="203">
        <f xml:space="preserve">
IF($A$4&lt;=12,SUMIFS('ON Data'!X:X,'ON Data'!$D:$D,$A$4,'ON Data'!$E:$E,7),SUMIFS('ON Data'!X:X,'ON Data'!$E:$E,7))</f>
        <v>0</v>
      </c>
      <c r="T16" s="203">
        <f xml:space="preserve">
IF($A$4&lt;=12,SUMIFS('ON Data'!Y:Y,'ON Data'!$D:$D,$A$4,'ON Data'!$E:$E,7),SUMIFS('ON Data'!Y:Y,'ON Data'!$E:$E,7))</f>
        <v>0</v>
      </c>
      <c r="U16" s="203">
        <f xml:space="preserve">
IF($A$4&lt;=12,SUMIFS('ON Data'!Z:Z,'ON Data'!$D:$D,$A$4,'ON Data'!$E:$E,7),SUMIFS('ON Data'!Z:Z,'ON Data'!$E:$E,7))</f>
        <v>0</v>
      </c>
      <c r="V16" s="203">
        <f xml:space="preserve">
IF($A$4&lt;=12,SUMIFS('ON Data'!AA:AA,'ON Data'!$D:$D,$A$4,'ON Data'!$E:$E,7),SUMIFS('ON Data'!AA:AA,'ON Data'!$E:$E,7))</f>
        <v>0</v>
      </c>
      <c r="W16" s="203">
        <f xml:space="preserve">
IF($A$4&lt;=12,SUMIFS('ON Data'!AB:AB,'ON Data'!$D:$D,$A$4,'ON Data'!$E:$E,7),SUMIFS('ON Data'!AB:AB,'ON Data'!$E:$E,7))</f>
        <v>0</v>
      </c>
      <c r="X16" s="203">
        <f xml:space="preserve">
IF($A$4&lt;=12,SUMIFS('ON Data'!AC:AC,'ON Data'!$D:$D,$A$4,'ON Data'!$E:$E,7),SUMIFS('ON Data'!AC:AC,'ON Data'!$E:$E,7))</f>
        <v>0</v>
      </c>
      <c r="Y16" s="203">
        <f xml:space="preserve">
IF($A$4&lt;=12,SUMIFS('ON Data'!AD:AD,'ON Data'!$D:$D,$A$4,'ON Data'!$E:$E,7),SUMIFS('ON Data'!AD:AD,'ON Data'!$E:$E,7))</f>
        <v>0</v>
      </c>
      <c r="Z16" s="203">
        <f xml:space="preserve">
IF($A$4&lt;=12,SUMIFS('ON Data'!AE:AE,'ON Data'!$D:$D,$A$4,'ON Data'!$E:$E,7),SUMIFS('ON Data'!AE:AE,'ON Data'!$E:$E,7))</f>
        <v>0</v>
      </c>
      <c r="AA16" s="203">
        <f xml:space="preserve">
IF($A$4&lt;=12,SUMIFS('ON Data'!AF:AF,'ON Data'!$D:$D,$A$4,'ON Data'!$E:$E,7),SUMIFS('ON Data'!AF:AF,'ON Data'!$E:$E,7))</f>
        <v>0</v>
      </c>
      <c r="AB16" s="203">
        <f xml:space="preserve">
IF($A$4&lt;=12,SUMIFS('ON Data'!AG:AG,'ON Data'!$D:$D,$A$4,'ON Data'!$E:$E,7),SUMIFS('ON Data'!AG:AG,'ON Data'!$E:$E,7))</f>
        <v>0</v>
      </c>
      <c r="AC16" s="203">
        <f xml:space="preserve">
IF($A$4&lt;=12,SUMIFS('ON Data'!AH:AH,'ON Data'!$D:$D,$A$4,'ON Data'!$E:$E,7),SUMIFS('ON Data'!AH:AH,'ON Data'!$E:$E,7))</f>
        <v>0</v>
      </c>
      <c r="AD16" s="203">
        <f xml:space="preserve">
IF($A$4&lt;=12,SUMIFS('ON Data'!AI:AI,'ON Data'!$D:$D,$A$4,'ON Data'!$E:$E,7),SUMIFS('ON Data'!AI:AI,'ON Data'!$E:$E,7))</f>
        <v>0</v>
      </c>
      <c r="AE16" s="203">
        <f xml:space="preserve">
IF($A$4&lt;=12,SUMIFS('ON Data'!AJ:AJ,'ON Data'!$D:$D,$A$4,'ON Data'!$E:$E,7),SUMIFS('ON Data'!AJ:AJ,'ON Data'!$E:$E,7))</f>
        <v>0</v>
      </c>
      <c r="AF16" s="203">
        <f xml:space="preserve">
IF($A$4&lt;=12,SUMIFS('ON Data'!AK:AK,'ON Data'!$D:$D,$A$4,'ON Data'!$E:$E,7),SUMIFS('ON Data'!AK:AK,'ON Data'!$E:$E,7))</f>
        <v>0</v>
      </c>
      <c r="AG16" s="355">
        <f xml:space="preserve">
IF($A$4&lt;=12,SUMIFS('ON Data'!AM:AM,'ON Data'!$D:$D,$A$4,'ON Data'!$E:$E,7),SUMIFS('ON Data'!AM:AM,'ON Data'!$E:$E,7))</f>
        <v>0</v>
      </c>
      <c r="AH16" s="364"/>
    </row>
    <row r="17" spans="1:34" x14ac:dyDescent="0.3">
      <c r="A17" s="186" t="s">
        <v>145</v>
      </c>
      <c r="B17" s="201">
        <f xml:space="preserve">
IF($A$4&lt;=12,SUMIFS('ON Data'!F:F,'ON Data'!$D:$D,$A$4,'ON Data'!$E:$E,8),SUMIFS('ON Data'!F:F,'ON Data'!$E:$E,8))</f>
        <v>0</v>
      </c>
      <c r="C17" s="202">
        <f xml:space="preserve">
IF($A$4&lt;=12,SUMIFS('ON Data'!G:G,'ON Data'!$D:$D,$A$4,'ON Data'!$E:$E,8),SUMIFS('ON Data'!G:G,'ON Data'!$E:$E,8))</f>
        <v>0</v>
      </c>
      <c r="D17" s="203">
        <f xml:space="preserve">
IF($A$4&lt;=12,SUMIFS('ON Data'!H:H,'ON Data'!$D:$D,$A$4,'ON Data'!$E:$E,8),SUMIFS('ON Data'!H:H,'ON Data'!$E:$E,8))</f>
        <v>0</v>
      </c>
      <c r="E17" s="203">
        <f xml:space="preserve">
IF($A$4&lt;=12,SUMIFS('ON Data'!I:I,'ON Data'!$D:$D,$A$4,'ON Data'!$E:$E,8),SUMIFS('ON Data'!I:I,'ON Data'!$E:$E,8))</f>
        <v>0</v>
      </c>
      <c r="F17" s="203">
        <f xml:space="preserve">
IF($A$4&lt;=12,SUMIFS('ON Data'!K:K,'ON Data'!$D:$D,$A$4,'ON Data'!$E:$E,8),SUMIFS('ON Data'!K:K,'ON Data'!$E:$E,8))</f>
        <v>0</v>
      </c>
      <c r="G17" s="203">
        <f xml:space="preserve">
IF($A$4&lt;=12,SUMIFS('ON Data'!L:L,'ON Data'!$D:$D,$A$4,'ON Data'!$E:$E,8),SUMIFS('ON Data'!L:L,'ON Data'!$E:$E,8))</f>
        <v>0</v>
      </c>
      <c r="H17" s="203">
        <f xml:space="preserve">
IF($A$4&lt;=12,SUMIFS('ON Data'!M:M,'ON Data'!$D:$D,$A$4,'ON Data'!$E:$E,8),SUMIFS('ON Data'!M:M,'ON Data'!$E:$E,8))</f>
        <v>0</v>
      </c>
      <c r="I17" s="203">
        <f xml:space="preserve">
IF($A$4&lt;=12,SUMIFS('ON Data'!N:N,'ON Data'!$D:$D,$A$4,'ON Data'!$E:$E,8),SUMIFS('ON Data'!N:N,'ON Data'!$E:$E,8))</f>
        <v>0</v>
      </c>
      <c r="J17" s="203">
        <f xml:space="preserve">
IF($A$4&lt;=12,SUMIFS('ON Data'!O:O,'ON Data'!$D:$D,$A$4,'ON Data'!$E:$E,8),SUMIFS('ON Data'!O:O,'ON Data'!$E:$E,8))</f>
        <v>0</v>
      </c>
      <c r="K17" s="203">
        <f xml:space="preserve">
IF($A$4&lt;=12,SUMIFS('ON Data'!P:P,'ON Data'!$D:$D,$A$4,'ON Data'!$E:$E,8),SUMIFS('ON Data'!P:P,'ON Data'!$E:$E,8))</f>
        <v>0</v>
      </c>
      <c r="L17" s="203">
        <f xml:space="preserve">
IF($A$4&lt;=12,SUMIFS('ON Data'!Q:Q,'ON Data'!$D:$D,$A$4,'ON Data'!$E:$E,8),SUMIFS('ON Data'!Q:Q,'ON Data'!$E:$E,8))</f>
        <v>0</v>
      </c>
      <c r="M17" s="203">
        <f xml:space="preserve">
IF($A$4&lt;=12,SUMIFS('ON Data'!R:R,'ON Data'!$D:$D,$A$4,'ON Data'!$E:$E,8),SUMIFS('ON Data'!R:R,'ON Data'!$E:$E,8))</f>
        <v>0</v>
      </c>
      <c r="N17" s="203">
        <f xml:space="preserve">
IF($A$4&lt;=12,SUMIFS('ON Data'!S:S,'ON Data'!$D:$D,$A$4,'ON Data'!$E:$E,8),SUMIFS('ON Data'!S:S,'ON Data'!$E:$E,8))</f>
        <v>0</v>
      </c>
      <c r="O17" s="203">
        <f xml:space="preserve">
IF($A$4&lt;=12,SUMIFS('ON Data'!T:T,'ON Data'!$D:$D,$A$4,'ON Data'!$E:$E,8),SUMIFS('ON Data'!T:T,'ON Data'!$E:$E,8))</f>
        <v>0</v>
      </c>
      <c r="P17" s="203">
        <f xml:space="preserve">
IF($A$4&lt;=12,SUMIFS('ON Data'!U:U,'ON Data'!$D:$D,$A$4,'ON Data'!$E:$E,8),SUMIFS('ON Data'!U:U,'ON Data'!$E:$E,8))</f>
        <v>0</v>
      </c>
      <c r="Q17" s="203">
        <f xml:space="preserve">
IF($A$4&lt;=12,SUMIFS('ON Data'!V:V,'ON Data'!$D:$D,$A$4,'ON Data'!$E:$E,8),SUMIFS('ON Data'!V:V,'ON Data'!$E:$E,8))</f>
        <v>0</v>
      </c>
      <c r="R17" s="203">
        <f xml:space="preserve">
IF($A$4&lt;=12,SUMIFS('ON Data'!W:W,'ON Data'!$D:$D,$A$4,'ON Data'!$E:$E,8),SUMIFS('ON Data'!W:W,'ON Data'!$E:$E,8))</f>
        <v>0</v>
      </c>
      <c r="S17" s="203">
        <f xml:space="preserve">
IF($A$4&lt;=12,SUMIFS('ON Data'!X:X,'ON Data'!$D:$D,$A$4,'ON Data'!$E:$E,8),SUMIFS('ON Data'!X:X,'ON Data'!$E:$E,8))</f>
        <v>0</v>
      </c>
      <c r="T17" s="203">
        <f xml:space="preserve">
IF($A$4&lt;=12,SUMIFS('ON Data'!Y:Y,'ON Data'!$D:$D,$A$4,'ON Data'!$E:$E,8),SUMIFS('ON Data'!Y:Y,'ON Data'!$E:$E,8))</f>
        <v>0</v>
      </c>
      <c r="U17" s="203">
        <f xml:space="preserve">
IF($A$4&lt;=12,SUMIFS('ON Data'!Z:Z,'ON Data'!$D:$D,$A$4,'ON Data'!$E:$E,8),SUMIFS('ON Data'!Z:Z,'ON Data'!$E:$E,8))</f>
        <v>0</v>
      </c>
      <c r="V17" s="203">
        <f xml:space="preserve">
IF($A$4&lt;=12,SUMIFS('ON Data'!AA:AA,'ON Data'!$D:$D,$A$4,'ON Data'!$E:$E,8),SUMIFS('ON Data'!AA:AA,'ON Data'!$E:$E,8))</f>
        <v>0</v>
      </c>
      <c r="W17" s="203">
        <f xml:space="preserve">
IF($A$4&lt;=12,SUMIFS('ON Data'!AB:AB,'ON Data'!$D:$D,$A$4,'ON Data'!$E:$E,8),SUMIFS('ON Data'!AB:AB,'ON Data'!$E:$E,8))</f>
        <v>0</v>
      </c>
      <c r="X17" s="203">
        <f xml:space="preserve">
IF($A$4&lt;=12,SUMIFS('ON Data'!AC:AC,'ON Data'!$D:$D,$A$4,'ON Data'!$E:$E,8),SUMIFS('ON Data'!AC:AC,'ON Data'!$E:$E,8))</f>
        <v>0</v>
      </c>
      <c r="Y17" s="203">
        <f xml:space="preserve">
IF($A$4&lt;=12,SUMIFS('ON Data'!AD:AD,'ON Data'!$D:$D,$A$4,'ON Data'!$E:$E,8),SUMIFS('ON Data'!AD:AD,'ON Data'!$E:$E,8))</f>
        <v>0</v>
      </c>
      <c r="Z17" s="203">
        <f xml:space="preserve">
IF($A$4&lt;=12,SUMIFS('ON Data'!AE:AE,'ON Data'!$D:$D,$A$4,'ON Data'!$E:$E,8),SUMIFS('ON Data'!AE:AE,'ON Data'!$E:$E,8))</f>
        <v>0</v>
      </c>
      <c r="AA17" s="203">
        <f xml:space="preserve">
IF($A$4&lt;=12,SUMIFS('ON Data'!AF:AF,'ON Data'!$D:$D,$A$4,'ON Data'!$E:$E,8),SUMIFS('ON Data'!AF:AF,'ON Data'!$E:$E,8))</f>
        <v>0</v>
      </c>
      <c r="AB17" s="203">
        <f xml:space="preserve">
IF($A$4&lt;=12,SUMIFS('ON Data'!AG:AG,'ON Data'!$D:$D,$A$4,'ON Data'!$E:$E,8),SUMIFS('ON Data'!AG:AG,'ON Data'!$E:$E,8))</f>
        <v>0</v>
      </c>
      <c r="AC17" s="203">
        <f xml:space="preserve">
IF($A$4&lt;=12,SUMIFS('ON Data'!AH:AH,'ON Data'!$D:$D,$A$4,'ON Data'!$E:$E,8),SUMIFS('ON Data'!AH:AH,'ON Data'!$E:$E,8))</f>
        <v>0</v>
      </c>
      <c r="AD17" s="203">
        <f xml:space="preserve">
IF($A$4&lt;=12,SUMIFS('ON Data'!AI:AI,'ON Data'!$D:$D,$A$4,'ON Data'!$E:$E,8),SUMIFS('ON Data'!AI:AI,'ON Data'!$E:$E,8))</f>
        <v>0</v>
      </c>
      <c r="AE17" s="203">
        <f xml:space="preserve">
IF($A$4&lt;=12,SUMIFS('ON Data'!AJ:AJ,'ON Data'!$D:$D,$A$4,'ON Data'!$E:$E,8),SUMIFS('ON Data'!AJ:AJ,'ON Data'!$E:$E,8))</f>
        <v>0</v>
      </c>
      <c r="AF17" s="203">
        <f xml:space="preserve">
IF($A$4&lt;=12,SUMIFS('ON Data'!AK:AK,'ON Data'!$D:$D,$A$4,'ON Data'!$E:$E,8),SUMIFS('ON Data'!AK:AK,'ON Data'!$E:$E,8))</f>
        <v>0</v>
      </c>
      <c r="AG17" s="355">
        <f xml:space="preserve">
IF($A$4&lt;=12,SUMIFS('ON Data'!AM:AM,'ON Data'!$D:$D,$A$4,'ON Data'!$E:$E,8),SUMIFS('ON Data'!AM:AM,'ON Data'!$E:$E,8))</f>
        <v>0</v>
      </c>
      <c r="AH17" s="364"/>
    </row>
    <row r="18" spans="1:34" x14ac:dyDescent="0.3">
      <c r="A18" s="186" t="s">
        <v>146</v>
      </c>
      <c r="B18" s="201">
        <f xml:space="preserve">
B19-B16-B17</f>
        <v>26616</v>
      </c>
      <c r="C18" s="202">
        <f t="shared" ref="C18" si="0" xml:space="preserve">
C19-C16-C17</f>
        <v>0</v>
      </c>
      <c r="D18" s="203">
        <f t="shared" ref="D18:AG18" si="1" xml:space="preserve">
D19-D16-D17</f>
        <v>0</v>
      </c>
      <c r="E18" s="203">
        <f t="shared" si="1"/>
        <v>0</v>
      </c>
      <c r="F18" s="203">
        <f t="shared" si="1"/>
        <v>14816</v>
      </c>
      <c r="G18" s="203">
        <f t="shared" si="1"/>
        <v>0</v>
      </c>
      <c r="H18" s="203">
        <f t="shared" si="1"/>
        <v>0</v>
      </c>
      <c r="I18" s="203">
        <f t="shared" si="1"/>
        <v>0</v>
      </c>
      <c r="J18" s="203">
        <f t="shared" si="1"/>
        <v>0</v>
      </c>
      <c r="K18" s="203">
        <f t="shared" si="1"/>
        <v>0</v>
      </c>
      <c r="L18" s="203">
        <f t="shared" si="1"/>
        <v>0</v>
      </c>
      <c r="M18" s="203">
        <f t="shared" si="1"/>
        <v>0</v>
      </c>
      <c r="N18" s="203">
        <f t="shared" si="1"/>
        <v>0</v>
      </c>
      <c r="O18" s="203">
        <f t="shared" si="1"/>
        <v>0</v>
      </c>
      <c r="P18" s="203">
        <f t="shared" si="1"/>
        <v>0</v>
      </c>
      <c r="Q18" s="203">
        <f t="shared" si="1"/>
        <v>0</v>
      </c>
      <c r="R18" s="203">
        <f t="shared" si="1"/>
        <v>0</v>
      </c>
      <c r="S18" s="203">
        <f t="shared" si="1"/>
        <v>0</v>
      </c>
      <c r="T18" s="203">
        <f t="shared" si="1"/>
        <v>0</v>
      </c>
      <c r="U18" s="203">
        <f t="shared" si="1"/>
        <v>0</v>
      </c>
      <c r="V18" s="203">
        <f t="shared" si="1"/>
        <v>0</v>
      </c>
      <c r="W18" s="203">
        <f t="shared" si="1"/>
        <v>0</v>
      </c>
      <c r="X18" s="203">
        <f t="shared" si="1"/>
        <v>0</v>
      </c>
      <c r="Y18" s="203">
        <f t="shared" si="1"/>
        <v>0</v>
      </c>
      <c r="Z18" s="203">
        <f t="shared" si="1"/>
        <v>0</v>
      </c>
      <c r="AA18" s="203">
        <f t="shared" si="1"/>
        <v>0</v>
      </c>
      <c r="AB18" s="203">
        <f t="shared" si="1"/>
        <v>0</v>
      </c>
      <c r="AC18" s="203">
        <f t="shared" si="1"/>
        <v>11800</v>
      </c>
      <c r="AD18" s="203">
        <f t="shared" si="1"/>
        <v>0</v>
      </c>
      <c r="AE18" s="203">
        <f t="shared" si="1"/>
        <v>0</v>
      </c>
      <c r="AF18" s="203">
        <f t="shared" si="1"/>
        <v>0</v>
      </c>
      <c r="AG18" s="355">
        <f t="shared" si="1"/>
        <v>0</v>
      </c>
      <c r="AH18" s="364"/>
    </row>
    <row r="19" spans="1:34" ht="15" thickBot="1" x14ac:dyDescent="0.35">
      <c r="A19" s="187" t="s">
        <v>147</v>
      </c>
      <c r="B19" s="210">
        <f xml:space="preserve">
IF($A$4&lt;=12,SUMIFS('ON Data'!F:F,'ON Data'!$D:$D,$A$4,'ON Data'!$E:$E,9),SUMIFS('ON Data'!F:F,'ON Data'!$E:$E,9))</f>
        <v>26616</v>
      </c>
      <c r="C19" s="211">
        <f xml:space="preserve">
IF($A$4&lt;=12,SUMIFS('ON Data'!G:G,'ON Data'!$D:$D,$A$4,'ON Data'!$E:$E,9),SUMIFS('ON Data'!G:G,'ON Data'!$E:$E,9))</f>
        <v>0</v>
      </c>
      <c r="D19" s="212">
        <f xml:space="preserve">
IF($A$4&lt;=12,SUMIFS('ON Data'!H:H,'ON Data'!$D:$D,$A$4,'ON Data'!$E:$E,9),SUMIFS('ON Data'!H:H,'ON Data'!$E:$E,9))</f>
        <v>0</v>
      </c>
      <c r="E19" s="212">
        <f xml:space="preserve">
IF($A$4&lt;=12,SUMIFS('ON Data'!I:I,'ON Data'!$D:$D,$A$4,'ON Data'!$E:$E,9),SUMIFS('ON Data'!I:I,'ON Data'!$E:$E,9))</f>
        <v>0</v>
      </c>
      <c r="F19" s="212">
        <f xml:space="preserve">
IF($A$4&lt;=12,SUMIFS('ON Data'!K:K,'ON Data'!$D:$D,$A$4,'ON Data'!$E:$E,9),SUMIFS('ON Data'!K:K,'ON Data'!$E:$E,9))</f>
        <v>14816</v>
      </c>
      <c r="G19" s="212">
        <f xml:space="preserve">
IF($A$4&lt;=12,SUMIFS('ON Data'!L:L,'ON Data'!$D:$D,$A$4,'ON Data'!$E:$E,9),SUMIFS('ON Data'!L:L,'ON Data'!$E:$E,9))</f>
        <v>0</v>
      </c>
      <c r="H19" s="212">
        <f xml:space="preserve">
IF($A$4&lt;=12,SUMIFS('ON Data'!M:M,'ON Data'!$D:$D,$A$4,'ON Data'!$E:$E,9),SUMIFS('ON Data'!M:M,'ON Data'!$E:$E,9))</f>
        <v>0</v>
      </c>
      <c r="I19" s="212">
        <f xml:space="preserve">
IF($A$4&lt;=12,SUMIFS('ON Data'!N:N,'ON Data'!$D:$D,$A$4,'ON Data'!$E:$E,9),SUMIFS('ON Data'!N:N,'ON Data'!$E:$E,9))</f>
        <v>0</v>
      </c>
      <c r="J19" s="212">
        <f xml:space="preserve">
IF($A$4&lt;=12,SUMIFS('ON Data'!O:O,'ON Data'!$D:$D,$A$4,'ON Data'!$E:$E,9),SUMIFS('ON Data'!O:O,'ON Data'!$E:$E,9))</f>
        <v>0</v>
      </c>
      <c r="K19" s="212">
        <f xml:space="preserve">
IF($A$4&lt;=12,SUMIFS('ON Data'!P:P,'ON Data'!$D:$D,$A$4,'ON Data'!$E:$E,9),SUMIFS('ON Data'!P:P,'ON Data'!$E:$E,9))</f>
        <v>0</v>
      </c>
      <c r="L19" s="212">
        <f xml:space="preserve">
IF($A$4&lt;=12,SUMIFS('ON Data'!Q:Q,'ON Data'!$D:$D,$A$4,'ON Data'!$E:$E,9),SUMIFS('ON Data'!Q:Q,'ON Data'!$E:$E,9))</f>
        <v>0</v>
      </c>
      <c r="M19" s="212">
        <f xml:space="preserve">
IF($A$4&lt;=12,SUMIFS('ON Data'!R:R,'ON Data'!$D:$D,$A$4,'ON Data'!$E:$E,9),SUMIFS('ON Data'!R:R,'ON Data'!$E:$E,9))</f>
        <v>0</v>
      </c>
      <c r="N19" s="212">
        <f xml:space="preserve">
IF($A$4&lt;=12,SUMIFS('ON Data'!S:S,'ON Data'!$D:$D,$A$4,'ON Data'!$E:$E,9),SUMIFS('ON Data'!S:S,'ON Data'!$E:$E,9))</f>
        <v>0</v>
      </c>
      <c r="O19" s="212">
        <f xml:space="preserve">
IF($A$4&lt;=12,SUMIFS('ON Data'!T:T,'ON Data'!$D:$D,$A$4,'ON Data'!$E:$E,9),SUMIFS('ON Data'!T:T,'ON Data'!$E:$E,9))</f>
        <v>0</v>
      </c>
      <c r="P19" s="212">
        <f xml:space="preserve">
IF($A$4&lt;=12,SUMIFS('ON Data'!U:U,'ON Data'!$D:$D,$A$4,'ON Data'!$E:$E,9),SUMIFS('ON Data'!U:U,'ON Data'!$E:$E,9))</f>
        <v>0</v>
      </c>
      <c r="Q19" s="212">
        <f xml:space="preserve">
IF($A$4&lt;=12,SUMIFS('ON Data'!V:V,'ON Data'!$D:$D,$A$4,'ON Data'!$E:$E,9),SUMIFS('ON Data'!V:V,'ON Data'!$E:$E,9))</f>
        <v>0</v>
      </c>
      <c r="R19" s="212">
        <f xml:space="preserve">
IF($A$4&lt;=12,SUMIFS('ON Data'!W:W,'ON Data'!$D:$D,$A$4,'ON Data'!$E:$E,9),SUMIFS('ON Data'!W:W,'ON Data'!$E:$E,9))</f>
        <v>0</v>
      </c>
      <c r="S19" s="212">
        <f xml:space="preserve">
IF($A$4&lt;=12,SUMIFS('ON Data'!X:X,'ON Data'!$D:$D,$A$4,'ON Data'!$E:$E,9),SUMIFS('ON Data'!X:X,'ON Data'!$E:$E,9))</f>
        <v>0</v>
      </c>
      <c r="T19" s="212">
        <f xml:space="preserve">
IF($A$4&lt;=12,SUMIFS('ON Data'!Y:Y,'ON Data'!$D:$D,$A$4,'ON Data'!$E:$E,9),SUMIFS('ON Data'!Y:Y,'ON Data'!$E:$E,9))</f>
        <v>0</v>
      </c>
      <c r="U19" s="212">
        <f xml:space="preserve">
IF($A$4&lt;=12,SUMIFS('ON Data'!Z:Z,'ON Data'!$D:$D,$A$4,'ON Data'!$E:$E,9),SUMIFS('ON Data'!Z:Z,'ON Data'!$E:$E,9))</f>
        <v>0</v>
      </c>
      <c r="V19" s="212">
        <f xml:space="preserve">
IF($A$4&lt;=12,SUMIFS('ON Data'!AA:AA,'ON Data'!$D:$D,$A$4,'ON Data'!$E:$E,9),SUMIFS('ON Data'!AA:AA,'ON Data'!$E:$E,9))</f>
        <v>0</v>
      </c>
      <c r="W19" s="212">
        <f xml:space="preserve">
IF($A$4&lt;=12,SUMIFS('ON Data'!AB:AB,'ON Data'!$D:$D,$A$4,'ON Data'!$E:$E,9),SUMIFS('ON Data'!AB:AB,'ON Data'!$E:$E,9))</f>
        <v>0</v>
      </c>
      <c r="X19" s="212">
        <f xml:space="preserve">
IF($A$4&lt;=12,SUMIFS('ON Data'!AC:AC,'ON Data'!$D:$D,$A$4,'ON Data'!$E:$E,9),SUMIFS('ON Data'!AC:AC,'ON Data'!$E:$E,9))</f>
        <v>0</v>
      </c>
      <c r="Y19" s="212">
        <f xml:space="preserve">
IF($A$4&lt;=12,SUMIFS('ON Data'!AD:AD,'ON Data'!$D:$D,$A$4,'ON Data'!$E:$E,9),SUMIFS('ON Data'!AD:AD,'ON Data'!$E:$E,9))</f>
        <v>0</v>
      </c>
      <c r="Z19" s="212">
        <f xml:space="preserve">
IF($A$4&lt;=12,SUMIFS('ON Data'!AE:AE,'ON Data'!$D:$D,$A$4,'ON Data'!$E:$E,9),SUMIFS('ON Data'!AE:AE,'ON Data'!$E:$E,9))</f>
        <v>0</v>
      </c>
      <c r="AA19" s="212">
        <f xml:space="preserve">
IF($A$4&lt;=12,SUMIFS('ON Data'!AF:AF,'ON Data'!$D:$D,$A$4,'ON Data'!$E:$E,9),SUMIFS('ON Data'!AF:AF,'ON Data'!$E:$E,9))</f>
        <v>0</v>
      </c>
      <c r="AB19" s="212">
        <f xml:space="preserve">
IF($A$4&lt;=12,SUMIFS('ON Data'!AG:AG,'ON Data'!$D:$D,$A$4,'ON Data'!$E:$E,9),SUMIFS('ON Data'!AG:AG,'ON Data'!$E:$E,9))</f>
        <v>0</v>
      </c>
      <c r="AC19" s="212">
        <f xml:space="preserve">
IF($A$4&lt;=12,SUMIFS('ON Data'!AH:AH,'ON Data'!$D:$D,$A$4,'ON Data'!$E:$E,9),SUMIFS('ON Data'!AH:AH,'ON Data'!$E:$E,9))</f>
        <v>11800</v>
      </c>
      <c r="AD19" s="212">
        <f xml:space="preserve">
IF($A$4&lt;=12,SUMIFS('ON Data'!AI:AI,'ON Data'!$D:$D,$A$4,'ON Data'!$E:$E,9),SUMIFS('ON Data'!AI:AI,'ON Data'!$E:$E,9))</f>
        <v>0</v>
      </c>
      <c r="AE19" s="212">
        <f xml:space="preserve">
IF($A$4&lt;=12,SUMIFS('ON Data'!AJ:AJ,'ON Data'!$D:$D,$A$4,'ON Data'!$E:$E,9),SUMIFS('ON Data'!AJ:AJ,'ON Data'!$E:$E,9))</f>
        <v>0</v>
      </c>
      <c r="AF19" s="212">
        <f xml:space="preserve">
IF($A$4&lt;=12,SUMIFS('ON Data'!AK:AK,'ON Data'!$D:$D,$A$4,'ON Data'!$E:$E,9),SUMIFS('ON Data'!AK:AK,'ON Data'!$E:$E,9))</f>
        <v>0</v>
      </c>
      <c r="AG19" s="358">
        <f xml:space="preserve">
IF($A$4&lt;=12,SUMIFS('ON Data'!AM:AM,'ON Data'!$D:$D,$A$4,'ON Data'!$E:$E,9),SUMIFS('ON Data'!AM:AM,'ON Data'!$E:$E,9))</f>
        <v>0</v>
      </c>
      <c r="AH19" s="364"/>
    </row>
    <row r="20" spans="1:34" ht="15" collapsed="1" thickBot="1" x14ac:dyDescent="0.35">
      <c r="A20" s="188" t="s">
        <v>55</v>
      </c>
      <c r="B20" s="213">
        <f xml:space="preserve">
IF($A$4&lt;=12,SUMIFS('ON Data'!F:F,'ON Data'!$D:$D,$A$4,'ON Data'!$E:$E,6),SUMIFS('ON Data'!F:F,'ON Data'!$E:$E,6))</f>
        <v>3831385</v>
      </c>
      <c r="C20" s="214">
        <f xml:space="preserve">
IF($A$4&lt;=12,SUMIFS('ON Data'!G:G,'ON Data'!$D:$D,$A$4,'ON Data'!$E:$E,6),SUMIFS('ON Data'!G:G,'ON Data'!$E:$E,6))</f>
        <v>0</v>
      </c>
      <c r="D20" s="215">
        <f xml:space="preserve">
IF($A$4&lt;=12,SUMIFS('ON Data'!H:H,'ON Data'!$D:$D,$A$4,'ON Data'!$E:$E,6),SUMIFS('ON Data'!H:H,'ON Data'!$E:$E,6))</f>
        <v>28014</v>
      </c>
      <c r="E20" s="215">
        <f xml:space="preserve">
IF($A$4&lt;=12,SUMIFS('ON Data'!I:I,'ON Data'!$D:$D,$A$4,'ON Data'!$E:$E,6),SUMIFS('ON Data'!I:I,'ON Data'!$E:$E,6))</f>
        <v>0</v>
      </c>
      <c r="F20" s="215">
        <f xml:space="preserve">
IF($A$4&lt;=12,SUMIFS('ON Data'!K:K,'ON Data'!$D:$D,$A$4,'ON Data'!$E:$E,6),SUMIFS('ON Data'!K:K,'ON Data'!$E:$E,6))</f>
        <v>3024538</v>
      </c>
      <c r="G20" s="215">
        <f xml:space="preserve">
IF($A$4&lt;=12,SUMIFS('ON Data'!L:L,'ON Data'!$D:$D,$A$4,'ON Data'!$E:$E,6),SUMIFS('ON Data'!L:L,'ON Data'!$E:$E,6))</f>
        <v>0</v>
      </c>
      <c r="H20" s="215">
        <f xml:space="preserve">
IF($A$4&lt;=12,SUMIFS('ON Data'!M:M,'ON Data'!$D:$D,$A$4,'ON Data'!$E:$E,6),SUMIFS('ON Data'!M:M,'ON Data'!$E:$E,6))</f>
        <v>0</v>
      </c>
      <c r="I20" s="215">
        <f xml:space="preserve">
IF($A$4&lt;=12,SUMIFS('ON Data'!N:N,'ON Data'!$D:$D,$A$4,'ON Data'!$E:$E,6),SUMIFS('ON Data'!N:N,'ON Data'!$E:$E,6))</f>
        <v>0</v>
      </c>
      <c r="J20" s="215">
        <f xml:space="preserve">
IF($A$4&lt;=12,SUMIFS('ON Data'!O:O,'ON Data'!$D:$D,$A$4,'ON Data'!$E:$E,6),SUMIFS('ON Data'!O:O,'ON Data'!$E:$E,6))</f>
        <v>0</v>
      </c>
      <c r="K20" s="215">
        <f xml:space="preserve">
IF($A$4&lt;=12,SUMIFS('ON Data'!P:P,'ON Data'!$D:$D,$A$4,'ON Data'!$E:$E,6),SUMIFS('ON Data'!P:P,'ON Data'!$E:$E,6))</f>
        <v>0</v>
      </c>
      <c r="L20" s="215">
        <f xml:space="preserve">
IF($A$4&lt;=12,SUMIFS('ON Data'!Q:Q,'ON Data'!$D:$D,$A$4,'ON Data'!$E:$E,6),SUMIFS('ON Data'!Q:Q,'ON Data'!$E:$E,6))</f>
        <v>0</v>
      </c>
      <c r="M20" s="215">
        <f xml:space="preserve">
IF($A$4&lt;=12,SUMIFS('ON Data'!R:R,'ON Data'!$D:$D,$A$4,'ON Data'!$E:$E,6),SUMIFS('ON Data'!R:R,'ON Data'!$E:$E,6))</f>
        <v>0</v>
      </c>
      <c r="N20" s="215">
        <f xml:space="preserve">
IF($A$4&lt;=12,SUMIFS('ON Data'!S:S,'ON Data'!$D:$D,$A$4,'ON Data'!$E:$E,6),SUMIFS('ON Data'!S:S,'ON Data'!$E:$E,6))</f>
        <v>0</v>
      </c>
      <c r="O20" s="215">
        <f xml:space="preserve">
IF($A$4&lt;=12,SUMIFS('ON Data'!T:T,'ON Data'!$D:$D,$A$4,'ON Data'!$E:$E,6),SUMIFS('ON Data'!T:T,'ON Data'!$E:$E,6))</f>
        <v>0</v>
      </c>
      <c r="P20" s="215">
        <f xml:space="preserve">
IF($A$4&lt;=12,SUMIFS('ON Data'!U:U,'ON Data'!$D:$D,$A$4,'ON Data'!$E:$E,6),SUMIFS('ON Data'!U:U,'ON Data'!$E:$E,6))</f>
        <v>0</v>
      </c>
      <c r="Q20" s="215">
        <f xml:space="preserve">
IF($A$4&lt;=12,SUMIFS('ON Data'!V:V,'ON Data'!$D:$D,$A$4,'ON Data'!$E:$E,6),SUMIFS('ON Data'!V:V,'ON Data'!$E:$E,6))</f>
        <v>0</v>
      </c>
      <c r="R20" s="215">
        <f xml:space="preserve">
IF($A$4&lt;=12,SUMIFS('ON Data'!W:W,'ON Data'!$D:$D,$A$4,'ON Data'!$E:$E,6),SUMIFS('ON Data'!W:W,'ON Data'!$E:$E,6))</f>
        <v>0</v>
      </c>
      <c r="S20" s="215">
        <f xml:space="preserve">
IF($A$4&lt;=12,SUMIFS('ON Data'!X:X,'ON Data'!$D:$D,$A$4,'ON Data'!$E:$E,6),SUMIFS('ON Data'!X:X,'ON Data'!$E:$E,6))</f>
        <v>0</v>
      </c>
      <c r="T20" s="215">
        <f xml:space="preserve">
IF($A$4&lt;=12,SUMIFS('ON Data'!Y:Y,'ON Data'!$D:$D,$A$4,'ON Data'!$E:$E,6),SUMIFS('ON Data'!Y:Y,'ON Data'!$E:$E,6))</f>
        <v>0</v>
      </c>
      <c r="U20" s="215">
        <f xml:space="preserve">
IF($A$4&lt;=12,SUMIFS('ON Data'!Z:Z,'ON Data'!$D:$D,$A$4,'ON Data'!$E:$E,6),SUMIFS('ON Data'!Z:Z,'ON Data'!$E:$E,6))</f>
        <v>0</v>
      </c>
      <c r="V20" s="215">
        <f xml:space="preserve">
IF($A$4&lt;=12,SUMIFS('ON Data'!AA:AA,'ON Data'!$D:$D,$A$4,'ON Data'!$E:$E,6),SUMIFS('ON Data'!AA:AA,'ON Data'!$E:$E,6))</f>
        <v>0</v>
      </c>
      <c r="W20" s="215">
        <f xml:space="preserve">
IF($A$4&lt;=12,SUMIFS('ON Data'!AB:AB,'ON Data'!$D:$D,$A$4,'ON Data'!$E:$E,6),SUMIFS('ON Data'!AB:AB,'ON Data'!$E:$E,6))</f>
        <v>0</v>
      </c>
      <c r="X20" s="215">
        <f xml:space="preserve">
IF($A$4&lt;=12,SUMIFS('ON Data'!AC:AC,'ON Data'!$D:$D,$A$4,'ON Data'!$E:$E,6),SUMIFS('ON Data'!AC:AC,'ON Data'!$E:$E,6))</f>
        <v>0</v>
      </c>
      <c r="Y20" s="215">
        <f xml:space="preserve">
IF($A$4&lt;=12,SUMIFS('ON Data'!AD:AD,'ON Data'!$D:$D,$A$4,'ON Data'!$E:$E,6),SUMIFS('ON Data'!AD:AD,'ON Data'!$E:$E,6))</f>
        <v>0</v>
      </c>
      <c r="Z20" s="215">
        <f xml:space="preserve">
IF($A$4&lt;=12,SUMIFS('ON Data'!AE:AE,'ON Data'!$D:$D,$A$4,'ON Data'!$E:$E,6),SUMIFS('ON Data'!AE:AE,'ON Data'!$E:$E,6))</f>
        <v>0</v>
      </c>
      <c r="AA20" s="215">
        <f xml:space="preserve">
IF($A$4&lt;=12,SUMIFS('ON Data'!AF:AF,'ON Data'!$D:$D,$A$4,'ON Data'!$E:$E,6),SUMIFS('ON Data'!AF:AF,'ON Data'!$E:$E,6))</f>
        <v>0</v>
      </c>
      <c r="AB20" s="215">
        <f xml:space="preserve">
IF($A$4&lt;=12,SUMIFS('ON Data'!AG:AG,'ON Data'!$D:$D,$A$4,'ON Data'!$E:$E,6),SUMIFS('ON Data'!AG:AG,'ON Data'!$E:$E,6))</f>
        <v>0</v>
      </c>
      <c r="AC20" s="215">
        <f xml:space="preserve">
IF($A$4&lt;=12,SUMIFS('ON Data'!AH:AH,'ON Data'!$D:$D,$A$4,'ON Data'!$E:$E,6),SUMIFS('ON Data'!AH:AH,'ON Data'!$E:$E,6))</f>
        <v>778833</v>
      </c>
      <c r="AD20" s="215">
        <f xml:space="preserve">
IF($A$4&lt;=12,SUMIFS('ON Data'!AI:AI,'ON Data'!$D:$D,$A$4,'ON Data'!$E:$E,6),SUMIFS('ON Data'!AI:AI,'ON Data'!$E:$E,6))</f>
        <v>0</v>
      </c>
      <c r="AE20" s="215">
        <f xml:space="preserve">
IF($A$4&lt;=12,SUMIFS('ON Data'!AJ:AJ,'ON Data'!$D:$D,$A$4,'ON Data'!$E:$E,6),SUMIFS('ON Data'!AJ:AJ,'ON Data'!$E:$E,6))</f>
        <v>0</v>
      </c>
      <c r="AF20" s="215">
        <f xml:space="preserve">
IF($A$4&lt;=12,SUMIFS('ON Data'!AK:AK,'ON Data'!$D:$D,$A$4,'ON Data'!$E:$E,6),SUMIFS('ON Data'!AK:AK,'ON Data'!$E:$E,6))</f>
        <v>0</v>
      </c>
      <c r="AG20" s="359">
        <f xml:space="preserve">
IF($A$4&lt;=12,SUMIFS('ON Data'!AM:AM,'ON Data'!$D:$D,$A$4,'ON Data'!$E:$E,6),SUMIFS('ON Data'!AM:AM,'ON Data'!$E:$E,6))</f>
        <v>0</v>
      </c>
      <c r="AH20" s="364"/>
    </row>
    <row r="21" spans="1:34" ht="15" hidden="1" outlineLevel="1" thickBot="1" x14ac:dyDescent="0.35">
      <c r="A21" s="181" t="s">
        <v>62</v>
      </c>
      <c r="B21" s="201"/>
      <c r="C21" s="202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355"/>
      <c r="AH21" s="364"/>
    </row>
    <row r="22" spans="1:34" ht="15" hidden="1" outlineLevel="1" thickBot="1" x14ac:dyDescent="0.35">
      <c r="A22" s="181" t="s">
        <v>57</v>
      </c>
      <c r="B22" s="201"/>
      <c r="C22" s="202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355"/>
      <c r="AH22" s="364"/>
    </row>
    <row r="23" spans="1:34" ht="15" hidden="1" outlineLevel="1" thickBot="1" x14ac:dyDescent="0.35">
      <c r="A23" s="189" t="s">
        <v>52</v>
      </c>
      <c r="B23" s="204"/>
      <c r="C23" s="205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356"/>
      <c r="AH23" s="364"/>
    </row>
    <row r="24" spans="1:34" x14ac:dyDescent="0.3">
      <c r="A24" s="183" t="s">
        <v>148</v>
      </c>
      <c r="B24" s="230" t="s">
        <v>2</v>
      </c>
      <c r="C24" s="365" t="s">
        <v>159</v>
      </c>
      <c r="D24" s="340"/>
      <c r="E24" s="341"/>
      <c r="F24" s="341" t="s">
        <v>160</v>
      </c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60" t="s">
        <v>161</v>
      </c>
      <c r="AH24" s="364"/>
    </row>
    <row r="25" spans="1:34" x14ac:dyDescent="0.3">
      <c r="A25" s="184" t="s">
        <v>55</v>
      </c>
      <c r="B25" s="201">
        <f xml:space="preserve">
SUM(C25:AG25)</f>
        <v>8449</v>
      </c>
      <c r="C25" s="366">
        <f xml:space="preserve">
IF($A$4&lt;=12,SUMIFS('ON Data'!H:H,'ON Data'!$D:$D,$A$4,'ON Data'!$E:$E,10),SUMIFS('ON Data'!H:H,'ON Data'!$E:$E,10))</f>
        <v>0</v>
      </c>
      <c r="D25" s="342"/>
      <c r="E25" s="343"/>
      <c r="F25" s="343">
        <f xml:space="preserve">
IF($A$4&lt;=12,SUMIFS('ON Data'!K:K,'ON Data'!$D:$D,$A$4,'ON Data'!$E:$E,10),SUMIFS('ON Data'!K:K,'ON Data'!$E:$E,10))</f>
        <v>8449</v>
      </c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61">
        <f xml:space="preserve">
IF($A$4&lt;=12,SUMIFS('ON Data'!AM:AM,'ON Data'!$D:$D,$A$4,'ON Data'!$E:$E,10),SUMIFS('ON Data'!AM:AM,'ON Data'!$E:$E,10))</f>
        <v>0</v>
      </c>
      <c r="AH25" s="364"/>
    </row>
    <row r="26" spans="1:34" x14ac:dyDescent="0.3">
      <c r="A26" s="190" t="s">
        <v>158</v>
      </c>
      <c r="B26" s="210">
        <f xml:space="preserve">
SUM(C26:AG26)</f>
        <v>15088.5</v>
      </c>
      <c r="C26" s="366">
        <f xml:space="preserve">
IF($A$4&lt;=12,SUMIFS('ON Data'!H:H,'ON Data'!$D:$D,$A$4,'ON Data'!$E:$E,11),SUMIFS('ON Data'!H:H,'ON Data'!$E:$E,11))</f>
        <v>88.5</v>
      </c>
      <c r="D26" s="342"/>
      <c r="E26" s="343"/>
      <c r="F26" s="344">
        <f xml:space="preserve">
IF($A$4&lt;=12,SUMIFS('ON Data'!K:K,'ON Data'!$D:$D,$A$4,'ON Data'!$E:$E,11),SUMIFS('ON Data'!K:K,'ON Data'!$E:$E,11))</f>
        <v>15000</v>
      </c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4"/>
      <c r="R26" s="344"/>
      <c r="S26" s="344"/>
      <c r="T26" s="344"/>
      <c r="U26" s="344"/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61">
        <f xml:space="preserve">
IF($A$4&lt;=12,SUMIFS('ON Data'!AM:AM,'ON Data'!$D:$D,$A$4,'ON Data'!$E:$E,11),SUMIFS('ON Data'!AM:AM,'ON Data'!$E:$E,11))</f>
        <v>0</v>
      </c>
      <c r="AH26" s="364"/>
    </row>
    <row r="27" spans="1:34" x14ac:dyDescent="0.3">
      <c r="A27" s="190" t="s">
        <v>57</v>
      </c>
      <c r="B27" s="231">
        <f xml:space="preserve">
IF(B26=0,0,B25/B26)</f>
        <v>0.55996288564138252</v>
      </c>
      <c r="C27" s="367">
        <f xml:space="preserve">
IF(C26=0,0,C25/C26)</f>
        <v>0</v>
      </c>
      <c r="D27" s="345"/>
      <c r="E27" s="346"/>
      <c r="F27" s="346">
        <f xml:space="preserve">
IF(F26=0,0,F25/F26)</f>
        <v>0.56326666666666669</v>
      </c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362">
        <f xml:space="preserve">
IF(AG26=0,0,AG25/AG26)</f>
        <v>0</v>
      </c>
      <c r="AH27" s="364"/>
    </row>
    <row r="28" spans="1:34" ht="15" thickBot="1" x14ac:dyDescent="0.35">
      <c r="A28" s="190" t="s">
        <v>157</v>
      </c>
      <c r="B28" s="210">
        <f xml:space="preserve">
SUM(C28:AG28)</f>
        <v>6639.5</v>
      </c>
      <c r="C28" s="368">
        <f xml:space="preserve">
C26-C25</f>
        <v>88.5</v>
      </c>
      <c r="D28" s="347"/>
      <c r="E28" s="348"/>
      <c r="F28" s="348">
        <f xml:space="preserve">
F26-F25</f>
        <v>6551</v>
      </c>
      <c r="G28" s="348"/>
      <c r="H28" s="348"/>
      <c r="I28" s="348"/>
      <c r="J28" s="348"/>
      <c r="K28" s="348"/>
      <c r="L28" s="348"/>
      <c r="M28" s="348"/>
      <c r="N28" s="348"/>
      <c r="O28" s="348"/>
      <c r="P28" s="348"/>
      <c r="Q28" s="348"/>
      <c r="R28" s="348"/>
      <c r="S28" s="348"/>
      <c r="T28" s="348"/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8"/>
      <c r="AG28" s="363">
        <f xml:space="preserve">
AG26-AG25</f>
        <v>0</v>
      </c>
      <c r="AH28" s="364"/>
    </row>
    <row r="29" spans="1:34" x14ac:dyDescent="0.3">
      <c r="A29" s="191"/>
      <c r="B29" s="191"/>
      <c r="C29" s="192"/>
      <c r="D29" s="191"/>
      <c r="E29" s="191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1"/>
      <c r="AF29" s="191"/>
      <c r="AG29" s="191"/>
    </row>
    <row r="30" spans="1:34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155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7" t="s">
        <v>152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</row>
    <row r="33" spans="1:1" x14ac:dyDescent="0.3">
      <c r="A33" s="229" t="s">
        <v>162</v>
      </c>
    </row>
    <row r="34" spans="1:1" x14ac:dyDescent="0.3">
      <c r="A34" s="229" t="s">
        <v>163</v>
      </c>
    </row>
    <row r="35" spans="1:1" x14ac:dyDescent="0.3">
      <c r="A35" s="229" t="s">
        <v>164</v>
      </c>
    </row>
    <row r="36" spans="1:1" x14ac:dyDescent="0.3">
      <c r="A36" s="229" t="s">
        <v>165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1" priority="2" operator="greaterThan">
      <formula>1</formula>
    </cfRule>
  </conditionalFormatting>
  <conditionalFormatting sqref="C28 AG28 F28">
    <cfRule type="cellIs" dxfId="0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3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0" x14ac:dyDescent="0.3">
      <c r="A1" s="170" t="s">
        <v>885</v>
      </c>
    </row>
    <row r="2" spans="1:40" x14ac:dyDescent="0.3">
      <c r="A2" s="174" t="s">
        <v>194</v>
      </c>
    </row>
    <row r="3" spans="1:40" x14ac:dyDescent="0.3">
      <c r="A3" s="170" t="s">
        <v>122</v>
      </c>
      <c r="B3" s="195">
        <v>2014</v>
      </c>
      <c r="D3" s="171">
        <f>MAX(D5:D1048576)</f>
        <v>3</v>
      </c>
      <c r="F3" s="171">
        <f>SUMIF($E5:$E1048576,"&lt;10",F5:F1048576)</f>
        <v>3881500</v>
      </c>
      <c r="G3" s="171">
        <f t="shared" ref="G3:AN3" si="0">SUMIF($E5:$E1048576,"&lt;10",G5:G1048576)</f>
        <v>0</v>
      </c>
      <c r="H3" s="171">
        <f t="shared" si="0"/>
        <v>28065.499999999996</v>
      </c>
      <c r="I3" s="171">
        <f t="shared" si="0"/>
        <v>0</v>
      </c>
      <c r="J3" s="171">
        <f t="shared" si="0"/>
        <v>0</v>
      </c>
      <c r="K3" s="171">
        <f t="shared" si="0"/>
        <v>3056224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0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0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797210.5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0</v>
      </c>
      <c r="AM3" s="171">
        <f t="shared" si="0"/>
        <v>0</v>
      </c>
      <c r="AN3" s="171">
        <f t="shared" si="0"/>
        <v>0</v>
      </c>
    </row>
    <row r="4" spans="1:40" x14ac:dyDescent="0.3">
      <c r="A4" s="170" t="s">
        <v>123</v>
      </c>
      <c r="B4" s="195">
        <v>1</v>
      </c>
      <c r="C4" s="172" t="s">
        <v>4</v>
      </c>
      <c r="D4" s="173" t="s">
        <v>51</v>
      </c>
      <c r="E4" s="173" t="s">
        <v>117</v>
      </c>
      <c r="F4" s="173" t="s">
        <v>2</v>
      </c>
      <c r="G4" s="173" t="s">
        <v>118</v>
      </c>
      <c r="H4" s="173" t="s">
        <v>119</v>
      </c>
      <c r="I4" s="173" t="s">
        <v>120</v>
      </c>
      <c r="J4" s="173" t="s">
        <v>121</v>
      </c>
      <c r="K4" s="173">
        <v>305</v>
      </c>
      <c r="L4" s="173">
        <v>306</v>
      </c>
      <c r="M4" s="173">
        <v>408</v>
      </c>
      <c r="N4" s="173">
        <v>409</v>
      </c>
      <c r="O4" s="173">
        <v>410</v>
      </c>
      <c r="P4" s="173">
        <v>415</v>
      </c>
      <c r="Q4" s="173">
        <v>416</v>
      </c>
      <c r="R4" s="173">
        <v>418</v>
      </c>
      <c r="S4" s="173">
        <v>419</v>
      </c>
      <c r="T4" s="173">
        <v>420</v>
      </c>
      <c r="U4" s="173">
        <v>421</v>
      </c>
      <c r="V4" s="173">
        <v>522</v>
      </c>
      <c r="W4" s="173">
        <v>523</v>
      </c>
      <c r="X4" s="173">
        <v>524</v>
      </c>
      <c r="Y4" s="173">
        <v>525</v>
      </c>
      <c r="Z4" s="173">
        <v>526</v>
      </c>
      <c r="AA4" s="173">
        <v>527</v>
      </c>
      <c r="AB4" s="173">
        <v>528</v>
      </c>
      <c r="AC4" s="173">
        <v>629</v>
      </c>
      <c r="AD4" s="173">
        <v>630</v>
      </c>
      <c r="AE4" s="173">
        <v>636</v>
      </c>
      <c r="AF4" s="173">
        <v>637</v>
      </c>
      <c r="AG4" s="173">
        <v>640</v>
      </c>
      <c r="AH4" s="173">
        <v>642</v>
      </c>
      <c r="AI4" s="173">
        <v>743</v>
      </c>
      <c r="AJ4" s="173">
        <v>745</v>
      </c>
      <c r="AK4" s="173">
        <v>746</v>
      </c>
      <c r="AL4" s="173">
        <v>747</v>
      </c>
      <c r="AM4" s="173">
        <v>930</v>
      </c>
      <c r="AN4" s="173">
        <v>940</v>
      </c>
    </row>
    <row r="5" spans="1:40" x14ac:dyDescent="0.3">
      <c r="A5" s="170" t="s">
        <v>124</v>
      </c>
      <c r="B5" s="195">
        <v>2</v>
      </c>
      <c r="C5" s="170">
        <v>47</v>
      </c>
      <c r="D5" s="170">
        <v>1</v>
      </c>
      <c r="E5" s="170">
        <v>1</v>
      </c>
      <c r="F5" s="170">
        <v>53.9</v>
      </c>
      <c r="G5" s="170">
        <v>0</v>
      </c>
      <c r="H5" s="170">
        <v>0.1</v>
      </c>
      <c r="I5" s="170">
        <v>0</v>
      </c>
      <c r="J5" s="170">
        <v>0</v>
      </c>
      <c r="K5" s="170">
        <v>39.799999999999997</v>
      </c>
      <c r="L5" s="170">
        <v>0</v>
      </c>
      <c r="M5" s="170">
        <v>0</v>
      </c>
      <c r="N5" s="170">
        <v>0</v>
      </c>
      <c r="O5" s="170">
        <v>0</v>
      </c>
      <c r="P5" s="170">
        <v>0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0</v>
      </c>
      <c r="AD5" s="170">
        <v>0</v>
      </c>
      <c r="AE5" s="170">
        <v>0</v>
      </c>
      <c r="AF5" s="170">
        <v>0</v>
      </c>
      <c r="AG5" s="170">
        <v>0</v>
      </c>
      <c r="AH5" s="170">
        <v>14</v>
      </c>
      <c r="AI5" s="170">
        <v>0</v>
      </c>
      <c r="AJ5" s="170">
        <v>0</v>
      </c>
      <c r="AK5" s="170">
        <v>0</v>
      </c>
      <c r="AL5" s="170">
        <v>0</v>
      </c>
      <c r="AM5" s="170">
        <v>0</v>
      </c>
      <c r="AN5" s="170">
        <v>0</v>
      </c>
    </row>
    <row r="6" spans="1:40" x14ac:dyDescent="0.3">
      <c r="A6" s="170" t="s">
        <v>125</v>
      </c>
      <c r="B6" s="195">
        <v>3</v>
      </c>
      <c r="C6" s="170">
        <v>47</v>
      </c>
      <c r="D6" s="170">
        <v>1</v>
      </c>
      <c r="E6" s="170">
        <v>2</v>
      </c>
      <c r="F6" s="170">
        <v>8056.95</v>
      </c>
      <c r="G6" s="170">
        <v>0</v>
      </c>
      <c r="H6" s="170">
        <v>18.399999999999999</v>
      </c>
      <c r="I6" s="170">
        <v>0</v>
      </c>
      <c r="J6" s="170">
        <v>0</v>
      </c>
      <c r="K6" s="170">
        <v>5852.55</v>
      </c>
      <c r="L6" s="170">
        <v>0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70">
        <v>2186</v>
      </c>
      <c r="AI6" s="170">
        <v>0</v>
      </c>
      <c r="AJ6" s="170">
        <v>0</v>
      </c>
      <c r="AK6" s="170">
        <v>0</v>
      </c>
      <c r="AL6" s="170">
        <v>0</v>
      </c>
      <c r="AM6" s="170">
        <v>0</v>
      </c>
      <c r="AN6" s="170">
        <v>0</v>
      </c>
    </row>
    <row r="7" spans="1:40" x14ac:dyDescent="0.3">
      <c r="A7" s="170" t="s">
        <v>126</v>
      </c>
      <c r="B7" s="195">
        <v>4</v>
      </c>
      <c r="C7" s="170">
        <v>47</v>
      </c>
      <c r="D7" s="170">
        <v>1</v>
      </c>
      <c r="E7" s="170">
        <v>6</v>
      </c>
      <c r="F7" s="170">
        <v>1277664</v>
      </c>
      <c r="G7" s="170">
        <v>0</v>
      </c>
      <c r="H7" s="170">
        <v>9338</v>
      </c>
      <c r="I7" s="170">
        <v>0</v>
      </c>
      <c r="J7" s="170">
        <v>0</v>
      </c>
      <c r="K7" s="170">
        <v>1028829</v>
      </c>
      <c r="L7" s="170">
        <v>0</v>
      </c>
      <c r="M7" s="170">
        <v>0</v>
      </c>
      <c r="N7" s="170">
        <v>0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239497</v>
      </c>
      <c r="AI7" s="170">
        <v>0</v>
      </c>
      <c r="AJ7" s="170">
        <v>0</v>
      </c>
      <c r="AK7" s="170">
        <v>0</v>
      </c>
      <c r="AL7" s="170">
        <v>0</v>
      </c>
      <c r="AM7" s="170">
        <v>0</v>
      </c>
      <c r="AN7" s="170">
        <v>0</v>
      </c>
    </row>
    <row r="8" spans="1:40" x14ac:dyDescent="0.3">
      <c r="A8" s="170" t="s">
        <v>127</v>
      </c>
      <c r="B8" s="195">
        <v>5</v>
      </c>
      <c r="C8" s="170">
        <v>47</v>
      </c>
      <c r="D8" s="170">
        <v>1</v>
      </c>
      <c r="E8" s="170">
        <v>9</v>
      </c>
      <c r="F8" s="170">
        <v>5900</v>
      </c>
      <c r="G8" s="170">
        <v>0</v>
      </c>
      <c r="H8" s="170">
        <v>0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  <c r="O8" s="170">
        <v>0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5900</v>
      </c>
      <c r="AI8" s="170">
        <v>0</v>
      </c>
      <c r="AJ8" s="170">
        <v>0</v>
      </c>
      <c r="AK8" s="170">
        <v>0</v>
      </c>
      <c r="AL8" s="170">
        <v>0</v>
      </c>
      <c r="AM8" s="170">
        <v>0</v>
      </c>
      <c r="AN8" s="170">
        <v>0</v>
      </c>
    </row>
    <row r="9" spans="1:40" x14ac:dyDescent="0.3">
      <c r="A9" s="170" t="s">
        <v>128</v>
      </c>
      <c r="B9" s="195">
        <v>6</v>
      </c>
      <c r="C9" s="170">
        <v>47</v>
      </c>
      <c r="D9" s="170">
        <v>1</v>
      </c>
      <c r="E9" s="170">
        <v>10</v>
      </c>
      <c r="F9" s="170">
        <v>500</v>
      </c>
      <c r="G9" s="170">
        <v>0</v>
      </c>
      <c r="H9" s="170">
        <v>0</v>
      </c>
      <c r="I9" s="170">
        <v>0</v>
      </c>
      <c r="J9" s="170">
        <v>0</v>
      </c>
      <c r="K9" s="170">
        <v>500</v>
      </c>
      <c r="L9" s="170">
        <v>0</v>
      </c>
      <c r="M9" s="170">
        <v>0</v>
      </c>
      <c r="N9" s="170">
        <v>0</v>
      </c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0</v>
      </c>
      <c r="AN9" s="170">
        <v>0</v>
      </c>
    </row>
    <row r="10" spans="1:40" x14ac:dyDescent="0.3">
      <c r="A10" s="170" t="s">
        <v>129</v>
      </c>
      <c r="B10" s="195">
        <v>7</v>
      </c>
      <c r="C10" s="170">
        <v>47</v>
      </c>
      <c r="D10" s="170">
        <v>1</v>
      </c>
      <c r="E10" s="170">
        <v>11</v>
      </c>
      <c r="F10" s="170">
        <v>5029.5</v>
      </c>
      <c r="G10" s="170">
        <v>0</v>
      </c>
      <c r="H10" s="170">
        <v>29.5</v>
      </c>
      <c r="I10" s="170">
        <v>0</v>
      </c>
      <c r="J10" s="170">
        <v>0</v>
      </c>
      <c r="K10" s="170">
        <v>5000</v>
      </c>
      <c r="L10" s="170">
        <v>0</v>
      </c>
      <c r="M10" s="170">
        <v>0</v>
      </c>
      <c r="N10" s="170">
        <v>0</v>
      </c>
      <c r="O10" s="170">
        <v>0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0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0</v>
      </c>
      <c r="AM10" s="170">
        <v>0</v>
      </c>
      <c r="AN10" s="170">
        <v>0</v>
      </c>
    </row>
    <row r="11" spans="1:40" x14ac:dyDescent="0.3">
      <c r="A11" s="170" t="s">
        <v>130</v>
      </c>
      <c r="B11" s="195">
        <v>8</v>
      </c>
      <c r="C11" s="170">
        <v>47</v>
      </c>
      <c r="D11" s="170">
        <v>2</v>
      </c>
      <c r="E11" s="170">
        <v>1</v>
      </c>
      <c r="F11" s="170">
        <v>52.9</v>
      </c>
      <c r="G11" s="170">
        <v>0</v>
      </c>
      <c r="H11" s="170">
        <v>0.1</v>
      </c>
      <c r="I11" s="170">
        <v>0</v>
      </c>
      <c r="J11" s="170">
        <v>0</v>
      </c>
      <c r="K11" s="170">
        <v>38.799999999999997</v>
      </c>
      <c r="L11" s="170">
        <v>0</v>
      </c>
      <c r="M11" s="170">
        <v>0</v>
      </c>
      <c r="N11" s="170">
        <v>0</v>
      </c>
      <c r="O11" s="170">
        <v>0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0</v>
      </c>
      <c r="AH11" s="170">
        <v>14</v>
      </c>
      <c r="AI11" s="170">
        <v>0</v>
      </c>
      <c r="AJ11" s="170">
        <v>0</v>
      </c>
      <c r="AK11" s="170">
        <v>0</v>
      </c>
      <c r="AL11" s="170">
        <v>0</v>
      </c>
      <c r="AM11" s="170">
        <v>0</v>
      </c>
      <c r="AN11" s="170">
        <v>0</v>
      </c>
    </row>
    <row r="12" spans="1:40" x14ac:dyDescent="0.3">
      <c r="A12" s="170" t="s">
        <v>131</v>
      </c>
      <c r="B12" s="195">
        <v>9</v>
      </c>
      <c r="C12" s="170">
        <v>47</v>
      </c>
      <c r="D12" s="170">
        <v>2</v>
      </c>
      <c r="E12" s="170">
        <v>2</v>
      </c>
      <c r="F12" s="170">
        <v>7237.1</v>
      </c>
      <c r="G12" s="170">
        <v>0</v>
      </c>
      <c r="H12" s="170">
        <v>16</v>
      </c>
      <c r="I12" s="170">
        <v>0</v>
      </c>
      <c r="J12" s="170">
        <v>0</v>
      </c>
      <c r="K12" s="170">
        <v>5266.1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1955</v>
      </c>
      <c r="AI12" s="170">
        <v>0</v>
      </c>
      <c r="AJ12" s="170">
        <v>0</v>
      </c>
      <c r="AK12" s="170">
        <v>0</v>
      </c>
      <c r="AL12" s="170">
        <v>0</v>
      </c>
      <c r="AM12" s="170">
        <v>0</v>
      </c>
      <c r="AN12" s="170">
        <v>0</v>
      </c>
    </row>
    <row r="13" spans="1:40" x14ac:dyDescent="0.3">
      <c r="A13" s="170" t="s">
        <v>132</v>
      </c>
      <c r="B13" s="195">
        <v>10</v>
      </c>
      <c r="C13" s="170">
        <v>47</v>
      </c>
      <c r="D13" s="170">
        <v>2</v>
      </c>
      <c r="E13" s="170">
        <v>4</v>
      </c>
      <c r="F13" s="170">
        <v>170</v>
      </c>
      <c r="G13" s="170">
        <v>0</v>
      </c>
      <c r="H13" s="170">
        <v>0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  <c r="AF13" s="170">
        <v>0</v>
      </c>
      <c r="AG13" s="170">
        <v>0</v>
      </c>
      <c r="AH13" s="170">
        <v>170</v>
      </c>
      <c r="AI13" s="170">
        <v>0</v>
      </c>
      <c r="AJ13" s="170">
        <v>0</v>
      </c>
      <c r="AK13" s="170">
        <v>0</v>
      </c>
      <c r="AL13" s="170">
        <v>0</v>
      </c>
      <c r="AM13" s="170">
        <v>0</v>
      </c>
      <c r="AN13" s="170">
        <v>0</v>
      </c>
    </row>
    <row r="14" spans="1:40" x14ac:dyDescent="0.3">
      <c r="A14" s="170" t="s">
        <v>133</v>
      </c>
      <c r="B14" s="195">
        <v>11</v>
      </c>
      <c r="C14" s="170">
        <v>47</v>
      </c>
      <c r="D14" s="170">
        <v>2</v>
      </c>
      <c r="E14" s="170">
        <v>6</v>
      </c>
      <c r="F14" s="170">
        <v>1271771</v>
      </c>
      <c r="G14" s="170">
        <v>0</v>
      </c>
      <c r="H14" s="170">
        <v>9338</v>
      </c>
      <c r="I14" s="170">
        <v>0</v>
      </c>
      <c r="J14" s="170">
        <v>0</v>
      </c>
      <c r="K14" s="170">
        <v>991267</v>
      </c>
      <c r="L14" s="170">
        <v>0</v>
      </c>
      <c r="M14" s="170">
        <v>0</v>
      </c>
      <c r="N14" s="170">
        <v>0</v>
      </c>
      <c r="O14" s="170">
        <v>0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271166</v>
      </c>
      <c r="AI14" s="170">
        <v>0</v>
      </c>
      <c r="AJ14" s="170">
        <v>0</v>
      </c>
      <c r="AK14" s="170">
        <v>0</v>
      </c>
      <c r="AL14" s="170">
        <v>0</v>
      </c>
      <c r="AM14" s="170">
        <v>0</v>
      </c>
      <c r="AN14" s="170">
        <v>0</v>
      </c>
    </row>
    <row r="15" spans="1:40" x14ac:dyDescent="0.3">
      <c r="A15" s="170" t="s">
        <v>134</v>
      </c>
      <c r="B15" s="195">
        <v>12</v>
      </c>
      <c r="C15" s="170">
        <v>47</v>
      </c>
      <c r="D15" s="170">
        <v>2</v>
      </c>
      <c r="E15" s="170">
        <v>9</v>
      </c>
      <c r="F15" s="170">
        <v>7408</v>
      </c>
      <c r="G15" s="170">
        <v>0</v>
      </c>
      <c r="H15" s="170">
        <v>0</v>
      </c>
      <c r="I15" s="170">
        <v>0</v>
      </c>
      <c r="J15" s="170">
        <v>0</v>
      </c>
      <c r="K15" s="170">
        <v>7408</v>
      </c>
      <c r="L15" s="170">
        <v>0</v>
      </c>
      <c r="M15" s="170">
        <v>0</v>
      </c>
      <c r="N15" s="170">
        <v>0</v>
      </c>
      <c r="O15" s="170">
        <v>0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0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0</v>
      </c>
      <c r="AM15" s="170">
        <v>0</v>
      </c>
      <c r="AN15" s="170">
        <v>0</v>
      </c>
    </row>
    <row r="16" spans="1:40" x14ac:dyDescent="0.3">
      <c r="A16" s="170" t="s">
        <v>122</v>
      </c>
      <c r="B16" s="195">
        <v>2014</v>
      </c>
      <c r="C16" s="170">
        <v>47</v>
      </c>
      <c r="D16" s="170">
        <v>2</v>
      </c>
      <c r="E16" s="170">
        <v>10</v>
      </c>
      <c r="F16" s="170">
        <v>7949</v>
      </c>
      <c r="G16" s="170">
        <v>0</v>
      </c>
      <c r="H16" s="170">
        <v>0</v>
      </c>
      <c r="I16" s="170">
        <v>0</v>
      </c>
      <c r="J16" s="170">
        <v>0</v>
      </c>
      <c r="K16" s="170">
        <v>7949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0</v>
      </c>
      <c r="AM16" s="170">
        <v>0</v>
      </c>
      <c r="AN16" s="170">
        <v>0</v>
      </c>
    </row>
    <row r="17" spans="3:40" x14ac:dyDescent="0.3">
      <c r="C17" s="170">
        <v>47</v>
      </c>
      <c r="D17" s="170">
        <v>2</v>
      </c>
      <c r="E17" s="170">
        <v>11</v>
      </c>
      <c r="F17" s="170">
        <v>5029.5</v>
      </c>
      <c r="G17" s="170">
        <v>0</v>
      </c>
      <c r="H17" s="170">
        <v>29.5</v>
      </c>
      <c r="I17" s="170">
        <v>0</v>
      </c>
      <c r="J17" s="170">
        <v>0</v>
      </c>
      <c r="K17" s="170">
        <v>5000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0</v>
      </c>
      <c r="AN17" s="170">
        <v>0</v>
      </c>
    </row>
    <row r="18" spans="3:40" x14ac:dyDescent="0.3">
      <c r="C18" s="170">
        <v>47</v>
      </c>
      <c r="D18" s="170">
        <v>3</v>
      </c>
      <c r="E18" s="170">
        <v>1</v>
      </c>
      <c r="F18" s="170">
        <v>53.1</v>
      </c>
      <c r="G18" s="170">
        <v>0</v>
      </c>
      <c r="H18" s="170">
        <v>0.1</v>
      </c>
      <c r="I18" s="170">
        <v>0</v>
      </c>
      <c r="J18" s="170">
        <v>0</v>
      </c>
      <c r="K18" s="170">
        <v>39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0</v>
      </c>
      <c r="AD18" s="170">
        <v>0</v>
      </c>
      <c r="AE18" s="170">
        <v>0</v>
      </c>
      <c r="AF18" s="170">
        <v>0</v>
      </c>
      <c r="AG18" s="170">
        <v>0</v>
      </c>
      <c r="AH18" s="170">
        <v>14</v>
      </c>
      <c r="AI18" s="170">
        <v>0</v>
      </c>
      <c r="AJ18" s="170">
        <v>0</v>
      </c>
      <c r="AK18" s="170">
        <v>0</v>
      </c>
      <c r="AL18" s="170">
        <v>0</v>
      </c>
      <c r="AM18" s="170">
        <v>0</v>
      </c>
      <c r="AN18" s="170">
        <v>0</v>
      </c>
    </row>
    <row r="19" spans="3:40" x14ac:dyDescent="0.3">
      <c r="C19" s="170">
        <v>47</v>
      </c>
      <c r="D19" s="170">
        <v>3</v>
      </c>
      <c r="E19" s="170">
        <v>2</v>
      </c>
      <c r="F19" s="170">
        <v>7668.05</v>
      </c>
      <c r="G19" s="170">
        <v>0</v>
      </c>
      <c r="H19" s="170">
        <v>16.8</v>
      </c>
      <c r="I19" s="170">
        <v>0</v>
      </c>
      <c r="J19" s="170">
        <v>0</v>
      </c>
      <c r="K19" s="170">
        <v>5633.75</v>
      </c>
      <c r="L19" s="170">
        <v>0</v>
      </c>
      <c r="M19" s="170">
        <v>0</v>
      </c>
      <c r="N19" s="170">
        <v>0</v>
      </c>
      <c r="O19" s="170">
        <v>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2017.5</v>
      </c>
      <c r="AI19" s="170">
        <v>0</v>
      </c>
      <c r="AJ19" s="170">
        <v>0</v>
      </c>
      <c r="AK19" s="170">
        <v>0</v>
      </c>
      <c r="AL19" s="170">
        <v>0</v>
      </c>
      <c r="AM19" s="170">
        <v>0</v>
      </c>
      <c r="AN19" s="170">
        <v>0</v>
      </c>
    </row>
    <row r="20" spans="3:40" x14ac:dyDescent="0.3">
      <c r="C20" s="170">
        <v>47</v>
      </c>
      <c r="D20" s="170">
        <v>3</v>
      </c>
      <c r="E20" s="170">
        <v>4</v>
      </c>
      <c r="F20" s="170">
        <v>207</v>
      </c>
      <c r="G20" s="170">
        <v>0</v>
      </c>
      <c r="H20" s="170">
        <v>0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0</v>
      </c>
      <c r="O20" s="170">
        <v>0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207</v>
      </c>
      <c r="AI20" s="170">
        <v>0</v>
      </c>
      <c r="AJ20" s="170">
        <v>0</v>
      </c>
      <c r="AK20" s="170">
        <v>0</v>
      </c>
      <c r="AL20" s="170">
        <v>0</v>
      </c>
      <c r="AM20" s="170">
        <v>0</v>
      </c>
      <c r="AN20" s="170">
        <v>0</v>
      </c>
    </row>
    <row r="21" spans="3:40" x14ac:dyDescent="0.3">
      <c r="C21" s="170">
        <v>47</v>
      </c>
      <c r="D21" s="170">
        <v>3</v>
      </c>
      <c r="E21" s="170">
        <v>6</v>
      </c>
      <c r="F21" s="170">
        <v>1281950</v>
      </c>
      <c r="G21" s="170">
        <v>0</v>
      </c>
      <c r="H21" s="170">
        <v>9338</v>
      </c>
      <c r="I21" s="170">
        <v>0</v>
      </c>
      <c r="J21" s="170">
        <v>0</v>
      </c>
      <c r="K21" s="170">
        <v>1004442</v>
      </c>
      <c r="L21" s="170">
        <v>0</v>
      </c>
      <c r="M21" s="170">
        <v>0</v>
      </c>
      <c r="N21" s="170">
        <v>0</v>
      </c>
      <c r="O21" s="170">
        <v>0</v>
      </c>
      <c r="P21" s="170">
        <v>0</v>
      </c>
      <c r="Q21" s="170">
        <v>0</v>
      </c>
      <c r="R21" s="170">
        <v>0</v>
      </c>
      <c r="S21" s="170">
        <v>0</v>
      </c>
      <c r="T21" s="170">
        <v>0</v>
      </c>
      <c r="U21" s="170">
        <v>0</v>
      </c>
      <c r="V21" s="170">
        <v>0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  <c r="AC21" s="170">
        <v>0</v>
      </c>
      <c r="AD21" s="170">
        <v>0</v>
      </c>
      <c r="AE21" s="170">
        <v>0</v>
      </c>
      <c r="AF21" s="170">
        <v>0</v>
      </c>
      <c r="AG21" s="170">
        <v>0</v>
      </c>
      <c r="AH21" s="170">
        <v>268170</v>
      </c>
      <c r="AI21" s="170">
        <v>0</v>
      </c>
      <c r="AJ21" s="170">
        <v>0</v>
      </c>
      <c r="AK21" s="170">
        <v>0</v>
      </c>
      <c r="AL21" s="170">
        <v>0</v>
      </c>
      <c r="AM21" s="170">
        <v>0</v>
      </c>
      <c r="AN21" s="170">
        <v>0</v>
      </c>
    </row>
    <row r="22" spans="3:40" x14ac:dyDescent="0.3">
      <c r="C22" s="170">
        <v>47</v>
      </c>
      <c r="D22" s="170">
        <v>3</v>
      </c>
      <c r="E22" s="170">
        <v>9</v>
      </c>
      <c r="F22" s="170">
        <v>13308</v>
      </c>
      <c r="G22" s="170">
        <v>0</v>
      </c>
      <c r="H22" s="170">
        <v>0</v>
      </c>
      <c r="I22" s="170">
        <v>0</v>
      </c>
      <c r="J22" s="170">
        <v>0</v>
      </c>
      <c r="K22" s="170">
        <v>7408</v>
      </c>
      <c r="L22" s="170">
        <v>0</v>
      </c>
      <c r="M22" s="170">
        <v>0</v>
      </c>
      <c r="N22" s="170">
        <v>0</v>
      </c>
      <c r="O22" s="170">
        <v>0</v>
      </c>
      <c r="P22" s="170">
        <v>0</v>
      </c>
      <c r="Q22" s="170">
        <v>0</v>
      </c>
      <c r="R22" s="170">
        <v>0</v>
      </c>
      <c r="S22" s="170">
        <v>0</v>
      </c>
      <c r="T22" s="170">
        <v>0</v>
      </c>
      <c r="U22" s="170">
        <v>0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5900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0</v>
      </c>
    </row>
    <row r="23" spans="3:40" x14ac:dyDescent="0.3">
      <c r="C23" s="170">
        <v>47</v>
      </c>
      <c r="D23" s="170">
        <v>3</v>
      </c>
      <c r="E23" s="170">
        <v>11</v>
      </c>
      <c r="F23" s="170">
        <v>5029.5</v>
      </c>
      <c r="G23" s="170">
        <v>0</v>
      </c>
      <c r="H23" s="170">
        <v>29.5</v>
      </c>
      <c r="I23" s="170">
        <v>0</v>
      </c>
      <c r="J23" s="170">
        <v>0</v>
      </c>
      <c r="K23" s="170">
        <v>5000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70">
        <v>0</v>
      </c>
      <c r="AC23" s="170">
        <v>0</v>
      </c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0</v>
      </c>
      <c r="AK23" s="170">
        <v>0</v>
      </c>
      <c r="AL23" s="170">
        <v>0</v>
      </c>
      <c r="AM23" s="170">
        <v>0</v>
      </c>
      <c r="AN23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44" t="s">
        <v>73</v>
      </c>
      <c r="B1" s="244"/>
      <c r="C1" s="245"/>
      <c r="D1" s="245"/>
      <c r="E1" s="245"/>
    </row>
    <row r="2" spans="1:5" ht="14.4" customHeight="1" thickBot="1" x14ac:dyDescent="0.35">
      <c r="A2" s="174" t="s">
        <v>194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16434</v>
      </c>
      <c r="D4" s="124">
        <f ca="1">IF(ISERROR(VLOOKUP("Náklady celkem",INDIRECT("HI!$A:$G"),5,0)),0,VLOOKUP("Náklady celkem",INDIRECT("HI!$A:$G"),5,0))</f>
        <v>19690.504480000032</v>
      </c>
      <c r="E4" s="125">
        <f ca="1">IF(C4=0,0,D4/C4)</f>
        <v>1.1981565340148492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223.5</v>
      </c>
      <c r="D7" s="132">
        <f>IF(ISERROR(HI!E5),"",HI!E5)</f>
        <v>208.88022000000001</v>
      </c>
      <c r="E7" s="129">
        <f t="shared" ref="E7:E11" si="0">IF(C7=0,0,D7/C7)</f>
        <v>0.93458711409395978</v>
      </c>
    </row>
    <row r="8" spans="1:5" ht="14.4" customHeight="1" x14ac:dyDescent="0.3">
      <c r="A8" s="134" t="s">
        <v>83</v>
      </c>
      <c r="B8" s="131"/>
      <c r="C8" s="132"/>
      <c r="D8" s="132"/>
      <c r="E8" s="129"/>
    </row>
    <row r="9" spans="1:5" ht="14.4" customHeight="1" x14ac:dyDescent="0.3">
      <c r="A9" s="134" t="s">
        <v>84</v>
      </c>
      <c r="B9" s="131"/>
      <c r="C9" s="132"/>
      <c r="D9" s="132"/>
      <c r="E9" s="129"/>
    </row>
    <row r="10" spans="1:5" ht="14.4" customHeight="1" x14ac:dyDescent="0.3">
      <c r="A10" s="135" t="s">
        <v>88</v>
      </c>
      <c r="B10" s="131"/>
      <c r="C10" s="128"/>
      <c r="D10" s="128"/>
      <c r="E10" s="129"/>
    </row>
    <row r="11" spans="1:5" ht="14.4" customHeight="1" x14ac:dyDescent="0.3">
      <c r="A11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1" t="s">
        <v>66</v>
      </c>
      <c r="C11" s="132">
        <f>IF(ISERROR(HI!F6),"",HI!F6)</f>
        <v>2252</v>
      </c>
      <c r="D11" s="132">
        <f>IF(ISERROR(HI!E6),"",HI!E6)</f>
        <v>1838.6437100000112</v>
      </c>
      <c r="E11" s="129">
        <f t="shared" si="0"/>
        <v>0.81644924955595521</v>
      </c>
    </row>
    <row r="12" spans="1:5" ht="14.4" customHeight="1" thickBot="1" x14ac:dyDescent="0.35">
      <c r="A12" s="137" t="str">
        <f>HYPERLINK("#HI!A1","Osobní náklady")</f>
        <v>Osobní náklady</v>
      </c>
      <c r="B12" s="131"/>
      <c r="C12" s="128">
        <f ca="1">IF(ISERROR(VLOOKUP("Osobní náklady (Kč) *",INDIRECT("HI!$A:$G"),6,0)),0,VLOOKUP("Osobní náklady (Kč) *",INDIRECT("HI!$A:$G"),6,0))</f>
        <v>5270.25</v>
      </c>
      <c r="D12" s="128">
        <f ca="1">IF(ISERROR(VLOOKUP("Osobní náklady (Kč) *",INDIRECT("HI!$A:$G"),5,0)),0,VLOOKUP("Osobní náklady (Kč) *",INDIRECT("HI!$A:$G"),5,0))</f>
        <v>5166.2164300000095</v>
      </c>
      <c r="E12" s="129">
        <f ca="1">IF(C12=0,0,D12/C12)</f>
        <v>0.98026022105213406</v>
      </c>
    </row>
    <row r="13" spans="1:5" ht="14.4" customHeight="1" thickBot="1" x14ac:dyDescent="0.35">
      <c r="A13" s="141"/>
      <c r="B13" s="142"/>
      <c r="C13" s="143"/>
      <c r="D13" s="143"/>
      <c r="E13" s="144"/>
    </row>
    <row r="14" spans="1:5" ht="14.4" customHeight="1" thickBot="1" x14ac:dyDescent="0.35">
      <c r="A14" s="145" t="str">
        <f>HYPERLINK("#HI!A1","VÝNOSY CELKEM (v tisících)")</f>
        <v>VÝNOSY CELKEM (v tisících)</v>
      </c>
      <c r="B14" s="146"/>
      <c r="C14" s="147">
        <f ca="1">IF(ISERROR(VLOOKUP("Výnosy celkem",INDIRECT("HI!$A:$G"),6,0)),0,VLOOKUP("Výnosy celkem",INDIRECT("HI!$A:$G"),6,0))</f>
        <v>0</v>
      </c>
      <c r="D14" s="147">
        <f ca="1">IF(ISERROR(VLOOKUP("Výnosy celkem",INDIRECT("HI!$A:$G"),5,0)),0,VLOOKUP("Výnosy celkem",INDIRECT("HI!$A:$G"),5,0))</f>
        <v>0</v>
      </c>
      <c r="E14" s="148">
        <f t="shared" ref="E14:E15" ca="1" si="1">IF(C14=0,0,D14/C14)</f>
        <v>0</v>
      </c>
    </row>
    <row r="15" spans="1:5" ht="14.4" customHeight="1" x14ac:dyDescent="0.3">
      <c r="A15" s="149" t="str">
        <f>HYPERLINK("#HI!A1","Ambulance (body za výkony + Kč za ZUM a ZULP)")</f>
        <v>Ambulance (body za výkony + Kč za ZUM a ZULP)</v>
      </c>
      <c r="B15" s="127"/>
      <c r="C15" s="128">
        <f ca="1">IF(ISERROR(VLOOKUP("Ambulance *",INDIRECT("HI!$A:$G"),6,0)),0,VLOOKUP("Ambulance *",INDIRECT("HI!$A:$G"),6,0))</f>
        <v>0</v>
      </c>
      <c r="D15" s="128">
        <f ca="1">IF(ISERROR(VLOOKUP("Ambulance *",INDIRECT("HI!$A:$G"),5,0)),0,VLOOKUP("Ambulance *",INDIRECT("HI!$A:$G"),5,0))</f>
        <v>0</v>
      </c>
      <c r="E15" s="129">
        <f t="shared" ca="1" si="1"/>
        <v>0</v>
      </c>
    </row>
    <row r="16" spans="1:5" ht="14.4" customHeight="1" x14ac:dyDescent="0.3">
      <c r="A16" s="150" t="str">
        <f>HYPERLINK("#HI!A1","Hospitalizace (casemix * 30000)")</f>
        <v>Hospitalizace (casemix * 30000)</v>
      </c>
      <c r="B16" s="131"/>
      <c r="C16" s="128">
        <f ca="1">IF(ISERROR(VLOOKUP("Hospitalizace *",INDIRECT("HI!$A:$G"),6,0)),0,VLOOKUP("Hospitalizace *",INDIRECT("HI!$A:$G"),6,0))</f>
        <v>0</v>
      </c>
      <c r="D16" s="128">
        <f ca="1">IF(ISERROR(VLOOKUP("Hospitalizace *",INDIRECT("HI!$A:$G"),5,0)),0,VLOOKUP("Hospitalizace *",INDIRECT("HI!$A:$G"),5,0))</f>
        <v>0</v>
      </c>
      <c r="E16" s="129">
        <f ca="1">IF(C16=0,0,D16/C16)</f>
        <v>0</v>
      </c>
    </row>
    <row r="17" spans="1:5" ht="14.4" customHeight="1" thickBot="1" x14ac:dyDescent="0.35">
      <c r="A17" s="151" t="s">
        <v>85</v>
      </c>
      <c r="B17" s="138"/>
      <c r="C17" s="139"/>
      <c r="D17" s="139"/>
      <c r="E17" s="140"/>
    </row>
    <row r="18" spans="1:5" ht="14.4" customHeight="1" thickBot="1" x14ac:dyDescent="0.35">
      <c r="A18" s="152"/>
      <c r="B18" s="153"/>
      <c r="C18" s="154"/>
      <c r="D18" s="154"/>
      <c r="E18" s="155"/>
    </row>
    <row r="19" spans="1:5" ht="14.4" customHeight="1" thickBot="1" x14ac:dyDescent="0.35">
      <c r="A19" s="156" t="s">
        <v>86</v>
      </c>
      <c r="B19" s="157"/>
      <c r="C19" s="158"/>
      <c r="D19" s="158"/>
      <c r="E19" s="159"/>
    </row>
  </sheetData>
  <mergeCells count="1">
    <mergeCell ref="A1:E1"/>
  </mergeCells>
  <conditionalFormatting sqref="E5">
    <cfRule type="cellIs" dxfId="45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3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2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6">
    <cfRule type="cellIs" dxfId="41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0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9" priority="16" operator="lessThan">
      <formula>1</formula>
    </cfRule>
  </conditionalFormatting>
  <conditionalFormatting sqref="E14">
    <cfRule type="iconSet" priority="48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38" priority="53" operator="greaterThan">
      <formula>1</formula>
    </cfRule>
    <cfRule type="iconSet" priority="5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44" t="s">
        <v>76</v>
      </c>
      <c r="B1" s="244"/>
      <c r="C1" s="244"/>
      <c r="D1" s="244"/>
      <c r="E1" s="244"/>
      <c r="F1" s="244"/>
      <c r="G1" s="245"/>
      <c r="H1" s="245"/>
    </row>
    <row r="2" spans="1:8" ht="14.4" customHeight="1" thickBot="1" x14ac:dyDescent="0.35">
      <c r="A2" s="174" t="s">
        <v>194</v>
      </c>
      <c r="B2" s="77"/>
      <c r="C2" s="77"/>
      <c r="D2" s="77"/>
      <c r="E2" s="77"/>
      <c r="F2" s="77"/>
    </row>
    <row r="3" spans="1:8" ht="14.4" customHeight="1" x14ac:dyDescent="0.3">
      <c r="A3" s="246"/>
      <c r="B3" s="73">
        <v>2012</v>
      </c>
      <c r="C3" s="40">
        <v>2013</v>
      </c>
      <c r="D3" s="7"/>
      <c r="E3" s="250">
        <v>2014</v>
      </c>
      <c r="F3" s="251"/>
      <c r="G3" s="251"/>
      <c r="H3" s="252"/>
    </row>
    <row r="4" spans="1:8" ht="14.4" customHeight="1" thickBot="1" x14ac:dyDescent="0.35">
      <c r="A4" s="247"/>
      <c r="B4" s="248" t="s">
        <v>55</v>
      </c>
      <c r="C4" s="249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186.72201000000001</v>
      </c>
      <c r="C5" s="29">
        <v>204.44663</v>
      </c>
      <c r="D5" s="8"/>
      <c r="E5" s="83">
        <v>208.88022000000001</v>
      </c>
      <c r="F5" s="28">
        <v>223.5</v>
      </c>
      <c r="G5" s="82">
        <f>E5-F5</f>
        <v>-14.619779999999992</v>
      </c>
      <c r="H5" s="88">
        <f>IF(F5&lt;0.00000001,"",E5/F5)</f>
        <v>0.93458711409395978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419.77714999999989</v>
      </c>
      <c r="C6" s="31">
        <v>2274.4905800000001</v>
      </c>
      <c r="D6" s="8"/>
      <c r="E6" s="84">
        <v>1838.6437100000112</v>
      </c>
      <c r="F6" s="30">
        <v>2252</v>
      </c>
      <c r="G6" s="85">
        <f>E6-F6</f>
        <v>-413.3562899999888</v>
      </c>
      <c r="H6" s="89">
        <f>IF(F6&lt;0.00000001,"",E6/F6)</f>
        <v>0.81644924955595521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5505.7429199999997</v>
      </c>
      <c r="C7" s="31">
        <v>5249.2529699999996</v>
      </c>
      <c r="D7" s="8"/>
      <c r="E7" s="84">
        <v>5166.2164300000095</v>
      </c>
      <c r="F7" s="30">
        <v>5270.25</v>
      </c>
      <c r="G7" s="85">
        <f>E7-F7</f>
        <v>-104.0335699999905</v>
      </c>
      <c r="H7" s="89">
        <f>IF(F7&lt;0.00000001,"",E7/F7)</f>
        <v>0.98026022105213406</v>
      </c>
    </row>
    <row r="8" spans="1:8" ht="14.4" customHeight="1" thickBot="1" x14ac:dyDescent="0.35">
      <c r="A8" s="1" t="s">
        <v>58</v>
      </c>
      <c r="B8" s="11">
        <v>8994.3984000000019</v>
      </c>
      <c r="C8" s="33">
        <v>8564.0238799999988</v>
      </c>
      <c r="D8" s="8"/>
      <c r="E8" s="86">
        <v>12476.764120000011</v>
      </c>
      <c r="F8" s="32">
        <v>8688.25</v>
      </c>
      <c r="G8" s="87">
        <f>E8-F8</f>
        <v>3788.5141200000107</v>
      </c>
      <c r="H8" s="90">
        <f>IF(F8&lt;0.00000001,"",E8/F8)</f>
        <v>1.4360503116277743</v>
      </c>
    </row>
    <row r="9" spans="1:8" ht="14.4" customHeight="1" thickBot="1" x14ac:dyDescent="0.35">
      <c r="A9" s="2" t="s">
        <v>59</v>
      </c>
      <c r="B9" s="3">
        <v>15106.640480000002</v>
      </c>
      <c r="C9" s="35">
        <v>16292.214059999998</v>
      </c>
      <c r="D9" s="8"/>
      <c r="E9" s="3">
        <v>19690.504480000032</v>
      </c>
      <c r="F9" s="34">
        <v>16434</v>
      </c>
      <c r="G9" s="34">
        <f>E9-F9</f>
        <v>3256.5044800000323</v>
      </c>
      <c r="H9" s="91">
        <f>IF(F9&lt;0.00000001,"",E9/F9)</f>
        <v>1.1981565340148492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7" t="s">
        <v>151</v>
      </c>
      <c r="B18" s="228"/>
      <c r="C18" s="228"/>
      <c r="D18" s="228"/>
      <c r="E18" s="228"/>
      <c r="F18" s="228"/>
      <c r="G18" s="228"/>
      <c r="H18" s="228"/>
    </row>
    <row r="19" spans="1:8" x14ac:dyDescent="0.3">
      <c r="A19" s="226" t="s">
        <v>150</v>
      </c>
      <c r="B19" s="228"/>
      <c r="C19" s="228"/>
      <c r="D19" s="228"/>
      <c r="E19" s="228"/>
      <c r="F19" s="228"/>
      <c r="G19" s="228"/>
      <c r="H19" s="228"/>
    </row>
    <row r="20" spans="1:8" ht="14.4" customHeight="1" x14ac:dyDescent="0.3">
      <c r="A20" s="80" t="s">
        <v>91</v>
      </c>
    </row>
    <row r="21" spans="1:8" ht="14.4" customHeight="1" x14ac:dyDescent="0.3">
      <c r="A21" s="80" t="s">
        <v>92</v>
      </c>
    </row>
    <row r="22" spans="1:8" ht="14.4" customHeight="1" x14ac:dyDescent="0.3">
      <c r="A22" s="81" t="s">
        <v>93</v>
      </c>
    </row>
    <row r="23" spans="1:8" ht="14.4" customHeight="1" x14ac:dyDescent="0.3">
      <c r="A23" s="81" t="s">
        <v>94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7" priority="4" operator="greaterThan">
      <formula>0</formula>
    </cfRule>
  </conditionalFormatting>
  <conditionalFormatting sqref="G11:G13 G15">
    <cfRule type="cellIs" dxfId="36" priority="3" operator="lessThan">
      <formula>0</formula>
    </cfRule>
  </conditionalFormatting>
  <conditionalFormatting sqref="H5:H9">
    <cfRule type="cellIs" dxfId="35" priority="2" operator="greaterThan">
      <formula>1</formula>
    </cfRule>
  </conditionalFormatting>
  <conditionalFormatting sqref="H11:H13 H15">
    <cfRule type="cellIs" dxfId="3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53" t="s">
        <v>196</v>
      </c>
      <c r="B1" s="253"/>
      <c r="C1" s="253"/>
      <c r="D1" s="253"/>
      <c r="E1" s="253"/>
      <c r="F1" s="253"/>
      <c r="G1" s="253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7" s="160" customFormat="1" ht="14.4" customHeight="1" thickBot="1" x14ac:dyDescent="0.3">
      <c r="A2" s="174" t="s">
        <v>194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54" t="s">
        <v>13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104"/>
      <c r="Q3" s="106"/>
    </row>
    <row r="4" spans="1:17" ht="14.4" customHeight="1" x14ac:dyDescent="0.3">
      <c r="A4" s="59"/>
      <c r="B4" s="20">
        <v>2014</v>
      </c>
      <c r="C4" s="105" t="s">
        <v>14</v>
      </c>
      <c r="D4" s="95" t="s">
        <v>96</v>
      </c>
      <c r="E4" s="95" t="s">
        <v>97</v>
      </c>
      <c r="F4" s="95" t="s">
        <v>98</v>
      </c>
      <c r="G4" s="95" t="s">
        <v>99</v>
      </c>
      <c r="H4" s="95" t="s">
        <v>100</v>
      </c>
      <c r="I4" s="95" t="s">
        <v>101</v>
      </c>
      <c r="J4" s="95" t="s">
        <v>102</v>
      </c>
      <c r="K4" s="95" t="s">
        <v>103</v>
      </c>
      <c r="L4" s="95" t="s">
        <v>104</v>
      </c>
      <c r="M4" s="95" t="s">
        <v>105</v>
      </c>
      <c r="N4" s="95" t="s">
        <v>106</v>
      </c>
      <c r="O4" s="95" t="s">
        <v>107</v>
      </c>
      <c r="P4" s="256" t="s">
        <v>2</v>
      </c>
      <c r="Q4" s="257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1.4821969375237396E-323</v>
      </c>
      <c r="Q6" s="67" t="s">
        <v>195</v>
      </c>
    </row>
    <row r="7" spans="1:17" ht="14.4" customHeight="1" x14ac:dyDescent="0.3">
      <c r="A7" s="15" t="s">
        <v>19</v>
      </c>
      <c r="B7" s="46">
        <v>893.80586841480897</v>
      </c>
      <c r="C7" s="47">
        <v>74.483822367900004</v>
      </c>
      <c r="D7" s="47">
        <v>63.657159999999998</v>
      </c>
      <c r="E7" s="47">
        <v>69.730680000000007</v>
      </c>
      <c r="F7" s="47">
        <v>75.492379999999997</v>
      </c>
      <c r="G7" s="47">
        <v>4.9406564584124654E-324</v>
      </c>
      <c r="H7" s="47">
        <v>4.9406564584124654E-324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208.88022000000001</v>
      </c>
      <c r="Q7" s="68">
        <v>0.93479010322599998</v>
      </c>
    </row>
    <row r="8" spans="1:17" ht="14.4" customHeight="1" x14ac:dyDescent="0.3">
      <c r="A8" s="15" t="s">
        <v>20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1.4821969375237396E-323</v>
      </c>
      <c r="Q8" s="68" t="s">
        <v>195</v>
      </c>
    </row>
    <row r="9" spans="1:17" ht="14.4" customHeight="1" x14ac:dyDescent="0.3">
      <c r="A9" s="15" t="s">
        <v>21</v>
      </c>
      <c r="B9" s="46">
        <v>9007.6525947934806</v>
      </c>
      <c r="C9" s="47">
        <v>750.63771623279001</v>
      </c>
      <c r="D9" s="47">
        <v>1760.93065000001</v>
      </c>
      <c r="E9" s="47">
        <v>10.653029999998999</v>
      </c>
      <c r="F9" s="47">
        <v>67.060029999999998</v>
      </c>
      <c r="G9" s="47">
        <v>4.9406564584124654E-324</v>
      </c>
      <c r="H9" s="47">
        <v>4.9406564584124654E-324</v>
      </c>
      <c r="I9" s="47">
        <v>4.9406564584124654E-324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1838.6437100000101</v>
      </c>
      <c r="Q9" s="68">
        <v>0.81648073819400002</v>
      </c>
    </row>
    <row r="10" spans="1:17" ht="14.4" customHeight="1" x14ac:dyDescent="0.3">
      <c r="A10" s="15" t="s">
        <v>22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1.4821969375237396E-323</v>
      </c>
      <c r="Q10" s="68" t="s">
        <v>195</v>
      </c>
    </row>
    <row r="11" spans="1:17" ht="14.4" customHeight="1" x14ac:dyDescent="0.3">
      <c r="A11" s="15" t="s">
        <v>23</v>
      </c>
      <c r="B11" s="46">
        <v>887.71794264222001</v>
      </c>
      <c r="C11" s="47">
        <v>73.976495220185001</v>
      </c>
      <c r="D11" s="47">
        <v>47.492829999999998</v>
      </c>
      <c r="E11" s="47">
        <v>70.69744</v>
      </c>
      <c r="F11" s="47">
        <v>91.757409999999993</v>
      </c>
      <c r="G11" s="47">
        <v>4.9406564584124654E-324</v>
      </c>
      <c r="H11" s="47">
        <v>4.9406564584124654E-324</v>
      </c>
      <c r="I11" s="47">
        <v>4.9406564584124654E-324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209.94767999999999</v>
      </c>
      <c r="Q11" s="68">
        <v>0.94601075370900001</v>
      </c>
    </row>
    <row r="12" spans="1:17" ht="14.4" customHeight="1" x14ac:dyDescent="0.3">
      <c r="A12" s="15" t="s">
        <v>24</v>
      </c>
      <c r="B12" s="46">
        <v>204.45842956420501</v>
      </c>
      <c r="C12" s="47">
        <v>17.038202463683</v>
      </c>
      <c r="D12" s="47">
        <v>8.3023600000000002</v>
      </c>
      <c r="E12" s="47">
        <v>23.62463</v>
      </c>
      <c r="F12" s="47">
        <v>16.039059999999999</v>
      </c>
      <c r="G12" s="47">
        <v>4.9406564584124654E-324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47.966050000000003</v>
      </c>
      <c r="Q12" s="68">
        <v>0.93840200381500005</v>
      </c>
    </row>
    <row r="13" spans="1:17" ht="14.4" customHeight="1" x14ac:dyDescent="0.3">
      <c r="A13" s="15" t="s">
        <v>25</v>
      </c>
      <c r="B13" s="46">
        <v>5975.3778539409104</v>
      </c>
      <c r="C13" s="47">
        <v>497.94815449507598</v>
      </c>
      <c r="D13" s="47">
        <v>444.53297000000202</v>
      </c>
      <c r="E13" s="47">
        <v>469.63414999999998</v>
      </c>
      <c r="F13" s="47">
        <v>495.48297000000002</v>
      </c>
      <c r="G13" s="47">
        <v>4.9406564584124654E-324</v>
      </c>
      <c r="H13" s="47">
        <v>4.9406564584124654E-324</v>
      </c>
      <c r="I13" s="47">
        <v>4.9406564584124654E-324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1409.6500900000001</v>
      </c>
      <c r="Q13" s="68">
        <v>0.94363913008099998</v>
      </c>
    </row>
    <row r="14" spans="1:17" ht="14.4" customHeight="1" x14ac:dyDescent="0.3">
      <c r="A14" s="15" t="s">
        <v>26</v>
      </c>
      <c r="B14" s="46">
        <v>2162.72153689896</v>
      </c>
      <c r="C14" s="47">
        <v>180.22679474157999</v>
      </c>
      <c r="D14" s="47">
        <v>224.89600000000101</v>
      </c>
      <c r="E14" s="47">
        <v>182.68</v>
      </c>
      <c r="F14" s="47">
        <v>165.62799999999999</v>
      </c>
      <c r="G14" s="47">
        <v>4.9406564584124654E-324</v>
      </c>
      <c r="H14" s="47">
        <v>4.9406564584124654E-324</v>
      </c>
      <c r="I14" s="47">
        <v>4.9406564584124654E-324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573.20400000000097</v>
      </c>
      <c r="Q14" s="68">
        <v>1.0601531269190001</v>
      </c>
    </row>
    <row r="15" spans="1:17" ht="14.4" customHeight="1" x14ac:dyDescent="0.3">
      <c r="A15" s="15" t="s">
        <v>27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1.4821969375237396E-323</v>
      </c>
      <c r="Q15" s="68" t="s">
        <v>195</v>
      </c>
    </row>
    <row r="16" spans="1:17" ht="14.4" customHeight="1" x14ac:dyDescent="0.3">
      <c r="A16" s="15" t="s">
        <v>28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1.4821969375237396E-323</v>
      </c>
      <c r="Q16" s="68" t="s">
        <v>195</v>
      </c>
    </row>
    <row r="17" spans="1:17" ht="14.4" customHeight="1" x14ac:dyDescent="0.3">
      <c r="A17" s="15" t="s">
        <v>29</v>
      </c>
      <c r="B17" s="46">
        <v>1310.4887640844299</v>
      </c>
      <c r="C17" s="47">
        <v>109.20739700703599</v>
      </c>
      <c r="D17" s="47">
        <v>86.045259999999999</v>
      </c>
      <c r="E17" s="47">
        <v>157.87101000000001</v>
      </c>
      <c r="F17" s="47">
        <v>15.66338</v>
      </c>
      <c r="G17" s="47">
        <v>4.9406564584124654E-324</v>
      </c>
      <c r="H17" s="47">
        <v>4.9406564584124654E-324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259.57965000000002</v>
      </c>
      <c r="Q17" s="68">
        <v>0.79231400409999997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2.4540000000000002</v>
      </c>
      <c r="E18" s="47">
        <v>1.593</v>
      </c>
      <c r="F18" s="47">
        <v>4.9406564584124654E-324</v>
      </c>
      <c r="G18" s="47">
        <v>4.9406564584124654E-324</v>
      </c>
      <c r="H18" s="47">
        <v>4.9406564584124654E-324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4.0469999999999997</v>
      </c>
      <c r="Q18" s="68" t="s">
        <v>195</v>
      </c>
    </row>
    <row r="19" spans="1:17" ht="14.4" customHeight="1" x14ac:dyDescent="0.3">
      <c r="A19" s="15" t="s">
        <v>31</v>
      </c>
      <c r="B19" s="46">
        <v>4068.2465816159101</v>
      </c>
      <c r="C19" s="47">
        <v>339.02054846799302</v>
      </c>
      <c r="D19" s="47">
        <v>304.76711000000199</v>
      </c>
      <c r="E19" s="47">
        <v>4240.9612200000001</v>
      </c>
      <c r="F19" s="47">
        <v>317.77960000000002</v>
      </c>
      <c r="G19" s="47">
        <v>4.9406564584124654E-324</v>
      </c>
      <c r="H19" s="47">
        <v>4.9406564584124654E-324</v>
      </c>
      <c r="I19" s="47">
        <v>4.9406564584124654E-324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4863.5079299999998</v>
      </c>
      <c r="Q19" s="68">
        <v>4.781920498111</v>
      </c>
    </row>
    <row r="20" spans="1:17" ht="14.4" customHeight="1" x14ac:dyDescent="0.3">
      <c r="A20" s="15" t="s">
        <v>32</v>
      </c>
      <c r="B20" s="46">
        <v>21080.104276682399</v>
      </c>
      <c r="C20" s="47">
        <v>1756.6753563902</v>
      </c>
      <c r="D20" s="47">
        <v>1724.0877500000099</v>
      </c>
      <c r="E20" s="47">
        <v>1714.4003600000001</v>
      </c>
      <c r="F20" s="47">
        <v>1727.7283199999999</v>
      </c>
      <c r="G20" s="47">
        <v>4.9406564584124654E-324</v>
      </c>
      <c r="H20" s="47">
        <v>4.9406564584124654E-324</v>
      </c>
      <c r="I20" s="47">
        <v>4.9406564584124654E-324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5166.2164300000104</v>
      </c>
      <c r="Q20" s="68">
        <v>0.98030187368900001</v>
      </c>
    </row>
    <row r="21" spans="1:17" ht="14.4" customHeight="1" x14ac:dyDescent="0.3">
      <c r="A21" s="16" t="s">
        <v>33</v>
      </c>
      <c r="B21" s="46">
        <v>20146.963161780001</v>
      </c>
      <c r="C21" s="47">
        <v>1678.9135968149999</v>
      </c>
      <c r="D21" s="47">
        <v>1692.1760000000099</v>
      </c>
      <c r="E21" s="47">
        <v>1695.3050000000001</v>
      </c>
      <c r="F21" s="47">
        <v>1695.3030000000001</v>
      </c>
      <c r="G21" s="47">
        <v>1.4821969375237396E-323</v>
      </c>
      <c r="H21" s="47">
        <v>1.4821969375237396E-323</v>
      </c>
      <c r="I21" s="47">
        <v>1.4821969375237396E-323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5082.7840000000097</v>
      </c>
      <c r="Q21" s="68">
        <v>1.0091414689510001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1.4821969375237396E-323</v>
      </c>
      <c r="Q22" s="68" t="s">
        <v>195</v>
      </c>
    </row>
    <row r="23" spans="1:17" ht="14.4" customHeight="1" x14ac:dyDescent="0.3">
      <c r="A23" s="16" t="s">
        <v>35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5.9287877500949585E-323</v>
      </c>
      <c r="Q23" s="68" t="s">
        <v>195</v>
      </c>
    </row>
    <row r="24" spans="1:17" ht="14.4" customHeight="1" x14ac:dyDescent="0.3">
      <c r="A24" s="16" t="s">
        <v>36</v>
      </c>
      <c r="B24" s="46">
        <v>0</v>
      </c>
      <c r="C24" s="47">
        <v>9.0949470177292804E-13</v>
      </c>
      <c r="D24" s="47">
        <v>6.7833699999980004</v>
      </c>
      <c r="E24" s="47">
        <v>4.1891100000010004</v>
      </c>
      <c r="F24" s="47">
        <v>15.105240000001</v>
      </c>
      <c r="G24" s="47">
        <v>-1.0869444208507424E-322</v>
      </c>
      <c r="H24" s="47">
        <v>-1.0869444208507424E-322</v>
      </c>
      <c r="I24" s="47">
        <v>-1.0869444208507424E-322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26.077720000001001</v>
      </c>
      <c r="Q24" s="68"/>
    </row>
    <row r="25" spans="1:17" ht="14.4" customHeight="1" x14ac:dyDescent="0.3">
      <c r="A25" s="17" t="s">
        <v>37</v>
      </c>
      <c r="B25" s="49">
        <v>65737.537010417305</v>
      </c>
      <c r="C25" s="50">
        <v>5478.1280842014503</v>
      </c>
      <c r="D25" s="50">
        <v>6366.1254600000302</v>
      </c>
      <c r="E25" s="50">
        <v>8641.3396300000004</v>
      </c>
      <c r="F25" s="50">
        <v>4683.0393899999999</v>
      </c>
      <c r="G25" s="50">
        <v>4.9406564584124654E-324</v>
      </c>
      <c r="H25" s="50">
        <v>4.9406564584124654E-324</v>
      </c>
      <c r="I25" s="50">
        <v>4.9406564584124654E-324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19690.50448</v>
      </c>
      <c r="Q25" s="69">
        <v>1.198128519897</v>
      </c>
    </row>
    <row r="26" spans="1:17" ht="14.4" customHeight="1" x14ac:dyDescent="0.3">
      <c r="A26" s="15" t="s">
        <v>38</v>
      </c>
      <c r="B26" s="46">
        <v>2936.4428464133798</v>
      </c>
      <c r="C26" s="47">
        <v>244.703570534449</v>
      </c>
      <c r="D26" s="47">
        <v>242.31653</v>
      </c>
      <c r="E26" s="47">
        <v>233.3168</v>
      </c>
      <c r="F26" s="47">
        <v>252.1011</v>
      </c>
      <c r="G26" s="47">
        <v>4.9406564584124654E-324</v>
      </c>
      <c r="H26" s="47">
        <v>4.9406564584124654E-324</v>
      </c>
      <c r="I26" s="47">
        <v>4.9406564584124654E-324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727.73442999999997</v>
      </c>
      <c r="Q26" s="68">
        <v>0.99131427793799998</v>
      </c>
    </row>
    <row r="27" spans="1:17" ht="14.4" customHeight="1" x14ac:dyDescent="0.3">
      <c r="A27" s="18" t="s">
        <v>39</v>
      </c>
      <c r="B27" s="49">
        <v>68673.979856830701</v>
      </c>
      <c r="C27" s="50">
        <v>5722.83165473589</v>
      </c>
      <c r="D27" s="50">
        <v>6608.4419900000303</v>
      </c>
      <c r="E27" s="50">
        <v>8874.6564299999991</v>
      </c>
      <c r="F27" s="50">
        <v>4935.1404899999998</v>
      </c>
      <c r="G27" s="50">
        <v>9.8813129168249309E-324</v>
      </c>
      <c r="H27" s="50">
        <v>9.8813129168249309E-324</v>
      </c>
      <c r="I27" s="50">
        <v>9.8813129168249309E-324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20418.23891</v>
      </c>
      <c r="Q27" s="69">
        <v>1.1892853131600001</v>
      </c>
    </row>
    <row r="28" spans="1:17" ht="14.4" customHeight="1" x14ac:dyDescent="0.3">
      <c r="A28" s="16" t="s">
        <v>40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3.7054923438093491E-322</v>
      </c>
      <c r="Q28" s="68">
        <v>0</v>
      </c>
    </row>
    <row r="29" spans="1:17" ht="14.4" customHeight="1" x14ac:dyDescent="0.3">
      <c r="A29" s="16" t="s">
        <v>41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2.9643938750474793E-323</v>
      </c>
      <c r="Q29" s="68" t="s">
        <v>195</v>
      </c>
    </row>
    <row r="30" spans="1:17" ht="14.4" customHeight="1" x14ac:dyDescent="0.3">
      <c r="A30" s="16" t="s">
        <v>42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1.4821969375237396E-322</v>
      </c>
      <c r="Q30" s="68">
        <v>0</v>
      </c>
    </row>
    <row r="31" spans="1:17" ht="14.4" customHeight="1" thickBot="1" x14ac:dyDescent="0.35">
      <c r="A31" s="19" t="s">
        <v>43</v>
      </c>
      <c r="B31" s="52">
        <v>1.9762625833649862E-323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7.4109846876186982E-323</v>
      </c>
      <c r="Q31" s="70" t="s">
        <v>195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116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53" t="s">
        <v>45</v>
      </c>
      <c r="B1" s="253"/>
      <c r="C1" s="253"/>
      <c r="D1" s="253"/>
      <c r="E1" s="253"/>
      <c r="F1" s="253"/>
      <c r="G1" s="253"/>
      <c r="H1" s="258"/>
      <c r="I1" s="258"/>
      <c r="J1" s="258"/>
      <c r="K1" s="258"/>
    </row>
    <row r="2" spans="1:11" s="55" customFormat="1" ht="14.4" customHeight="1" thickBot="1" x14ac:dyDescent="0.35">
      <c r="A2" s="174" t="s">
        <v>194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4" t="s">
        <v>46</v>
      </c>
      <c r="C3" s="255"/>
      <c r="D3" s="255"/>
      <c r="E3" s="255"/>
      <c r="F3" s="261" t="s">
        <v>47</v>
      </c>
      <c r="G3" s="255"/>
      <c r="H3" s="255"/>
      <c r="I3" s="255"/>
      <c r="J3" s="255"/>
      <c r="K3" s="262"/>
    </row>
    <row r="4" spans="1:11" ht="14.4" customHeight="1" x14ac:dyDescent="0.3">
      <c r="A4" s="59"/>
      <c r="B4" s="259"/>
      <c r="C4" s="260"/>
      <c r="D4" s="260"/>
      <c r="E4" s="260"/>
      <c r="F4" s="263" t="s">
        <v>112</v>
      </c>
      <c r="G4" s="265" t="s">
        <v>48</v>
      </c>
      <c r="H4" s="107" t="s">
        <v>80</v>
      </c>
      <c r="I4" s="263" t="s">
        <v>49</v>
      </c>
      <c r="J4" s="265" t="s">
        <v>114</v>
      </c>
      <c r="K4" s="266" t="s">
        <v>115</v>
      </c>
    </row>
    <row r="5" spans="1:11" ht="42" thickBot="1" x14ac:dyDescent="0.35">
      <c r="A5" s="60"/>
      <c r="B5" s="24" t="s">
        <v>108</v>
      </c>
      <c r="C5" s="25" t="s">
        <v>109</v>
      </c>
      <c r="D5" s="26" t="s">
        <v>110</v>
      </c>
      <c r="E5" s="26" t="s">
        <v>111</v>
      </c>
      <c r="F5" s="264"/>
      <c r="G5" s="264"/>
      <c r="H5" s="25" t="s">
        <v>113</v>
      </c>
      <c r="I5" s="264"/>
      <c r="J5" s="264"/>
      <c r="K5" s="267"/>
    </row>
    <row r="6" spans="1:11" ht="14.4" customHeight="1" thickBot="1" x14ac:dyDescent="0.35">
      <c r="A6" s="302" t="s">
        <v>197</v>
      </c>
      <c r="B6" s="284">
        <v>65604.043343699406</v>
      </c>
      <c r="C6" s="284">
        <v>68517.825509999995</v>
      </c>
      <c r="D6" s="285">
        <v>2913.7821663006598</v>
      </c>
      <c r="E6" s="286">
        <v>1.044414673513</v>
      </c>
      <c r="F6" s="284">
        <v>65737.537010417305</v>
      </c>
      <c r="G6" s="285">
        <v>16434.384252604301</v>
      </c>
      <c r="H6" s="287">
        <v>4683.0393899999999</v>
      </c>
      <c r="I6" s="284">
        <v>19690.50448</v>
      </c>
      <c r="J6" s="285">
        <v>3256.1202273957001</v>
      </c>
      <c r="K6" s="288">
        <v>0.29953212997400003</v>
      </c>
    </row>
    <row r="7" spans="1:11" ht="14.4" customHeight="1" thickBot="1" x14ac:dyDescent="0.35">
      <c r="A7" s="303" t="s">
        <v>198</v>
      </c>
      <c r="B7" s="284">
        <v>18936.1147791281</v>
      </c>
      <c r="C7" s="284">
        <v>19811.683229999999</v>
      </c>
      <c r="D7" s="285">
        <v>875.56845087193096</v>
      </c>
      <c r="E7" s="286">
        <v>1.046238019841</v>
      </c>
      <c r="F7" s="284">
        <v>19131.734226254601</v>
      </c>
      <c r="G7" s="285">
        <v>4782.9335565636402</v>
      </c>
      <c r="H7" s="287">
        <v>911.46466999999996</v>
      </c>
      <c r="I7" s="284">
        <v>4288.2957100000103</v>
      </c>
      <c r="J7" s="285">
        <v>-494.63784656363299</v>
      </c>
      <c r="K7" s="288">
        <v>0.224145686914</v>
      </c>
    </row>
    <row r="8" spans="1:11" ht="14.4" customHeight="1" thickBot="1" x14ac:dyDescent="0.35">
      <c r="A8" s="304" t="s">
        <v>199</v>
      </c>
      <c r="B8" s="284">
        <v>16751.477533024601</v>
      </c>
      <c r="C8" s="284">
        <v>17663.401229999999</v>
      </c>
      <c r="D8" s="285">
        <v>911.923696975442</v>
      </c>
      <c r="E8" s="286">
        <v>1.054438403727</v>
      </c>
      <c r="F8" s="284">
        <v>16969.012689355601</v>
      </c>
      <c r="G8" s="285">
        <v>4242.2531723389102</v>
      </c>
      <c r="H8" s="287">
        <v>745.83667000000003</v>
      </c>
      <c r="I8" s="284">
        <v>3715.0917100000102</v>
      </c>
      <c r="J8" s="285">
        <v>-527.16146233889503</v>
      </c>
      <c r="K8" s="288">
        <v>0.21893387541199999</v>
      </c>
    </row>
    <row r="9" spans="1:11" ht="14.4" customHeight="1" thickBot="1" x14ac:dyDescent="0.35">
      <c r="A9" s="305" t="s">
        <v>200</v>
      </c>
      <c r="B9" s="289">
        <v>4.9406564584124654E-324</v>
      </c>
      <c r="C9" s="289">
        <v>-1.6899999990000001E-3</v>
      </c>
      <c r="D9" s="290">
        <v>-1.6899999990000001E-3</v>
      </c>
      <c r="E9" s="291" t="s">
        <v>201</v>
      </c>
      <c r="F9" s="289">
        <v>0</v>
      </c>
      <c r="G9" s="290">
        <v>0</v>
      </c>
      <c r="H9" s="292">
        <v>4.8199999999999996E-3</v>
      </c>
      <c r="I9" s="289">
        <v>3.96E-3</v>
      </c>
      <c r="J9" s="290">
        <v>3.96E-3</v>
      </c>
      <c r="K9" s="293" t="s">
        <v>195</v>
      </c>
    </row>
    <row r="10" spans="1:11" ht="14.4" customHeight="1" thickBot="1" x14ac:dyDescent="0.35">
      <c r="A10" s="306" t="s">
        <v>202</v>
      </c>
      <c r="B10" s="284">
        <v>4.9406564584124654E-324</v>
      </c>
      <c r="C10" s="284">
        <v>-1.6899999990000001E-3</v>
      </c>
      <c r="D10" s="285">
        <v>-1.6899999990000001E-3</v>
      </c>
      <c r="E10" s="294" t="s">
        <v>201</v>
      </c>
      <c r="F10" s="284">
        <v>0</v>
      </c>
      <c r="G10" s="285">
        <v>0</v>
      </c>
      <c r="H10" s="287">
        <v>4.8199999999999996E-3</v>
      </c>
      <c r="I10" s="284">
        <v>3.96E-3</v>
      </c>
      <c r="J10" s="285">
        <v>3.96E-3</v>
      </c>
      <c r="K10" s="295" t="s">
        <v>195</v>
      </c>
    </row>
    <row r="11" spans="1:11" ht="14.4" customHeight="1" thickBot="1" x14ac:dyDescent="0.35">
      <c r="A11" s="305" t="s">
        <v>203</v>
      </c>
      <c r="B11" s="289">
        <v>922.51039294609905</v>
      </c>
      <c r="C11" s="289">
        <v>901.55295999999998</v>
      </c>
      <c r="D11" s="290">
        <v>-20.957432946097999</v>
      </c>
      <c r="E11" s="296">
        <v>0.97728217144600005</v>
      </c>
      <c r="F11" s="289">
        <v>893.80586841480897</v>
      </c>
      <c r="G11" s="290">
        <v>223.45146710370199</v>
      </c>
      <c r="H11" s="292">
        <v>75.492379999999997</v>
      </c>
      <c r="I11" s="289">
        <v>208.88022000000001</v>
      </c>
      <c r="J11" s="290">
        <v>-14.571247103700999</v>
      </c>
      <c r="K11" s="297">
        <v>0.23369752580600001</v>
      </c>
    </row>
    <row r="12" spans="1:11" ht="14.4" customHeight="1" thickBot="1" x14ac:dyDescent="0.35">
      <c r="A12" s="306" t="s">
        <v>204</v>
      </c>
      <c r="B12" s="284">
        <v>739.99857537841297</v>
      </c>
      <c r="C12" s="284">
        <v>701.34277999999995</v>
      </c>
      <c r="D12" s="285">
        <v>-38.655795378413004</v>
      </c>
      <c r="E12" s="286">
        <v>0.94776233811099997</v>
      </c>
      <c r="F12" s="284">
        <v>701.87404060374797</v>
      </c>
      <c r="G12" s="285">
        <v>175.46851015093699</v>
      </c>
      <c r="H12" s="287">
        <v>60.053789999999999</v>
      </c>
      <c r="I12" s="284">
        <v>167.35399000000001</v>
      </c>
      <c r="J12" s="285">
        <v>-8.1145201509360003</v>
      </c>
      <c r="K12" s="288">
        <v>0.23843878006300001</v>
      </c>
    </row>
    <row r="13" spans="1:11" ht="14.4" customHeight="1" thickBot="1" x14ac:dyDescent="0.35">
      <c r="A13" s="306" t="s">
        <v>205</v>
      </c>
      <c r="B13" s="284">
        <v>0</v>
      </c>
      <c r="C13" s="284">
        <v>6.1598899999999999</v>
      </c>
      <c r="D13" s="285">
        <v>6.1598899999999999</v>
      </c>
      <c r="E13" s="294" t="s">
        <v>195</v>
      </c>
      <c r="F13" s="284">
        <v>5.7690940597219997</v>
      </c>
      <c r="G13" s="285">
        <v>1.4422735149299999</v>
      </c>
      <c r="H13" s="287">
        <v>4.9406564584124654E-324</v>
      </c>
      <c r="I13" s="284">
        <v>1.4821969375237396E-323</v>
      </c>
      <c r="J13" s="285">
        <v>-1.4422735149299999</v>
      </c>
      <c r="K13" s="288">
        <v>4.9406564584124654E-324</v>
      </c>
    </row>
    <row r="14" spans="1:11" ht="14.4" customHeight="1" thickBot="1" x14ac:dyDescent="0.35">
      <c r="A14" s="306" t="s">
        <v>206</v>
      </c>
      <c r="B14" s="284">
        <v>24</v>
      </c>
      <c r="C14" s="284">
        <v>9.2124000000000006</v>
      </c>
      <c r="D14" s="285">
        <v>-14.787599999999999</v>
      </c>
      <c r="E14" s="286">
        <v>0.38385000000000002</v>
      </c>
      <c r="F14" s="284">
        <v>9.3244085439410007</v>
      </c>
      <c r="G14" s="285">
        <v>2.3311021359850002</v>
      </c>
      <c r="H14" s="287">
        <v>0.87373999999999996</v>
      </c>
      <c r="I14" s="284">
        <v>1.93374</v>
      </c>
      <c r="J14" s="285">
        <v>-0.39736213598499998</v>
      </c>
      <c r="K14" s="288">
        <v>0.207384735545</v>
      </c>
    </row>
    <row r="15" spans="1:11" ht="14.4" customHeight="1" thickBot="1" x14ac:dyDescent="0.35">
      <c r="A15" s="306" t="s">
        <v>207</v>
      </c>
      <c r="B15" s="284">
        <v>158.511817567685</v>
      </c>
      <c r="C15" s="284">
        <v>184.83788999999999</v>
      </c>
      <c r="D15" s="285">
        <v>26.326072432314</v>
      </c>
      <c r="E15" s="286">
        <v>1.166082711284</v>
      </c>
      <c r="F15" s="284">
        <v>176.83832520739799</v>
      </c>
      <c r="G15" s="285">
        <v>44.209581301848999</v>
      </c>
      <c r="H15" s="287">
        <v>14.56485</v>
      </c>
      <c r="I15" s="284">
        <v>39.592489999999998</v>
      </c>
      <c r="J15" s="285">
        <v>-4.6170913018490003</v>
      </c>
      <c r="K15" s="288">
        <v>0.223890889905</v>
      </c>
    </row>
    <row r="16" spans="1:11" ht="14.4" customHeight="1" thickBot="1" x14ac:dyDescent="0.35">
      <c r="A16" s="305" t="s">
        <v>208</v>
      </c>
      <c r="B16" s="289">
        <v>9178.0777077049806</v>
      </c>
      <c r="C16" s="289">
        <v>10449.246349999999</v>
      </c>
      <c r="D16" s="290">
        <v>1271.1686422950299</v>
      </c>
      <c r="E16" s="296">
        <v>1.138500531677</v>
      </c>
      <c r="F16" s="289">
        <v>9007.6525947934806</v>
      </c>
      <c r="G16" s="290">
        <v>2251.9131486983702</v>
      </c>
      <c r="H16" s="292">
        <v>67.060029999999998</v>
      </c>
      <c r="I16" s="289">
        <v>1838.6437100000101</v>
      </c>
      <c r="J16" s="290">
        <v>-413.269438698361</v>
      </c>
      <c r="K16" s="297">
        <v>0.20412018454799999</v>
      </c>
    </row>
    <row r="17" spans="1:11" ht="14.4" customHeight="1" thickBot="1" x14ac:dyDescent="0.35">
      <c r="A17" s="306" t="s">
        <v>209</v>
      </c>
      <c r="B17" s="284">
        <v>10.407338976965001</v>
      </c>
      <c r="C17" s="284">
        <v>6.5440399999999999</v>
      </c>
      <c r="D17" s="285">
        <v>-3.8632989769649999</v>
      </c>
      <c r="E17" s="286">
        <v>0.62879089597100002</v>
      </c>
      <c r="F17" s="284">
        <v>6.9999962309220001</v>
      </c>
      <c r="G17" s="285">
        <v>1.74999905773</v>
      </c>
      <c r="H17" s="287">
        <v>1.41588</v>
      </c>
      <c r="I17" s="284">
        <v>1.41588</v>
      </c>
      <c r="J17" s="285">
        <v>-0.33411905773</v>
      </c>
      <c r="K17" s="288">
        <v>0.202268680338</v>
      </c>
    </row>
    <row r="18" spans="1:11" ht="14.4" customHeight="1" thickBot="1" x14ac:dyDescent="0.35">
      <c r="A18" s="306" t="s">
        <v>210</v>
      </c>
      <c r="B18" s="284">
        <v>1547.0317157657601</v>
      </c>
      <c r="C18" s="284">
        <v>1550.52457</v>
      </c>
      <c r="D18" s="285">
        <v>3.492854234238</v>
      </c>
      <c r="E18" s="286">
        <v>1.0022577780390001</v>
      </c>
      <c r="F18" s="284">
        <v>1554.0505426673999</v>
      </c>
      <c r="G18" s="285">
        <v>388.51263566684901</v>
      </c>
      <c r="H18" s="287">
        <v>108.29849</v>
      </c>
      <c r="I18" s="284">
        <v>384.439040000001</v>
      </c>
      <c r="J18" s="285">
        <v>-4.073595666848</v>
      </c>
      <c r="K18" s="288">
        <v>0.24737872382199999</v>
      </c>
    </row>
    <row r="19" spans="1:11" ht="14.4" customHeight="1" thickBot="1" x14ac:dyDescent="0.35">
      <c r="A19" s="306" t="s">
        <v>211</v>
      </c>
      <c r="B19" s="284">
        <v>2510.93299375786</v>
      </c>
      <c r="C19" s="284">
        <v>1868.3525999999999</v>
      </c>
      <c r="D19" s="285">
        <v>-642.58039375785597</v>
      </c>
      <c r="E19" s="286">
        <v>0.74408700058599997</v>
      </c>
      <c r="F19" s="284">
        <v>1813.3389939127301</v>
      </c>
      <c r="G19" s="285">
        <v>453.33474847818201</v>
      </c>
      <c r="H19" s="287">
        <v>145.47001</v>
      </c>
      <c r="I19" s="284">
        <v>343.10415999999998</v>
      </c>
      <c r="J19" s="285">
        <v>-110.23058847818101</v>
      </c>
      <c r="K19" s="288">
        <v>0.18921126229099999</v>
      </c>
    </row>
    <row r="20" spans="1:11" ht="14.4" customHeight="1" thickBot="1" x14ac:dyDescent="0.35">
      <c r="A20" s="306" t="s">
        <v>212</v>
      </c>
      <c r="B20" s="284">
        <v>0</v>
      </c>
      <c r="C20" s="284">
        <v>1642.3276499999999</v>
      </c>
      <c r="D20" s="285">
        <v>1642.3276499999999</v>
      </c>
      <c r="E20" s="294" t="s">
        <v>195</v>
      </c>
      <c r="F20" s="284">
        <v>0</v>
      </c>
      <c r="G20" s="285">
        <v>0</v>
      </c>
      <c r="H20" s="287">
        <v>-654.72091999999998</v>
      </c>
      <c r="I20" s="284">
        <v>-65.859979999993996</v>
      </c>
      <c r="J20" s="285">
        <v>-65.859979999993996</v>
      </c>
      <c r="K20" s="295" t="s">
        <v>195</v>
      </c>
    </row>
    <row r="21" spans="1:11" ht="14.4" customHeight="1" thickBot="1" x14ac:dyDescent="0.35">
      <c r="A21" s="306" t="s">
        <v>213</v>
      </c>
      <c r="B21" s="284">
        <v>145.35154963712901</v>
      </c>
      <c r="C21" s="284">
        <v>86.087879999999998</v>
      </c>
      <c r="D21" s="285">
        <v>-59.263669637127997</v>
      </c>
      <c r="E21" s="286">
        <v>0.59227356168400003</v>
      </c>
      <c r="F21" s="284">
        <v>84.333785536326005</v>
      </c>
      <c r="G21" s="285">
        <v>21.083446384081</v>
      </c>
      <c r="H21" s="287">
        <v>4.9406564584124654E-324</v>
      </c>
      <c r="I21" s="284">
        <v>9.5464599999999997</v>
      </c>
      <c r="J21" s="285">
        <v>-11.536986384081001</v>
      </c>
      <c r="K21" s="288">
        <v>0.113198523454</v>
      </c>
    </row>
    <row r="22" spans="1:11" ht="14.4" customHeight="1" thickBot="1" x14ac:dyDescent="0.35">
      <c r="A22" s="306" t="s">
        <v>214</v>
      </c>
      <c r="B22" s="284">
        <v>3945.09627543532</v>
      </c>
      <c r="C22" s="284">
        <v>3854.0446999999999</v>
      </c>
      <c r="D22" s="285">
        <v>-91.051575435315996</v>
      </c>
      <c r="E22" s="286">
        <v>0.97692031598700002</v>
      </c>
      <c r="F22" s="284">
        <v>3878.9310539766302</v>
      </c>
      <c r="G22" s="285">
        <v>969.73276349415801</v>
      </c>
      <c r="H22" s="287">
        <v>328.14492999999999</v>
      </c>
      <c r="I22" s="284">
        <v>884.00180000000103</v>
      </c>
      <c r="J22" s="285">
        <v>-85.730963494156001</v>
      </c>
      <c r="K22" s="288">
        <v>0.227898301799</v>
      </c>
    </row>
    <row r="23" spans="1:11" ht="14.4" customHeight="1" thickBot="1" x14ac:dyDescent="0.35">
      <c r="A23" s="306" t="s">
        <v>215</v>
      </c>
      <c r="B23" s="284">
        <v>171.02463442184199</v>
      </c>
      <c r="C23" s="284">
        <v>113.34855</v>
      </c>
      <c r="D23" s="285">
        <v>-57.676084421840997</v>
      </c>
      <c r="E23" s="286">
        <v>0.66276153948899996</v>
      </c>
      <c r="F23" s="284">
        <v>116.274729574595</v>
      </c>
      <c r="G23" s="285">
        <v>29.068682393648</v>
      </c>
      <c r="H23" s="287">
        <v>13.011570000000001</v>
      </c>
      <c r="I23" s="284">
        <v>18.176110000000001</v>
      </c>
      <c r="J23" s="285">
        <v>-10.892572393648001</v>
      </c>
      <c r="K23" s="288">
        <v>0.15632038076099999</v>
      </c>
    </row>
    <row r="24" spans="1:11" ht="14.4" customHeight="1" thickBot="1" x14ac:dyDescent="0.35">
      <c r="A24" s="306" t="s">
        <v>216</v>
      </c>
      <c r="B24" s="284">
        <v>53.768934285416002</v>
      </c>
      <c r="C24" s="284">
        <v>42.576689999999999</v>
      </c>
      <c r="D24" s="285">
        <v>-11.192244285415001</v>
      </c>
      <c r="E24" s="286">
        <v>0.79184552503799999</v>
      </c>
      <c r="F24" s="284">
        <v>48.363950604727002</v>
      </c>
      <c r="G24" s="285">
        <v>12.090987651181999</v>
      </c>
      <c r="H24" s="287">
        <v>4.9406564584124654E-324</v>
      </c>
      <c r="I24" s="284">
        <v>1.4821969375237396E-323</v>
      </c>
      <c r="J24" s="285">
        <v>-12.090987651181999</v>
      </c>
      <c r="K24" s="288">
        <v>0</v>
      </c>
    </row>
    <row r="25" spans="1:11" ht="14.4" customHeight="1" thickBot="1" x14ac:dyDescent="0.35">
      <c r="A25" s="306" t="s">
        <v>217</v>
      </c>
      <c r="B25" s="284">
        <v>472.21374291213999</v>
      </c>
      <c r="C25" s="284">
        <v>565.16054999999994</v>
      </c>
      <c r="D25" s="285">
        <v>92.946807087859995</v>
      </c>
      <c r="E25" s="286">
        <v>1.196832067009</v>
      </c>
      <c r="F25" s="284">
        <v>871.15781423100702</v>
      </c>
      <c r="G25" s="285">
        <v>217.78945355775201</v>
      </c>
      <c r="H25" s="287">
        <v>50.45008</v>
      </c>
      <c r="I25" s="284">
        <v>188.83025000000001</v>
      </c>
      <c r="J25" s="285">
        <v>-28.959203557751</v>
      </c>
      <c r="K25" s="288">
        <v>0.216757798547</v>
      </c>
    </row>
    <row r="26" spans="1:11" ht="14.4" customHeight="1" thickBot="1" x14ac:dyDescent="0.35">
      <c r="A26" s="306" t="s">
        <v>218</v>
      </c>
      <c r="B26" s="284">
        <v>0</v>
      </c>
      <c r="C26" s="284">
        <v>19.181999999999999</v>
      </c>
      <c r="D26" s="285">
        <v>19.181999999999999</v>
      </c>
      <c r="E26" s="294" t="s">
        <v>195</v>
      </c>
      <c r="F26" s="284">
        <v>19.181909865024998</v>
      </c>
      <c r="G26" s="285">
        <v>4.795477466256</v>
      </c>
      <c r="H26" s="287">
        <v>4.9406564584124654E-324</v>
      </c>
      <c r="I26" s="284">
        <v>1.4821969375237396E-323</v>
      </c>
      <c r="J26" s="285">
        <v>-4.795477466256</v>
      </c>
      <c r="K26" s="288">
        <v>0</v>
      </c>
    </row>
    <row r="27" spans="1:11" ht="14.4" customHeight="1" thickBot="1" x14ac:dyDescent="0.35">
      <c r="A27" s="306" t="s">
        <v>219</v>
      </c>
      <c r="B27" s="284">
        <v>322.25052251254499</v>
      </c>
      <c r="C27" s="284">
        <v>701.09712000000002</v>
      </c>
      <c r="D27" s="285">
        <v>378.84659748745503</v>
      </c>
      <c r="E27" s="286">
        <v>2.1756275661969999</v>
      </c>
      <c r="F27" s="284">
        <v>615.01981819411401</v>
      </c>
      <c r="G27" s="285">
        <v>153.75495454852901</v>
      </c>
      <c r="H27" s="287">
        <v>74.989990000000006</v>
      </c>
      <c r="I27" s="284">
        <v>74.989990000000006</v>
      </c>
      <c r="J27" s="285">
        <v>-78.764964548527999</v>
      </c>
      <c r="K27" s="288">
        <v>0.121931013898</v>
      </c>
    </row>
    <row r="28" spans="1:11" ht="14.4" customHeight="1" thickBot="1" x14ac:dyDescent="0.35">
      <c r="A28" s="305" t="s">
        <v>220</v>
      </c>
      <c r="B28" s="289">
        <v>818.82146621937397</v>
      </c>
      <c r="C28" s="289">
        <v>842.78197</v>
      </c>
      <c r="D28" s="290">
        <v>23.960503780625</v>
      </c>
      <c r="E28" s="296">
        <v>1.0292621832340001</v>
      </c>
      <c r="F28" s="289">
        <v>887.71794264222001</v>
      </c>
      <c r="G28" s="290">
        <v>221.929485660555</v>
      </c>
      <c r="H28" s="292">
        <v>91.757409999999993</v>
      </c>
      <c r="I28" s="289">
        <v>209.94767999999999</v>
      </c>
      <c r="J28" s="290">
        <v>-11.981805660554</v>
      </c>
      <c r="K28" s="297">
        <v>0.23650268842700001</v>
      </c>
    </row>
    <row r="29" spans="1:11" ht="14.4" customHeight="1" thickBot="1" x14ac:dyDescent="0.35">
      <c r="A29" s="306" t="s">
        <v>221</v>
      </c>
      <c r="B29" s="284">
        <v>265.01199608745799</v>
      </c>
      <c r="C29" s="284">
        <v>27.617519999999999</v>
      </c>
      <c r="D29" s="285">
        <v>-237.394476087458</v>
      </c>
      <c r="E29" s="286">
        <v>0.104212339093</v>
      </c>
      <c r="F29" s="284">
        <v>31.873523025276</v>
      </c>
      <c r="G29" s="285">
        <v>7.9683807563190001</v>
      </c>
      <c r="H29" s="287">
        <v>6.4388899999999998</v>
      </c>
      <c r="I29" s="284">
        <v>6.4389000000000003</v>
      </c>
      <c r="J29" s="285">
        <v>-1.529480756319</v>
      </c>
      <c r="K29" s="288">
        <v>0.202014066499</v>
      </c>
    </row>
    <row r="30" spans="1:11" ht="14.4" customHeight="1" thickBot="1" x14ac:dyDescent="0.35">
      <c r="A30" s="306" t="s">
        <v>222</v>
      </c>
      <c r="B30" s="284">
        <v>4.3342046295139998</v>
      </c>
      <c r="C30" s="284">
        <v>4.3284799999999999</v>
      </c>
      <c r="D30" s="285">
        <v>-5.7246295139999999E-3</v>
      </c>
      <c r="E30" s="286">
        <v>0.99867919722200005</v>
      </c>
      <c r="F30" s="284">
        <v>29.356866146007</v>
      </c>
      <c r="G30" s="285">
        <v>7.3392165365009996</v>
      </c>
      <c r="H30" s="287">
        <v>0.34075</v>
      </c>
      <c r="I30" s="284">
        <v>0.96414999999999995</v>
      </c>
      <c r="J30" s="285">
        <v>-6.3750665365010004</v>
      </c>
      <c r="K30" s="288">
        <v>3.2842402019000003E-2</v>
      </c>
    </row>
    <row r="31" spans="1:11" ht="14.4" customHeight="1" thickBot="1" x14ac:dyDescent="0.35">
      <c r="A31" s="306" t="s">
        <v>223</v>
      </c>
      <c r="B31" s="284">
        <v>493.71854782366302</v>
      </c>
      <c r="C31" s="284">
        <v>537.92754000000002</v>
      </c>
      <c r="D31" s="285">
        <v>44.208992176336999</v>
      </c>
      <c r="E31" s="286">
        <v>1.0895429032820001</v>
      </c>
      <c r="F31" s="284">
        <v>553.33816927278895</v>
      </c>
      <c r="G31" s="285">
        <v>138.33454231819701</v>
      </c>
      <c r="H31" s="287">
        <v>76.836969999999994</v>
      </c>
      <c r="I31" s="284">
        <v>174.0386</v>
      </c>
      <c r="J31" s="285">
        <v>35.704057681801999</v>
      </c>
      <c r="K31" s="288">
        <v>0.31452484152400001</v>
      </c>
    </row>
    <row r="32" spans="1:11" ht="14.4" customHeight="1" thickBot="1" x14ac:dyDescent="0.35">
      <c r="A32" s="306" t="s">
        <v>224</v>
      </c>
      <c r="B32" s="284">
        <v>17.848500033753002</v>
      </c>
      <c r="C32" s="284">
        <v>24.767869999999998</v>
      </c>
      <c r="D32" s="285">
        <v>6.9193699662460002</v>
      </c>
      <c r="E32" s="286">
        <v>1.3876723507940001</v>
      </c>
      <c r="F32" s="284">
        <v>52.182489374105998</v>
      </c>
      <c r="G32" s="285">
        <v>13.045622343526</v>
      </c>
      <c r="H32" s="287">
        <v>1.7853399999999999</v>
      </c>
      <c r="I32" s="284">
        <v>4.2715699999999996</v>
      </c>
      <c r="J32" s="285">
        <v>-8.7740523435259998</v>
      </c>
      <c r="K32" s="288">
        <v>8.1858302492000004E-2</v>
      </c>
    </row>
    <row r="33" spans="1:11" ht="14.4" customHeight="1" thickBot="1" x14ac:dyDescent="0.35">
      <c r="A33" s="306" t="s">
        <v>225</v>
      </c>
      <c r="B33" s="284">
        <v>3.9048344615119999</v>
      </c>
      <c r="C33" s="284">
        <v>5.7152399999999997</v>
      </c>
      <c r="D33" s="285">
        <v>1.8104055384869999</v>
      </c>
      <c r="E33" s="286">
        <v>1.4636318277589999</v>
      </c>
      <c r="F33" s="284">
        <v>15.99870358225</v>
      </c>
      <c r="G33" s="285">
        <v>3.999675895562</v>
      </c>
      <c r="H33" s="287">
        <v>0.50863999999999998</v>
      </c>
      <c r="I33" s="284">
        <v>5.7892700000000001</v>
      </c>
      <c r="J33" s="285">
        <v>1.7895941044370001</v>
      </c>
      <c r="K33" s="288">
        <v>0.36185869500200002</v>
      </c>
    </row>
    <row r="34" spans="1:11" ht="14.4" customHeight="1" thickBot="1" x14ac:dyDescent="0.35">
      <c r="A34" s="306" t="s">
        <v>226</v>
      </c>
      <c r="B34" s="284">
        <v>0.15256394264299999</v>
      </c>
      <c r="C34" s="284">
        <v>0.34834999999999999</v>
      </c>
      <c r="D34" s="285">
        <v>0.19578605735599999</v>
      </c>
      <c r="E34" s="286">
        <v>2.2833049144080002</v>
      </c>
      <c r="F34" s="284">
        <v>0.60492263762700005</v>
      </c>
      <c r="G34" s="285">
        <v>0.151230659406</v>
      </c>
      <c r="H34" s="287">
        <v>4.9406564584124654E-324</v>
      </c>
      <c r="I34" s="284">
        <v>0.17913999999999999</v>
      </c>
      <c r="J34" s="285">
        <v>2.7909340593000001E-2</v>
      </c>
      <c r="K34" s="288">
        <v>0.29613704109700001</v>
      </c>
    </row>
    <row r="35" spans="1:11" ht="14.4" customHeight="1" thickBot="1" x14ac:dyDescent="0.35">
      <c r="A35" s="306" t="s">
        <v>227</v>
      </c>
      <c r="B35" s="284">
        <v>3.4284283417410002</v>
      </c>
      <c r="C35" s="284">
        <v>13.70838</v>
      </c>
      <c r="D35" s="285">
        <v>10.279951658258</v>
      </c>
      <c r="E35" s="286">
        <v>3.9984443697129999</v>
      </c>
      <c r="F35" s="284">
        <v>7.6523031549159999</v>
      </c>
      <c r="G35" s="285">
        <v>1.913075788729</v>
      </c>
      <c r="H35" s="287">
        <v>0.38485000000000003</v>
      </c>
      <c r="I35" s="284">
        <v>1.90594</v>
      </c>
      <c r="J35" s="285">
        <v>-7.1357887289999998E-3</v>
      </c>
      <c r="K35" s="288">
        <v>0.24906749790400001</v>
      </c>
    </row>
    <row r="36" spans="1:11" ht="14.4" customHeight="1" thickBot="1" x14ac:dyDescent="0.35">
      <c r="A36" s="306" t="s">
        <v>228</v>
      </c>
      <c r="B36" s="284">
        <v>16.877691160994001</v>
      </c>
      <c r="C36" s="284">
        <v>56.338430000000002</v>
      </c>
      <c r="D36" s="285">
        <v>39.460738839005003</v>
      </c>
      <c r="E36" s="286">
        <v>3.3380412914650002</v>
      </c>
      <c r="F36" s="284">
        <v>57.716122126656003</v>
      </c>
      <c r="G36" s="285">
        <v>14.429030531664001</v>
      </c>
      <c r="H36" s="287">
        <v>4.9406564584124654E-324</v>
      </c>
      <c r="I36" s="284">
        <v>1.4821969375237396E-323</v>
      </c>
      <c r="J36" s="285">
        <v>-14.429030531664001</v>
      </c>
      <c r="K36" s="288">
        <v>0</v>
      </c>
    </row>
    <row r="37" spans="1:11" ht="14.4" customHeight="1" thickBot="1" x14ac:dyDescent="0.35">
      <c r="A37" s="306" t="s">
        <v>229</v>
      </c>
      <c r="B37" s="284">
        <v>13.544699738093</v>
      </c>
      <c r="C37" s="284">
        <v>15.20914</v>
      </c>
      <c r="D37" s="285">
        <v>1.6644402619059999</v>
      </c>
      <c r="E37" s="286">
        <v>1.122884987787</v>
      </c>
      <c r="F37" s="284">
        <v>17.00520054251</v>
      </c>
      <c r="G37" s="285">
        <v>4.2513001356269999</v>
      </c>
      <c r="H37" s="287">
        <v>1.1726799999999999</v>
      </c>
      <c r="I37" s="284">
        <v>4.0040800000000001</v>
      </c>
      <c r="J37" s="285">
        <v>-0.24722013562699999</v>
      </c>
      <c r="K37" s="288">
        <v>0.235462086435</v>
      </c>
    </row>
    <row r="38" spans="1:11" ht="14.4" customHeight="1" thickBot="1" x14ac:dyDescent="0.35">
      <c r="A38" s="306" t="s">
        <v>230</v>
      </c>
      <c r="B38" s="284">
        <v>4.9406564584124654E-324</v>
      </c>
      <c r="C38" s="284">
        <v>2.71</v>
      </c>
      <c r="D38" s="285">
        <v>2.71</v>
      </c>
      <c r="E38" s="294" t="s">
        <v>201</v>
      </c>
      <c r="F38" s="284">
        <v>0</v>
      </c>
      <c r="G38" s="285">
        <v>0</v>
      </c>
      <c r="H38" s="287">
        <v>4.9406564584124654E-324</v>
      </c>
      <c r="I38" s="284">
        <v>1.4821969375237396E-323</v>
      </c>
      <c r="J38" s="285">
        <v>1.4821969375237396E-323</v>
      </c>
      <c r="K38" s="295" t="s">
        <v>195</v>
      </c>
    </row>
    <row r="39" spans="1:11" ht="14.4" customHeight="1" thickBot="1" x14ac:dyDescent="0.35">
      <c r="A39" s="306" t="s">
        <v>231</v>
      </c>
      <c r="B39" s="284">
        <v>4.9406564584124654E-324</v>
      </c>
      <c r="C39" s="284">
        <v>0.99365999999999999</v>
      </c>
      <c r="D39" s="285">
        <v>0.99365999999999999</v>
      </c>
      <c r="E39" s="294" t="s">
        <v>201</v>
      </c>
      <c r="F39" s="284">
        <v>0</v>
      </c>
      <c r="G39" s="285">
        <v>0</v>
      </c>
      <c r="H39" s="287">
        <v>4.9406564584124654E-324</v>
      </c>
      <c r="I39" s="284">
        <v>1.4821969375237396E-323</v>
      </c>
      <c r="J39" s="285">
        <v>1.4821969375237396E-323</v>
      </c>
      <c r="K39" s="295" t="s">
        <v>195</v>
      </c>
    </row>
    <row r="40" spans="1:11" ht="14.4" customHeight="1" thickBot="1" x14ac:dyDescent="0.35">
      <c r="A40" s="306" t="s">
        <v>232</v>
      </c>
      <c r="B40" s="284">
        <v>4.9406564584124654E-324</v>
      </c>
      <c r="C40" s="284">
        <v>153.11735999999999</v>
      </c>
      <c r="D40" s="285">
        <v>153.11735999999999</v>
      </c>
      <c r="E40" s="294" t="s">
        <v>201</v>
      </c>
      <c r="F40" s="284">
        <v>121.989642780079</v>
      </c>
      <c r="G40" s="285">
        <v>30.497410695018999</v>
      </c>
      <c r="H40" s="287">
        <v>4.2892900000000003</v>
      </c>
      <c r="I40" s="284">
        <v>12.356030000000001</v>
      </c>
      <c r="J40" s="285">
        <v>-18.141380695018999</v>
      </c>
      <c r="K40" s="288">
        <v>0.101287533256</v>
      </c>
    </row>
    <row r="41" spans="1:11" ht="14.4" customHeight="1" thickBot="1" x14ac:dyDescent="0.35">
      <c r="A41" s="305" t="s">
        <v>233</v>
      </c>
      <c r="B41" s="289">
        <v>852.19297180484295</v>
      </c>
      <c r="C41" s="289">
        <v>290.39756999999997</v>
      </c>
      <c r="D41" s="290">
        <v>-561.79540180484196</v>
      </c>
      <c r="E41" s="296">
        <v>0.34076503750600001</v>
      </c>
      <c r="F41" s="289">
        <v>204.45842956420501</v>
      </c>
      <c r="G41" s="290">
        <v>51.114607391051003</v>
      </c>
      <c r="H41" s="292">
        <v>16.039059999999999</v>
      </c>
      <c r="I41" s="289">
        <v>47.966050000000003</v>
      </c>
      <c r="J41" s="290">
        <v>-3.1485573910509999</v>
      </c>
      <c r="K41" s="297">
        <v>0.234600500953</v>
      </c>
    </row>
    <row r="42" spans="1:11" ht="14.4" customHeight="1" thickBot="1" x14ac:dyDescent="0.35">
      <c r="A42" s="306" t="s">
        <v>234</v>
      </c>
      <c r="B42" s="284">
        <v>16.996121629106</v>
      </c>
      <c r="C42" s="284">
        <v>2.8540000000000001</v>
      </c>
      <c r="D42" s="285">
        <v>-14.142121629106001</v>
      </c>
      <c r="E42" s="286">
        <v>0.167920662271</v>
      </c>
      <c r="F42" s="284">
        <v>0</v>
      </c>
      <c r="G42" s="285">
        <v>0</v>
      </c>
      <c r="H42" s="287">
        <v>4.9406564584124654E-324</v>
      </c>
      <c r="I42" s="284">
        <v>1.4821969375237396E-323</v>
      </c>
      <c r="J42" s="285">
        <v>1.4821969375237396E-323</v>
      </c>
      <c r="K42" s="295" t="s">
        <v>195</v>
      </c>
    </row>
    <row r="43" spans="1:11" ht="14.4" customHeight="1" thickBot="1" x14ac:dyDescent="0.35">
      <c r="A43" s="306" t="s">
        <v>235</v>
      </c>
      <c r="B43" s="284">
        <v>35.027857136553003</v>
      </c>
      <c r="C43" s="284">
        <v>72.296400000000006</v>
      </c>
      <c r="D43" s="285">
        <v>37.268542863446001</v>
      </c>
      <c r="E43" s="286">
        <v>2.0639686783619999</v>
      </c>
      <c r="F43" s="284">
        <v>58.563843418080999</v>
      </c>
      <c r="G43" s="285">
        <v>14.640960854519999</v>
      </c>
      <c r="H43" s="287">
        <v>4.9406564584124654E-324</v>
      </c>
      <c r="I43" s="284">
        <v>1.6919999999999999</v>
      </c>
      <c r="J43" s="285">
        <v>-12.948960854519999</v>
      </c>
      <c r="K43" s="288">
        <v>2.8891546407999999E-2</v>
      </c>
    </row>
    <row r="44" spans="1:11" ht="14.4" customHeight="1" thickBot="1" x14ac:dyDescent="0.35">
      <c r="A44" s="306" t="s">
        <v>236</v>
      </c>
      <c r="B44" s="284">
        <v>791.52214669283001</v>
      </c>
      <c r="C44" s="284">
        <v>209.86368999999999</v>
      </c>
      <c r="D44" s="285">
        <v>-581.65845669282999</v>
      </c>
      <c r="E44" s="286">
        <v>0.26513937844500002</v>
      </c>
      <c r="F44" s="284">
        <v>139.89346715803401</v>
      </c>
      <c r="G44" s="285">
        <v>34.973366789507999</v>
      </c>
      <c r="H44" s="287">
        <v>15.810560000000001</v>
      </c>
      <c r="I44" s="284">
        <v>45.312950000000001</v>
      </c>
      <c r="J44" s="285">
        <v>10.339583210491</v>
      </c>
      <c r="K44" s="288">
        <v>0.32391040783000002</v>
      </c>
    </row>
    <row r="45" spans="1:11" ht="14.4" customHeight="1" thickBot="1" x14ac:dyDescent="0.35">
      <c r="A45" s="306" t="s">
        <v>237</v>
      </c>
      <c r="B45" s="284">
        <v>0</v>
      </c>
      <c r="C45" s="284">
        <v>1.0109999999999999</v>
      </c>
      <c r="D45" s="285">
        <v>1.0109999999999999</v>
      </c>
      <c r="E45" s="294" t="s">
        <v>195</v>
      </c>
      <c r="F45" s="284">
        <v>0</v>
      </c>
      <c r="G45" s="285">
        <v>0</v>
      </c>
      <c r="H45" s="287">
        <v>4.9406564584124654E-324</v>
      </c>
      <c r="I45" s="284">
        <v>1.4821969375237396E-323</v>
      </c>
      <c r="J45" s="285">
        <v>1.4821969375237396E-323</v>
      </c>
      <c r="K45" s="295" t="s">
        <v>195</v>
      </c>
    </row>
    <row r="46" spans="1:11" ht="14.4" customHeight="1" thickBot="1" x14ac:dyDescent="0.35">
      <c r="A46" s="306" t="s">
        <v>238</v>
      </c>
      <c r="B46" s="284">
        <v>8.4107345191680007</v>
      </c>
      <c r="C46" s="284">
        <v>4.3724800000000004</v>
      </c>
      <c r="D46" s="285">
        <v>-4.0382545191680004</v>
      </c>
      <c r="E46" s="286">
        <v>0.51986898290899997</v>
      </c>
      <c r="F46" s="284">
        <v>6.0011189880889999</v>
      </c>
      <c r="G46" s="285">
        <v>1.500279747022</v>
      </c>
      <c r="H46" s="287">
        <v>0.22850000000000001</v>
      </c>
      <c r="I46" s="284">
        <v>0.96109999999999995</v>
      </c>
      <c r="J46" s="285">
        <v>-0.539179747022</v>
      </c>
      <c r="K46" s="288">
        <v>0.16015346503</v>
      </c>
    </row>
    <row r="47" spans="1:11" ht="14.4" customHeight="1" thickBot="1" x14ac:dyDescent="0.35">
      <c r="A47" s="305" t="s">
        <v>239</v>
      </c>
      <c r="B47" s="289">
        <v>4979.8749943492803</v>
      </c>
      <c r="C47" s="289">
        <v>5021.2315699999999</v>
      </c>
      <c r="D47" s="290">
        <v>41.356575650724999</v>
      </c>
      <c r="E47" s="296">
        <v>1.0083047417240001</v>
      </c>
      <c r="F47" s="289">
        <v>5975.3778539409104</v>
      </c>
      <c r="G47" s="290">
        <v>1493.8444634852301</v>
      </c>
      <c r="H47" s="292">
        <v>495.48297000000002</v>
      </c>
      <c r="I47" s="289">
        <v>1409.6500900000001</v>
      </c>
      <c r="J47" s="290">
        <v>-84.194373485225</v>
      </c>
      <c r="K47" s="297">
        <v>0.23590978252</v>
      </c>
    </row>
    <row r="48" spans="1:11" ht="14.4" customHeight="1" thickBot="1" x14ac:dyDescent="0.35">
      <c r="A48" s="306" t="s">
        <v>240</v>
      </c>
      <c r="B48" s="284">
        <v>93.380226486357998</v>
      </c>
      <c r="C48" s="284">
        <v>32.834099999999999</v>
      </c>
      <c r="D48" s="285">
        <v>-60.546126486357998</v>
      </c>
      <c r="E48" s="286">
        <v>0.35161726668900001</v>
      </c>
      <c r="F48" s="284">
        <v>29.371100406562999</v>
      </c>
      <c r="G48" s="285">
        <v>7.34277510164</v>
      </c>
      <c r="H48" s="287">
        <v>2.8484799999999999</v>
      </c>
      <c r="I48" s="284">
        <v>8.6081299999999992</v>
      </c>
      <c r="J48" s="285">
        <v>1.2653548983589999</v>
      </c>
      <c r="K48" s="288">
        <v>0.29308163061100001</v>
      </c>
    </row>
    <row r="49" spans="1:11" ht="14.4" customHeight="1" thickBot="1" x14ac:dyDescent="0.35">
      <c r="A49" s="306" t="s">
        <v>241</v>
      </c>
      <c r="B49" s="284">
        <v>3.6204716799679999</v>
      </c>
      <c r="C49" s="284">
        <v>1.1279999999999999</v>
      </c>
      <c r="D49" s="285">
        <v>-2.4924716799679998</v>
      </c>
      <c r="E49" s="286">
        <v>0.31156161398499999</v>
      </c>
      <c r="F49" s="284">
        <v>0</v>
      </c>
      <c r="G49" s="285">
        <v>0</v>
      </c>
      <c r="H49" s="287">
        <v>4.9406564584124654E-324</v>
      </c>
      <c r="I49" s="284">
        <v>1.4821969375237396E-323</v>
      </c>
      <c r="J49" s="285">
        <v>1.4821969375237396E-323</v>
      </c>
      <c r="K49" s="295" t="s">
        <v>195</v>
      </c>
    </row>
    <row r="50" spans="1:11" ht="14.4" customHeight="1" thickBot="1" x14ac:dyDescent="0.35">
      <c r="A50" s="306" t="s">
        <v>242</v>
      </c>
      <c r="B50" s="284">
        <v>4882.8742961829503</v>
      </c>
      <c r="C50" s="284">
        <v>4987.2694700000002</v>
      </c>
      <c r="D50" s="285">
        <v>104.39517381705301</v>
      </c>
      <c r="E50" s="286">
        <v>1.021379861017</v>
      </c>
      <c r="F50" s="284">
        <v>0</v>
      </c>
      <c r="G50" s="285">
        <v>0</v>
      </c>
      <c r="H50" s="287">
        <v>4.9406564584124654E-324</v>
      </c>
      <c r="I50" s="284">
        <v>1.4821969375237396E-323</v>
      </c>
      <c r="J50" s="285">
        <v>1.4821969375237396E-323</v>
      </c>
      <c r="K50" s="295" t="s">
        <v>195</v>
      </c>
    </row>
    <row r="51" spans="1:11" ht="14.4" customHeight="1" thickBot="1" x14ac:dyDescent="0.35">
      <c r="A51" s="306" t="s">
        <v>243</v>
      </c>
      <c r="B51" s="284">
        <v>4.9406564584124654E-324</v>
      </c>
      <c r="C51" s="284">
        <v>4.9406564584124654E-324</v>
      </c>
      <c r="D51" s="285">
        <v>0</v>
      </c>
      <c r="E51" s="286">
        <v>1</v>
      </c>
      <c r="F51" s="284">
        <v>1444.13890421876</v>
      </c>
      <c r="G51" s="285">
        <v>361.03472605469102</v>
      </c>
      <c r="H51" s="287">
        <v>129.42484999999999</v>
      </c>
      <c r="I51" s="284">
        <v>358.01081000000102</v>
      </c>
      <c r="J51" s="285">
        <v>-3.0239160546899999</v>
      </c>
      <c r="K51" s="288">
        <v>0.24790607673100001</v>
      </c>
    </row>
    <row r="52" spans="1:11" ht="14.4" customHeight="1" thickBot="1" x14ac:dyDescent="0.35">
      <c r="A52" s="306" t="s">
        <v>244</v>
      </c>
      <c r="B52" s="284">
        <v>4.9406564584124654E-324</v>
      </c>
      <c r="C52" s="284">
        <v>4.9406564584124654E-324</v>
      </c>
      <c r="D52" s="285">
        <v>0</v>
      </c>
      <c r="E52" s="286">
        <v>1</v>
      </c>
      <c r="F52" s="284">
        <v>4117.9200388859299</v>
      </c>
      <c r="G52" s="285">
        <v>1029.48000972148</v>
      </c>
      <c r="H52" s="287">
        <v>315.86642999999998</v>
      </c>
      <c r="I52" s="284">
        <v>903.19434000000103</v>
      </c>
      <c r="J52" s="285">
        <v>-126.285669721481</v>
      </c>
      <c r="K52" s="288">
        <v>0.21933265616399999</v>
      </c>
    </row>
    <row r="53" spans="1:11" ht="14.4" customHeight="1" thickBot="1" x14ac:dyDescent="0.35">
      <c r="A53" s="306" t="s">
        <v>245</v>
      </c>
      <c r="B53" s="284">
        <v>4.9406564584124654E-324</v>
      </c>
      <c r="C53" s="284">
        <v>4.9406564584124654E-324</v>
      </c>
      <c r="D53" s="285">
        <v>0</v>
      </c>
      <c r="E53" s="286">
        <v>1</v>
      </c>
      <c r="F53" s="284">
        <v>383.94781042965298</v>
      </c>
      <c r="G53" s="285">
        <v>95.986952607413002</v>
      </c>
      <c r="H53" s="287">
        <v>47.343209999999999</v>
      </c>
      <c r="I53" s="284">
        <v>139.83681000000001</v>
      </c>
      <c r="J53" s="285">
        <v>43.849857392586998</v>
      </c>
      <c r="K53" s="288">
        <v>0.36420785898800001</v>
      </c>
    </row>
    <row r="54" spans="1:11" ht="14.4" customHeight="1" thickBot="1" x14ac:dyDescent="0.35">
      <c r="A54" s="305" t="s">
        <v>246</v>
      </c>
      <c r="B54" s="289">
        <v>0</v>
      </c>
      <c r="C54" s="289">
        <v>158.1925</v>
      </c>
      <c r="D54" s="290">
        <v>158.1925</v>
      </c>
      <c r="E54" s="291" t="s">
        <v>195</v>
      </c>
      <c r="F54" s="289">
        <v>0</v>
      </c>
      <c r="G54" s="290">
        <v>0</v>
      </c>
      <c r="H54" s="292">
        <v>4.9406564584124654E-324</v>
      </c>
      <c r="I54" s="289">
        <v>1.4821969375237396E-323</v>
      </c>
      <c r="J54" s="290">
        <v>1.4821969375237396E-323</v>
      </c>
      <c r="K54" s="293" t="s">
        <v>195</v>
      </c>
    </row>
    <row r="55" spans="1:11" ht="14.4" customHeight="1" thickBot="1" x14ac:dyDescent="0.35">
      <c r="A55" s="306" t="s">
        <v>247</v>
      </c>
      <c r="B55" s="284">
        <v>4.9406564584124654E-324</v>
      </c>
      <c r="C55" s="284">
        <v>158.1925</v>
      </c>
      <c r="D55" s="285">
        <v>158.1925</v>
      </c>
      <c r="E55" s="294" t="s">
        <v>201</v>
      </c>
      <c r="F55" s="284">
        <v>0</v>
      </c>
      <c r="G55" s="285">
        <v>0</v>
      </c>
      <c r="H55" s="287">
        <v>4.9406564584124654E-324</v>
      </c>
      <c r="I55" s="284">
        <v>1.4821969375237396E-323</v>
      </c>
      <c r="J55" s="285">
        <v>1.4821969375237396E-323</v>
      </c>
      <c r="K55" s="295" t="s">
        <v>195</v>
      </c>
    </row>
    <row r="56" spans="1:11" ht="14.4" customHeight="1" thickBot="1" x14ac:dyDescent="0.35">
      <c r="A56" s="304" t="s">
        <v>26</v>
      </c>
      <c r="B56" s="284">
        <v>2184.6372461035098</v>
      </c>
      <c r="C56" s="284">
        <v>2148.2820000000002</v>
      </c>
      <c r="D56" s="285">
        <v>-36.355246103508001</v>
      </c>
      <c r="E56" s="286">
        <v>0.98335868063700005</v>
      </c>
      <c r="F56" s="284">
        <v>2162.72153689896</v>
      </c>
      <c r="G56" s="285">
        <v>540.68038422474001</v>
      </c>
      <c r="H56" s="287">
        <v>165.62799999999999</v>
      </c>
      <c r="I56" s="284">
        <v>573.20400000000097</v>
      </c>
      <c r="J56" s="285">
        <v>32.523615775261</v>
      </c>
      <c r="K56" s="288">
        <v>0.26503828172900001</v>
      </c>
    </row>
    <row r="57" spans="1:11" ht="14.4" customHeight="1" thickBot="1" x14ac:dyDescent="0.35">
      <c r="A57" s="305" t="s">
        <v>248</v>
      </c>
      <c r="B57" s="289">
        <v>2184.6372461035098</v>
      </c>
      <c r="C57" s="289">
        <v>2148.2820000000002</v>
      </c>
      <c r="D57" s="290">
        <v>-36.355246103508001</v>
      </c>
      <c r="E57" s="296">
        <v>0.98335868063700005</v>
      </c>
      <c r="F57" s="289">
        <v>2162.72153689896</v>
      </c>
      <c r="G57" s="290">
        <v>540.68038422474001</v>
      </c>
      <c r="H57" s="292">
        <v>165.62799999999999</v>
      </c>
      <c r="I57" s="289">
        <v>573.20400000000097</v>
      </c>
      <c r="J57" s="290">
        <v>32.523615775261</v>
      </c>
      <c r="K57" s="297">
        <v>0.26503828172900001</v>
      </c>
    </row>
    <row r="58" spans="1:11" ht="14.4" customHeight="1" thickBot="1" x14ac:dyDescent="0.35">
      <c r="A58" s="306" t="s">
        <v>249</v>
      </c>
      <c r="B58" s="284">
        <v>607.54676380440901</v>
      </c>
      <c r="C58" s="284">
        <v>614.27800000000002</v>
      </c>
      <c r="D58" s="285">
        <v>6.7312361955910003</v>
      </c>
      <c r="E58" s="286">
        <v>1.011079371328</v>
      </c>
      <c r="F58" s="284">
        <v>609.68701612278403</v>
      </c>
      <c r="G58" s="285">
        <v>152.42175403069601</v>
      </c>
      <c r="H58" s="287">
        <v>41.844999999999999</v>
      </c>
      <c r="I58" s="284">
        <v>125.658</v>
      </c>
      <c r="J58" s="285">
        <v>-26.763754030695001</v>
      </c>
      <c r="K58" s="288">
        <v>0.206102470082</v>
      </c>
    </row>
    <row r="59" spans="1:11" ht="14.4" customHeight="1" thickBot="1" x14ac:dyDescent="0.35">
      <c r="A59" s="306" t="s">
        <v>250</v>
      </c>
      <c r="B59" s="284">
        <v>900.03868195048699</v>
      </c>
      <c r="C59" s="284">
        <v>889.98</v>
      </c>
      <c r="D59" s="285">
        <v>-10.058681950486999</v>
      </c>
      <c r="E59" s="286">
        <v>0.98882416705800003</v>
      </c>
      <c r="F59" s="284">
        <v>900.00609651507102</v>
      </c>
      <c r="G59" s="285">
        <v>225.00152412876801</v>
      </c>
      <c r="H59" s="287">
        <v>59.786999999999999</v>
      </c>
      <c r="I59" s="284">
        <v>215.892</v>
      </c>
      <c r="J59" s="285">
        <v>-9.1095241287669992</v>
      </c>
      <c r="K59" s="288">
        <v>0.23987837508599999</v>
      </c>
    </row>
    <row r="60" spans="1:11" ht="14.4" customHeight="1" thickBot="1" x14ac:dyDescent="0.35">
      <c r="A60" s="306" t="s">
        <v>251</v>
      </c>
      <c r="B60" s="284">
        <v>677.05180034861303</v>
      </c>
      <c r="C60" s="284">
        <v>644.024</v>
      </c>
      <c r="D60" s="285">
        <v>-33.027800348612999</v>
      </c>
      <c r="E60" s="286">
        <v>0.951218207629</v>
      </c>
      <c r="F60" s="284">
        <v>653.02842426110396</v>
      </c>
      <c r="G60" s="285">
        <v>163.25710606527599</v>
      </c>
      <c r="H60" s="287">
        <v>63.996000000000002</v>
      </c>
      <c r="I60" s="284">
        <v>231.654</v>
      </c>
      <c r="J60" s="285">
        <v>68.396893934724005</v>
      </c>
      <c r="K60" s="288">
        <v>0.35473800434000002</v>
      </c>
    </row>
    <row r="61" spans="1:11" ht="14.4" customHeight="1" thickBot="1" x14ac:dyDescent="0.35">
      <c r="A61" s="307" t="s">
        <v>252</v>
      </c>
      <c r="B61" s="289">
        <v>5851.9342135180304</v>
      </c>
      <c r="C61" s="289">
        <v>5492.9667600000002</v>
      </c>
      <c r="D61" s="290">
        <v>-358.96745351802701</v>
      </c>
      <c r="E61" s="296">
        <v>0.93865832382500003</v>
      </c>
      <c r="F61" s="289">
        <v>5378.7353457003401</v>
      </c>
      <c r="G61" s="290">
        <v>1344.68383642509</v>
      </c>
      <c r="H61" s="292">
        <v>333.44297999999998</v>
      </c>
      <c r="I61" s="289">
        <v>5127.1345799999999</v>
      </c>
      <c r="J61" s="290">
        <v>3782.4507435749201</v>
      </c>
      <c r="K61" s="297">
        <v>0.95322306275900004</v>
      </c>
    </row>
    <row r="62" spans="1:11" ht="14.4" customHeight="1" thickBot="1" x14ac:dyDescent="0.35">
      <c r="A62" s="304" t="s">
        <v>29</v>
      </c>
      <c r="B62" s="284">
        <v>1545.5070339470701</v>
      </c>
      <c r="C62" s="284">
        <v>1381.7570499999999</v>
      </c>
      <c r="D62" s="285">
        <v>-163.74998394706799</v>
      </c>
      <c r="E62" s="286">
        <v>0.89404772650599995</v>
      </c>
      <c r="F62" s="284">
        <v>1310.4887640844299</v>
      </c>
      <c r="G62" s="285">
        <v>327.62219102110703</v>
      </c>
      <c r="H62" s="287">
        <v>15.66338</v>
      </c>
      <c r="I62" s="284">
        <v>259.57965000000002</v>
      </c>
      <c r="J62" s="285">
        <v>-68.042541021106999</v>
      </c>
      <c r="K62" s="288">
        <v>0.19807850102499999</v>
      </c>
    </row>
    <row r="63" spans="1:11" ht="14.4" customHeight="1" thickBot="1" x14ac:dyDescent="0.35">
      <c r="A63" s="308" t="s">
        <v>253</v>
      </c>
      <c r="B63" s="284">
        <v>1545.5070339470701</v>
      </c>
      <c r="C63" s="284">
        <v>1381.7570499999999</v>
      </c>
      <c r="D63" s="285">
        <v>-163.74998394706799</v>
      </c>
      <c r="E63" s="286">
        <v>0.89404772650599995</v>
      </c>
      <c r="F63" s="284">
        <v>1310.4887640844299</v>
      </c>
      <c r="G63" s="285">
        <v>327.62219102110703</v>
      </c>
      <c r="H63" s="287">
        <v>15.66338</v>
      </c>
      <c r="I63" s="284">
        <v>259.57965000000002</v>
      </c>
      <c r="J63" s="285">
        <v>-68.042541021106999</v>
      </c>
      <c r="K63" s="288">
        <v>0.19807850102499999</v>
      </c>
    </row>
    <row r="64" spans="1:11" ht="14.4" customHeight="1" thickBot="1" x14ac:dyDescent="0.35">
      <c r="A64" s="306" t="s">
        <v>254</v>
      </c>
      <c r="B64" s="284">
        <v>1125.5870100648999</v>
      </c>
      <c r="C64" s="284">
        <v>886.47229000000095</v>
      </c>
      <c r="D64" s="285">
        <v>-239.11472006490101</v>
      </c>
      <c r="E64" s="286">
        <v>0.78756442822499995</v>
      </c>
      <c r="F64" s="284">
        <v>817.45143495754803</v>
      </c>
      <c r="G64" s="285">
        <v>204.36285873938701</v>
      </c>
      <c r="H64" s="287">
        <v>8.9386399999999995</v>
      </c>
      <c r="I64" s="284">
        <v>190.06523999999999</v>
      </c>
      <c r="J64" s="285">
        <v>-14.297618739385999</v>
      </c>
      <c r="K64" s="288">
        <v>0.23250951906299999</v>
      </c>
    </row>
    <row r="65" spans="1:11" ht="14.4" customHeight="1" thickBot="1" x14ac:dyDescent="0.35">
      <c r="A65" s="306" t="s">
        <v>255</v>
      </c>
      <c r="B65" s="284">
        <v>166.93985488609101</v>
      </c>
      <c r="C65" s="284">
        <v>212.51760999999999</v>
      </c>
      <c r="D65" s="285">
        <v>45.577755113907997</v>
      </c>
      <c r="E65" s="286">
        <v>1.273019017208</v>
      </c>
      <c r="F65" s="284">
        <v>276.33555588538798</v>
      </c>
      <c r="G65" s="285">
        <v>69.083888971346994</v>
      </c>
      <c r="H65" s="287">
        <v>6.6109999999999998</v>
      </c>
      <c r="I65" s="284">
        <v>9.5721000000000007</v>
      </c>
      <c r="J65" s="285">
        <v>-59.511788971347002</v>
      </c>
      <c r="K65" s="288">
        <v>3.4639407763000001E-2</v>
      </c>
    </row>
    <row r="66" spans="1:11" ht="14.4" customHeight="1" thickBot="1" x14ac:dyDescent="0.35">
      <c r="A66" s="306" t="s">
        <v>256</v>
      </c>
      <c r="B66" s="284">
        <v>169.98629104171101</v>
      </c>
      <c r="C66" s="284">
        <v>153.10580999999999</v>
      </c>
      <c r="D66" s="285">
        <v>-16.880481041711001</v>
      </c>
      <c r="E66" s="286">
        <v>0.90069504465100003</v>
      </c>
      <c r="F66" s="284">
        <v>81.999861559118003</v>
      </c>
      <c r="G66" s="285">
        <v>20.499965389779</v>
      </c>
      <c r="H66" s="287">
        <v>4.9406564584124654E-324</v>
      </c>
      <c r="I66" s="284">
        <v>45.334380000000003</v>
      </c>
      <c r="J66" s="285">
        <v>24.834414610220001</v>
      </c>
      <c r="K66" s="288">
        <v>0.552859226077</v>
      </c>
    </row>
    <row r="67" spans="1:11" ht="14.4" customHeight="1" thickBot="1" x14ac:dyDescent="0.35">
      <c r="A67" s="306" t="s">
        <v>257</v>
      </c>
      <c r="B67" s="284">
        <v>82.993877954363995</v>
      </c>
      <c r="C67" s="284">
        <v>129.66134</v>
      </c>
      <c r="D67" s="285">
        <v>46.667462045634998</v>
      </c>
      <c r="E67" s="286">
        <v>1.562300053882</v>
      </c>
      <c r="F67" s="284">
        <v>134.701911682375</v>
      </c>
      <c r="G67" s="285">
        <v>33.675477920593003</v>
      </c>
      <c r="H67" s="287">
        <v>0.11373999999999999</v>
      </c>
      <c r="I67" s="284">
        <v>14.60793</v>
      </c>
      <c r="J67" s="285">
        <v>-19.067547920593</v>
      </c>
      <c r="K67" s="288">
        <v>0.10844634509999999</v>
      </c>
    </row>
    <row r="68" spans="1:11" ht="14.4" customHeight="1" thickBot="1" x14ac:dyDescent="0.35">
      <c r="A68" s="309" t="s">
        <v>30</v>
      </c>
      <c r="B68" s="289">
        <v>0</v>
      </c>
      <c r="C68" s="289">
        <v>33.04</v>
      </c>
      <c r="D68" s="290">
        <v>33.04</v>
      </c>
      <c r="E68" s="291" t="s">
        <v>195</v>
      </c>
      <c r="F68" s="289">
        <v>0</v>
      </c>
      <c r="G68" s="290">
        <v>0</v>
      </c>
      <c r="H68" s="292">
        <v>4.9406564584124654E-324</v>
      </c>
      <c r="I68" s="289">
        <v>4.0469999999999997</v>
      </c>
      <c r="J68" s="290">
        <v>4.0469999999999997</v>
      </c>
      <c r="K68" s="293" t="s">
        <v>195</v>
      </c>
    </row>
    <row r="69" spans="1:11" ht="14.4" customHeight="1" thickBot="1" x14ac:dyDescent="0.35">
      <c r="A69" s="305" t="s">
        <v>258</v>
      </c>
      <c r="B69" s="289">
        <v>0</v>
      </c>
      <c r="C69" s="289">
        <v>33.04</v>
      </c>
      <c r="D69" s="290">
        <v>33.04</v>
      </c>
      <c r="E69" s="291" t="s">
        <v>195</v>
      </c>
      <c r="F69" s="289">
        <v>0</v>
      </c>
      <c r="G69" s="290">
        <v>0</v>
      </c>
      <c r="H69" s="292">
        <v>4.9406564584124654E-324</v>
      </c>
      <c r="I69" s="289">
        <v>4.0469999999999997</v>
      </c>
      <c r="J69" s="290">
        <v>4.0469999999999997</v>
      </c>
      <c r="K69" s="293" t="s">
        <v>195</v>
      </c>
    </row>
    <row r="70" spans="1:11" ht="14.4" customHeight="1" thickBot="1" x14ac:dyDescent="0.35">
      <c r="A70" s="306" t="s">
        <v>259</v>
      </c>
      <c r="B70" s="284">
        <v>0</v>
      </c>
      <c r="C70" s="284">
        <v>18.872</v>
      </c>
      <c r="D70" s="285">
        <v>18.872</v>
      </c>
      <c r="E70" s="294" t="s">
        <v>195</v>
      </c>
      <c r="F70" s="284">
        <v>0</v>
      </c>
      <c r="G70" s="285">
        <v>0</v>
      </c>
      <c r="H70" s="287">
        <v>4.9406564584124654E-324</v>
      </c>
      <c r="I70" s="284">
        <v>2.1219999999999999</v>
      </c>
      <c r="J70" s="285">
        <v>2.1219999999999999</v>
      </c>
      <c r="K70" s="295" t="s">
        <v>195</v>
      </c>
    </row>
    <row r="71" spans="1:11" ht="14.4" customHeight="1" thickBot="1" x14ac:dyDescent="0.35">
      <c r="A71" s="306" t="s">
        <v>260</v>
      </c>
      <c r="B71" s="284">
        <v>0</v>
      </c>
      <c r="C71" s="284">
        <v>14.167999999999999</v>
      </c>
      <c r="D71" s="285">
        <v>14.167999999999999</v>
      </c>
      <c r="E71" s="294" t="s">
        <v>195</v>
      </c>
      <c r="F71" s="284">
        <v>0</v>
      </c>
      <c r="G71" s="285">
        <v>0</v>
      </c>
      <c r="H71" s="287">
        <v>4.9406564584124654E-324</v>
      </c>
      <c r="I71" s="284">
        <v>1.925</v>
      </c>
      <c r="J71" s="285">
        <v>1.925</v>
      </c>
      <c r="K71" s="295" t="s">
        <v>195</v>
      </c>
    </row>
    <row r="72" spans="1:11" ht="14.4" customHeight="1" thickBot="1" x14ac:dyDescent="0.35">
      <c r="A72" s="304" t="s">
        <v>261</v>
      </c>
      <c r="B72" s="284">
        <v>0</v>
      </c>
      <c r="C72" s="284">
        <v>0.62295</v>
      </c>
      <c r="D72" s="285">
        <v>0.62295</v>
      </c>
      <c r="E72" s="294" t="s">
        <v>195</v>
      </c>
      <c r="F72" s="284">
        <v>0</v>
      </c>
      <c r="G72" s="285">
        <v>0</v>
      </c>
      <c r="H72" s="287">
        <v>4.9406564584124654E-324</v>
      </c>
      <c r="I72" s="284">
        <v>1.4821969375237396E-323</v>
      </c>
      <c r="J72" s="285">
        <v>1.4821969375237396E-323</v>
      </c>
      <c r="K72" s="295" t="s">
        <v>195</v>
      </c>
    </row>
    <row r="73" spans="1:11" ht="14.4" customHeight="1" thickBot="1" x14ac:dyDescent="0.35">
      <c r="A73" s="305" t="s">
        <v>262</v>
      </c>
      <c r="B73" s="289">
        <v>0</v>
      </c>
      <c r="C73" s="289">
        <v>0.62295</v>
      </c>
      <c r="D73" s="290">
        <v>0.62295</v>
      </c>
      <c r="E73" s="291" t="s">
        <v>195</v>
      </c>
      <c r="F73" s="289">
        <v>0</v>
      </c>
      <c r="G73" s="290">
        <v>0</v>
      </c>
      <c r="H73" s="292">
        <v>4.9406564584124654E-324</v>
      </c>
      <c r="I73" s="289">
        <v>1.4821969375237396E-323</v>
      </c>
      <c r="J73" s="290">
        <v>1.4821969375237396E-323</v>
      </c>
      <c r="K73" s="293" t="s">
        <v>195</v>
      </c>
    </row>
    <row r="74" spans="1:11" ht="14.4" customHeight="1" thickBot="1" x14ac:dyDescent="0.35">
      <c r="A74" s="306" t="s">
        <v>263</v>
      </c>
      <c r="B74" s="284">
        <v>0</v>
      </c>
      <c r="C74" s="284">
        <v>0.62295</v>
      </c>
      <c r="D74" s="285">
        <v>0.62295</v>
      </c>
      <c r="E74" s="294" t="s">
        <v>195</v>
      </c>
      <c r="F74" s="284">
        <v>0</v>
      </c>
      <c r="G74" s="285">
        <v>0</v>
      </c>
      <c r="H74" s="287">
        <v>4.9406564584124654E-324</v>
      </c>
      <c r="I74" s="284">
        <v>1.4821969375237396E-323</v>
      </c>
      <c r="J74" s="285">
        <v>1.4821969375237396E-323</v>
      </c>
      <c r="K74" s="295" t="s">
        <v>195</v>
      </c>
    </row>
    <row r="75" spans="1:11" ht="14.4" customHeight="1" thickBot="1" x14ac:dyDescent="0.35">
      <c r="A75" s="304" t="s">
        <v>31</v>
      </c>
      <c r="B75" s="284">
        <v>4306.4271795709601</v>
      </c>
      <c r="C75" s="284">
        <v>4077.5467600000002</v>
      </c>
      <c r="D75" s="285">
        <v>-228.88041957095999</v>
      </c>
      <c r="E75" s="286">
        <v>0.94685143623000001</v>
      </c>
      <c r="F75" s="284">
        <v>4068.2465816159101</v>
      </c>
      <c r="G75" s="285">
        <v>1017.06164540398</v>
      </c>
      <c r="H75" s="287">
        <v>317.77960000000002</v>
      </c>
      <c r="I75" s="284">
        <v>4863.5079299999998</v>
      </c>
      <c r="J75" s="285">
        <v>3846.4462845960202</v>
      </c>
      <c r="K75" s="288">
        <v>1.1954801245269999</v>
      </c>
    </row>
    <row r="76" spans="1:11" ht="14.4" customHeight="1" thickBot="1" x14ac:dyDescent="0.35">
      <c r="A76" s="305" t="s">
        <v>264</v>
      </c>
      <c r="B76" s="289">
        <v>5.0847630308290004</v>
      </c>
      <c r="C76" s="289">
        <v>2.7320000000000002</v>
      </c>
      <c r="D76" s="290">
        <v>-2.3527630308290002</v>
      </c>
      <c r="E76" s="296">
        <v>0.53729150865700004</v>
      </c>
      <c r="F76" s="289">
        <v>1.0919770817029999</v>
      </c>
      <c r="G76" s="290">
        <v>0.27299427042500002</v>
      </c>
      <c r="H76" s="292">
        <v>0.41599999999999998</v>
      </c>
      <c r="I76" s="289">
        <v>0.93500000000000005</v>
      </c>
      <c r="J76" s="290">
        <v>0.66200572957399995</v>
      </c>
      <c r="K76" s="297">
        <v>0.85624507662799998</v>
      </c>
    </row>
    <row r="77" spans="1:11" ht="14.4" customHeight="1" thickBot="1" x14ac:dyDescent="0.35">
      <c r="A77" s="306" t="s">
        <v>265</v>
      </c>
      <c r="B77" s="284">
        <v>5.0847630308290004</v>
      </c>
      <c r="C77" s="284">
        <v>2.7320000000000002</v>
      </c>
      <c r="D77" s="285">
        <v>-2.3527630308290002</v>
      </c>
      <c r="E77" s="286">
        <v>0.53729150865700004</v>
      </c>
      <c r="F77" s="284">
        <v>1.0919770817029999</v>
      </c>
      <c r="G77" s="285">
        <v>0.27299427042500002</v>
      </c>
      <c r="H77" s="287">
        <v>0.41599999999999998</v>
      </c>
      <c r="I77" s="284">
        <v>0.93500000000000005</v>
      </c>
      <c r="J77" s="285">
        <v>0.66200572957399995</v>
      </c>
      <c r="K77" s="288">
        <v>0.85624507662799998</v>
      </c>
    </row>
    <row r="78" spans="1:11" ht="14.4" customHeight="1" thickBot="1" x14ac:dyDescent="0.35">
      <c r="A78" s="305" t="s">
        <v>266</v>
      </c>
      <c r="B78" s="289">
        <v>4.3804400502969996</v>
      </c>
      <c r="C78" s="289">
        <v>5.1136600000000003</v>
      </c>
      <c r="D78" s="290">
        <v>0.733219949702</v>
      </c>
      <c r="E78" s="296">
        <v>1.1673849981460001</v>
      </c>
      <c r="F78" s="289">
        <v>4.802707233534</v>
      </c>
      <c r="G78" s="290">
        <v>1.2006768083829999</v>
      </c>
      <c r="H78" s="292">
        <v>0.53063000000000005</v>
      </c>
      <c r="I78" s="289">
        <v>1.96919</v>
      </c>
      <c r="J78" s="290">
        <v>0.76851319161599996</v>
      </c>
      <c r="K78" s="297">
        <v>0.410016664403</v>
      </c>
    </row>
    <row r="79" spans="1:11" ht="14.4" customHeight="1" thickBot="1" x14ac:dyDescent="0.35">
      <c r="A79" s="306" t="s">
        <v>267</v>
      </c>
      <c r="B79" s="284">
        <v>4.3804400502969996</v>
      </c>
      <c r="C79" s="284">
        <v>5.1136600000000003</v>
      </c>
      <c r="D79" s="285">
        <v>0.733219949702</v>
      </c>
      <c r="E79" s="286">
        <v>1.1673849981460001</v>
      </c>
      <c r="F79" s="284">
        <v>4.802707233534</v>
      </c>
      <c r="G79" s="285">
        <v>1.2006768083829999</v>
      </c>
      <c r="H79" s="287">
        <v>0.53063000000000005</v>
      </c>
      <c r="I79" s="284">
        <v>1.96919</v>
      </c>
      <c r="J79" s="285">
        <v>0.76851319161599996</v>
      </c>
      <c r="K79" s="288">
        <v>0.410016664403</v>
      </c>
    </row>
    <row r="80" spans="1:11" ht="14.4" customHeight="1" thickBot="1" x14ac:dyDescent="0.35">
      <c r="A80" s="305" t="s">
        <v>268</v>
      </c>
      <c r="B80" s="289">
        <v>10.835014243267</v>
      </c>
      <c r="C80" s="289">
        <v>19.968409999999999</v>
      </c>
      <c r="D80" s="290">
        <v>9.1333957567319999</v>
      </c>
      <c r="E80" s="296">
        <v>1.8429518920479999</v>
      </c>
      <c r="F80" s="289">
        <v>20.325387597793998</v>
      </c>
      <c r="G80" s="290">
        <v>5.0813468994480004</v>
      </c>
      <c r="H80" s="292">
        <v>1.5100800000000001</v>
      </c>
      <c r="I80" s="289">
        <v>6.5156000000000001</v>
      </c>
      <c r="J80" s="290">
        <v>1.434253100551</v>
      </c>
      <c r="K80" s="297">
        <v>0.32056461253899998</v>
      </c>
    </row>
    <row r="81" spans="1:11" ht="14.4" customHeight="1" thickBot="1" x14ac:dyDescent="0.35">
      <c r="A81" s="306" t="s">
        <v>269</v>
      </c>
      <c r="B81" s="284">
        <v>3.9989618059079999</v>
      </c>
      <c r="C81" s="284">
        <v>4.32</v>
      </c>
      <c r="D81" s="285">
        <v>0.32103819409099998</v>
      </c>
      <c r="E81" s="286">
        <v>1.0802803851780001</v>
      </c>
      <c r="F81" s="284">
        <v>6.0008246184620004</v>
      </c>
      <c r="G81" s="285">
        <v>1.5002061546150001</v>
      </c>
      <c r="H81" s="287">
        <v>4.9406564584124654E-324</v>
      </c>
      <c r="I81" s="284">
        <v>1.62</v>
      </c>
      <c r="J81" s="285">
        <v>0.11979384538399999</v>
      </c>
      <c r="K81" s="288">
        <v>0.26996289726799999</v>
      </c>
    </row>
    <row r="82" spans="1:11" ht="14.4" customHeight="1" thickBot="1" x14ac:dyDescent="0.35">
      <c r="A82" s="306" t="s">
        <v>270</v>
      </c>
      <c r="B82" s="284">
        <v>6.8360524373590001</v>
      </c>
      <c r="C82" s="284">
        <v>15.64841</v>
      </c>
      <c r="D82" s="285">
        <v>8.8123575626400008</v>
      </c>
      <c r="E82" s="286">
        <v>2.2891003460529999</v>
      </c>
      <c r="F82" s="284">
        <v>14.324562979331001</v>
      </c>
      <c r="G82" s="285">
        <v>3.5811407448320001</v>
      </c>
      <c r="H82" s="287">
        <v>1.5100800000000001</v>
      </c>
      <c r="I82" s="284">
        <v>4.8956</v>
      </c>
      <c r="J82" s="285">
        <v>1.314459255167</v>
      </c>
      <c r="K82" s="288">
        <v>0.34176260784099999</v>
      </c>
    </row>
    <row r="83" spans="1:11" ht="14.4" customHeight="1" thickBot="1" x14ac:dyDescent="0.35">
      <c r="A83" s="305" t="s">
        <v>271</v>
      </c>
      <c r="B83" s="289">
        <v>3137.9116568476202</v>
      </c>
      <c r="C83" s="289">
        <v>3275.2101499999999</v>
      </c>
      <c r="D83" s="290">
        <v>137.298493152379</v>
      </c>
      <c r="E83" s="296">
        <v>1.0437547350480001</v>
      </c>
      <c r="F83" s="289">
        <v>3275.8686367514401</v>
      </c>
      <c r="G83" s="290">
        <v>818.96715918785901</v>
      </c>
      <c r="H83" s="292">
        <v>277.98163</v>
      </c>
      <c r="I83" s="289">
        <v>580.53266000000099</v>
      </c>
      <c r="J83" s="290">
        <v>-238.43449918785799</v>
      </c>
      <c r="K83" s="297">
        <v>0.17721487775299999</v>
      </c>
    </row>
    <row r="84" spans="1:11" ht="14.4" customHeight="1" thickBot="1" x14ac:dyDescent="0.35">
      <c r="A84" s="306" t="s">
        <v>272</v>
      </c>
      <c r="B84" s="284">
        <v>2824.0028675455001</v>
      </c>
      <c r="C84" s="284">
        <v>2951.8485799999999</v>
      </c>
      <c r="D84" s="285">
        <v>127.845712454501</v>
      </c>
      <c r="E84" s="286">
        <v>1.045271098667</v>
      </c>
      <c r="F84" s="284">
        <v>2950.7320486654799</v>
      </c>
      <c r="G84" s="285">
        <v>737.68301216636905</v>
      </c>
      <c r="H84" s="287">
        <v>250.41185999999999</v>
      </c>
      <c r="I84" s="284">
        <v>498.80058000000099</v>
      </c>
      <c r="J84" s="285">
        <v>-238.88243216636801</v>
      </c>
      <c r="K84" s="288">
        <v>0.169042994</v>
      </c>
    </row>
    <row r="85" spans="1:11" ht="14.4" customHeight="1" thickBot="1" x14ac:dyDescent="0.35">
      <c r="A85" s="306" t="s">
        <v>273</v>
      </c>
      <c r="B85" s="284">
        <v>313.90878930212199</v>
      </c>
      <c r="C85" s="284">
        <v>323.36156999999997</v>
      </c>
      <c r="D85" s="285">
        <v>9.4527806978779996</v>
      </c>
      <c r="E85" s="286">
        <v>1.0301131443910001</v>
      </c>
      <c r="F85" s="284">
        <v>325.13658808596199</v>
      </c>
      <c r="G85" s="285">
        <v>81.28414702149</v>
      </c>
      <c r="H85" s="287">
        <v>27.569769999999998</v>
      </c>
      <c r="I85" s="284">
        <v>81.732079999999996</v>
      </c>
      <c r="J85" s="285">
        <v>0.44793297850899999</v>
      </c>
      <c r="K85" s="288">
        <v>0.251377676321</v>
      </c>
    </row>
    <row r="86" spans="1:11" ht="14.4" customHeight="1" thickBot="1" x14ac:dyDescent="0.35">
      <c r="A86" s="305" t="s">
        <v>274</v>
      </c>
      <c r="B86" s="289">
        <v>1100.98860014042</v>
      </c>
      <c r="C86" s="289">
        <v>774.52254000000096</v>
      </c>
      <c r="D86" s="290">
        <v>-326.466060140416</v>
      </c>
      <c r="E86" s="296">
        <v>0.70347916399900001</v>
      </c>
      <c r="F86" s="289">
        <v>766.15787295144003</v>
      </c>
      <c r="G86" s="290">
        <v>191.53946823786001</v>
      </c>
      <c r="H86" s="292">
        <v>37.341259999999998</v>
      </c>
      <c r="I86" s="289">
        <v>4273.55548</v>
      </c>
      <c r="J86" s="290">
        <v>4082.0160117621399</v>
      </c>
      <c r="K86" s="297">
        <v>5.5779045427499998</v>
      </c>
    </row>
    <row r="87" spans="1:11" ht="14.4" customHeight="1" thickBot="1" x14ac:dyDescent="0.35">
      <c r="A87" s="306" t="s">
        <v>275</v>
      </c>
      <c r="B87" s="284">
        <v>4.0052271175760001</v>
      </c>
      <c r="C87" s="284">
        <v>34.386000000000003</v>
      </c>
      <c r="D87" s="285">
        <v>30.380772882422999</v>
      </c>
      <c r="E87" s="286">
        <v>8.5852809317850003</v>
      </c>
      <c r="F87" s="284">
        <v>35.290920653268998</v>
      </c>
      <c r="G87" s="285">
        <v>8.8227301633170008</v>
      </c>
      <c r="H87" s="287">
        <v>4.9406564584124654E-324</v>
      </c>
      <c r="I87" s="284">
        <v>1.4821969375237396E-323</v>
      </c>
      <c r="J87" s="285">
        <v>-8.8227301633170008</v>
      </c>
      <c r="K87" s="288">
        <v>0</v>
      </c>
    </row>
    <row r="88" spans="1:11" ht="14.4" customHeight="1" thickBot="1" x14ac:dyDescent="0.35">
      <c r="A88" s="306" t="s">
        <v>276</v>
      </c>
      <c r="B88" s="284">
        <v>1072.25849198231</v>
      </c>
      <c r="C88" s="284">
        <v>724.16954000000101</v>
      </c>
      <c r="D88" s="285">
        <v>-348.08895198230499</v>
      </c>
      <c r="E88" s="286">
        <v>0.67536843533000002</v>
      </c>
      <c r="F88" s="284">
        <v>715.96003256276902</v>
      </c>
      <c r="G88" s="285">
        <v>178.990008140692</v>
      </c>
      <c r="H88" s="287">
        <v>35.800260000000002</v>
      </c>
      <c r="I88" s="284">
        <v>103.05748</v>
      </c>
      <c r="J88" s="285">
        <v>-75.932528140692</v>
      </c>
      <c r="K88" s="288">
        <v>0.14394306289799999</v>
      </c>
    </row>
    <row r="89" spans="1:11" ht="14.4" customHeight="1" thickBot="1" x14ac:dyDescent="0.35">
      <c r="A89" s="306" t="s">
        <v>277</v>
      </c>
      <c r="B89" s="284">
        <v>2.9984533709769998</v>
      </c>
      <c r="C89" s="284">
        <v>6.7210000000000001</v>
      </c>
      <c r="D89" s="285">
        <v>3.7225466290220002</v>
      </c>
      <c r="E89" s="286">
        <v>2.241488917271</v>
      </c>
      <c r="F89" s="284">
        <v>4.0014576669619997</v>
      </c>
      <c r="G89" s="285">
        <v>1.0003644167400001</v>
      </c>
      <c r="H89" s="287">
        <v>4.9406564584124654E-324</v>
      </c>
      <c r="I89" s="284">
        <v>1.742</v>
      </c>
      <c r="J89" s="285">
        <v>0.74163558325900003</v>
      </c>
      <c r="K89" s="288">
        <v>0.435341354322</v>
      </c>
    </row>
    <row r="90" spans="1:11" ht="14.4" customHeight="1" thickBot="1" x14ac:dyDescent="0.35">
      <c r="A90" s="306" t="s">
        <v>278</v>
      </c>
      <c r="B90" s="284">
        <v>20.721343186637998</v>
      </c>
      <c r="C90" s="284">
        <v>9.2460000000000004</v>
      </c>
      <c r="D90" s="285">
        <v>-11.475343186638</v>
      </c>
      <c r="E90" s="286">
        <v>0.44620659561999998</v>
      </c>
      <c r="F90" s="284">
        <v>10.905462068438</v>
      </c>
      <c r="G90" s="285">
        <v>2.726365517109</v>
      </c>
      <c r="H90" s="287">
        <v>1.5409999999999999</v>
      </c>
      <c r="I90" s="284">
        <v>4168.7560000000003</v>
      </c>
      <c r="J90" s="285">
        <v>4166.0296344828903</v>
      </c>
      <c r="K90" s="288">
        <v>382.26312409674802</v>
      </c>
    </row>
    <row r="91" spans="1:11" ht="14.4" customHeight="1" thickBot="1" x14ac:dyDescent="0.35">
      <c r="A91" s="303" t="s">
        <v>32</v>
      </c>
      <c r="B91" s="284">
        <v>20898.994351054302</v>
      </c>
      <c r="C91" s="284">
        <v>22499.36116</v>
      </c>
      <c r="D91" s="285">
        <v>1600.3668089457001</v>
      </c>
      <c r="E91" s="286">
        <v>1.0765762592229999</v>
      </c>
      <c r="F91" s="284">
        <v>21080.104276682399</v>
      </c>
      <c r="G91" s="285">
        <v>5270.0260691705998</v>
      </c>
      <c r="H91" s="287">
        <v>1727.7283199999999</v>
      </c>
      <c r="I91" s="284">
        <v>5166.2164300000104</v>
      </c>
      <c r="J91" s="285">
        <v>-103.80963917059</v>
      </c>
      <c r="K91" s="288">
        <v>0.24507546842200001</v>
      </c>
    </row>
    <row r="92" spans="1:11" ht="14.4" customHeight="1" thickBot="1" x14ac:dyDescent="0.35">
      <c r="A92" s="309" t="s">
        <v>279</v>
      </c>
      <c r="B92" s="289">
        <v>15480.9999999992</v>
      </c>
      <c r="C92" s="289">
        <v>16687.252</v>
      </c>
      <c r="D92" s="290">
        <v>1206.2520000008501</v>
      </c>
      <c r="E92" s="296">
        <v>1.0779182223370001</v>
      </c>
      <c r="F92" s="289">
        <v>15627.9999999997</v>
      </c>
      <c r="G92" s="290">
        <v>3906.99999999993</v>
      </c>
      <c r="H92" s="292">
        <v>1281.95</v>
      </c>
      <c r="I92" s="289">
        <v>3831.3850000000102</v>
      </c>
      <c r="J92" s="290">
        <v>-75.614999999920997</v>
      </c>
      <c r="K92" s="297">
        <v>0.24516156897800001</v>
      </c>
    </row>
    <row r="93" spans="1:11" ht="14.4" customHeight="1" thickBot="1" x14ac:dyDescent="0.35">
      <c r="A93" s="305" t="s">
        <v>280</v>
      </c>
      <c r="B93" s="289">
        <v>15480.9999999992</v>
      </c>
      <c r="C93" s="289">
        <v>16605.671999999999</v>
      </c>
      <c r="D93" s="290">
        <v>1124.6720000008499</v>
      </c>
      <c r="E93" s="296">
        <v>1.0726485369159999</v>
      </c>
      <c r="F93" s="289">
        <v>15575.9999999997</v>
      </c>
      <c r="G93" s="290">
        <v>3893.99999999993</v>
      </c>
      <c r="H93" s="292">
        <v>1273.4090000000001</v>
      </c>
      <c r="I93" s="289">
        <v>3813.1210000000101</v>
      </c>
      <c r="J93" s="290">
        <v>-80.878999999922002</v>
      </c>
      <c r="K93" s="297">
        <v>0.24480746019499999</v>
      </c>
    </row>
    <row r="94" spans="1:11" ht="14.4" customHeight="1" thickBot="1" x14ac:dyDescent="0.35">
      <c r="A94" s="306" t="s">
        <v>281</v>
      </c>
      <c r="B94" s="284">
        <v>15480.9999999992</v>
      </c>
      <c r="C94" s="284">
        <v>16605.671999999999</v>
      </c>
      <c r="D94" s="285">
        <v>1124.6720000008499</v>
      </c>
      <c r="E94" s="286">
        <v>1.0726485369159999</v>
      </c>
      <c r="F94" s="284">
        <v>15575.9999999997</v>
      </c>
      <c r="G94" s="285">
        <v>3893.99999999993</v>
      </c>
      <c r="H94" s="287">
        <v>1273.4090000000001</v>
      </c>
      <c r="I94" s="284">
        <v>3813.1210000000101</v>
      </c>
      <c r="J94" s="285">
        <v>-80.878999999922002</v>
      </c>
      <c r="K94" s="288">
        <v>0.24480746019499999</v>
      </c>
    </row>
    <row r="95" spans="1:11" ht="14.4" customHeight="1" thickBot="1" x14ac:dyDescent="0.35">
      <c r="A95" s="305" t="s">
        <v>282</v>
      </c>
      <c r="B95" s="289">
        <v>0</v>
      </c>
      <c r="C95" s="289">
        <v>81.58</v>
      </c>
      <c r="D95" s="290">
        <v>81.58</v>
      </c>
      <c r="E95" s="291" t="s">
        <v>195</v>
      </c>
      <c r="F95" s="289">
        <v>51.999999999998998</v>
      </c>
      <c r="G95" s="290">
        <v>12.999999999999</v>
      </c>
      <c r="H95" s="292">
        <v>8.5410000000000004</v>
      </c>
      <c r="I95" s="289">
        <v>18.263999999999999</v>
      </c>
      <c r="J95" s="290">
        <v>5.2640000000000002</v>
      </c>
      <c r="K95" s="297">
        <v>0.35123076923000002</v>
      </c>
    </row>
    <row r="96" spans="1:11" ht="14.4" customHeight="1" thickBot="1" x14ac:dyDescent="0.35">
      <c r="A96" s="306" t="s">
        <v>283</v>
      </c>
      <c r="B96" s="284">
        <v>0</v>
      </c>
      <c r="C96" s="284">
        <v>81.58</v>
      </c>
      <c r="D96" s="285">
        <v>81.58</v>
      </c>
      <c r="E96" s="294" t="s">
        <v>195</v>
      </c>
      <c r="F96" s="284">
        <v>51.999999999998998</v>
      </c>
      <c r="G96" s="285">
        <v>12.999999999999</v>
      </c>
      <c r="H96" s="287">
        <v>8.5410000000000004</v>
      </c>
      <c r="I96" s="284">
        <v>18.263999999999999</v>
      </c>
      <c r="J96" s="285">
        <v>5.2640000000000002</v>
      </c>
      <c r="K96" s="288">
        <v>0.35123076923000002</v>
      </c>
    </row>
    <row r="97" spans="1:11" ht="14.4" customHeight="1" thickBot="1" x14ac:dyDescent="0.35">
      <c r="A97" s="304" t="s">
        <v>284</v>
      </c>
      <c r="B97" s="284">
        <v>5262.9943510551702</v>
      </c>
      <c r="C97" s="284">
        <v>5645.2363800000003</v>
      </c>
      <c r="D97" s="285">
        <v>382.24202894483301</v>
      </c>
      <c r="E97" s="286">
        <v>1.072628242298</v>
      </c>
      <c r="F97" s="284">
        <v>5296.1042766826804</v>
      </c>
      <c r="G97" s="285">
        <v>1324.0260691706701</v>
      </c>
      <c r="H97" s="287">
        <v>432.95864999999998</v>
      </c>
      <c r="I97" s="284">
        <v>1296.5172500000001</v>
      </c>
      <c r="J97" s="285">
        <v>-27.508819170668001</v>
      </c>
      <c r="K97" s="288">
        <v>0.24480583883199999</v>
      </c>
    </row>
    <row r="98" spans="1:11" ht="14.4" customHeight="1" thickBot="1" x14ac:dyDescent="0.35">
      <c r="A98" s="305" t="s">
        <v>285</v>
      </c>
      <c r="B98" s="289">
        <v>1392.99998927819</v>
      </c>
      <c r="C98" s="289">
        <v>1494.5042900000001</v>
      </c>
      <c r="D98" s="290">
        <v>101.504300721806</v>
      </c>
      <c r="E98" s="296">
        <v>1.0728674095490001</v>
      </c>
      <c r="F98" s="289">
        <v>1402.10427668276</v>
      </c>
      <c r="G98" s="290">
        <v>350.52606917068999</v>
      </c>
      <c r="H98" s="292">
        <v>114.60639999999999</v>
      </c>
      <c r="I98" s="289">
        <v>343.23700000000099</v>
      </c>
      <c r="J98" s="290">
        <v>-7.2890691706890003</v>
      </c>
      <c r="K98" s="297">
        <v>0.24480133589700001</v>
      </c>
    </row>
    <row r="99" spans="1:11" ht="14.4" customHeight="1" thickBot="1" x14ac:dyDescent="0.35">
      <c r="A99" s="306" t="s">
        <v>286</v>
      </c>
      <c r="B99" s="284">
        <v>1392.99998927819</v>
      </c>
      <c r="C99" s="284">
        <v>1494.5042900000001</v>
      </c>
      <c r="D99" s="285">
        <v>101.504300721806</v>
      </c>
      <c r="E99" s="286">
        <v>1.0728674095490001</v>
      </c>
      <c r="F99" s="284">
        <v>1402.10427668276</v>
      </c>
      <c r="G99" s="285">
        <v>350.52606917068999</v>
      </c>
      <c r="H99" s="287">
        <v>114.60639999999999</v>
      </c>
      <c r="I99" s="284">
        <v>343.23700000000099</v>
      </c>
      <c r="J99" s="285">
        <v>-7.2890691706890003</v>
      </c>
      <c r="K99" s="288">
        <v>0.24480133589700001</v>
      </c>
    </row>
    <row r="100" spans="1:11" ht="14.4" customHeight="1" thickBot="1" x14ac:dyDescent="0.35">
      <c r="A100" s="305" t="s">
        <v>287</v>
      </c>
      <c r="B100" s="289">
        <v>3869.99436177697</v>
      </c>
      <c r="C100" s="289">
        <v>4150.7320900000004</v>
      </c>
      <c r="D100" s="290">
        <v>280.73772822302698</v>
      </c>
      <c r="E100" s="296">
        <v>1.072542154323</v>
      </c>
      <c r="F100" s="289">
        <v>3893.99999999992</v>
      </c>
      <c r="G100" s="290">
        <v>973.49999999997999</v>
      </c>
      <c r="H100" s="292">
        <v>318.35225000000003</v>
      </c>
      <c r="I100" s="289">
        <v>953.28025000000196</v>
      </c>
      <c r="J100" s="290">
        <v>-20.219749999977999</v>
      </c>
      <c r="K100" s="297">
        <v>0.24480746019499999</v>
      </c>
    </row>
    <row r="101" spans="1:11" ht="14.4" customHeight="1" thickBot="1" x14ac:dyDescent="0.35">
      <c r="A101" s="306" t="s">
        <v>288</v>
      </c>
      <c r="B101" s="284">
        <v>3869.99436177697</v>
      </c>
      <c r="C101" s="284">
        <v>4150.7320900000004</v>
      </c>
      <c r="D101" s="285">
        <v>280.73772822302698</v>
      </c>
      <c r="E101" s="286">
        <v>1.072542154323</v>
      </c>
      <c r="F101" s="284">
        <v>3893.99999999992</v>
      </c>
      <c r="G101" s="285">
        <v>973.49999999997999</v>
      </c>
      <c r="H101" s="287">
        <v>318.35225000000003</v>
      </c>
      <c r="I101" s="284">
        <v>953.28025000000196</v>
      </c>
      <c r="J101" s="285">
        <v>-20.219749999977999</v>
      </c>
      <c r="K101" s="288">
        <v>0.24480746019499999</v>
      </c>
    </row>
    <row r="102" spans="1:11" ht="14.4" customHeight="1" thickBot="1" x14ac:dyDescent="0.35">
      <c r="A102" s="304" t="s">
        <v>289</v>
      </c>
      <c r="B102" s="284">
        <v>154.99999999999099</v>
      </c>
      <c r="C102" s="284">
        <v>166.87278000000001</v>
      </c>
      <c r="D102" s="285">
        <v>11.872780000007999</v>
      </c>
      <c r="E102" s="286">
        <v>1.076598580645</v>
      </c>
      <c r="F102" s="284">
        <v>155.99999999999699</v>
      </c>
      <c r="G102" s="285">
        <v>38.999999999998998</v>
      </c>
      <c r="H102" s="287">
        <v>12.81967</v>
      </c>
      <c r="I102" s="284">
        <v>38.31418</v>
      </c>
      <c r="J102" s="285">
        <v>-0.68581999999900001</v>
      </c>
      <c r="K102" s="288">
        <v>0.24560371794800001</v>
      </c>
    </row>
    <row r="103" spans="1:11" ht="14.4" customHeight="1" thickBot="1" x14ac:dyDescent="0.35">
      <c r="A103" s="305" t="s">
        <v>290</v>
      </c>
      <c r="B103" s="289">
        <v>154.99999999999099</v>
      </c>
      <c r="C103" s="289">
        <v>166.87278000000001</v>
      </c>
      <c r="D103" s="290">
        <v>11.872780000007999</v>
      </c>
      <c r="E103" s="296">
        <v>1.076598580645</v>
      </c>
      <c r="F103" s="289">
        <v>155.99999999999699</v>
      </c>
      <c r="G103" s="290">
        <v>38.999999999998998</v>
      </c>
      <c r="H103" s="292">
        <v>12.81967</v>
      </c>
      <c r="I103" s="289">
        <v>38.31418</v>
      </c>
      <c r="J103" s="290">
        <v>-0.68581999999900001</v>
      </c>
      <c r="K103" s="297">
        <v>0.24560371794800001</v>
      </c>
    </row>
    <row r="104" spans="1:11" ht="14.4" customHeight="1" thickBot="1" x14ac:dyDescent="0.35">
      <c r="A104" s="306" t="s">
        <v>291</v>
      </c>
      <c r="B104" s="284">
        <v>154.99999999999099</v>
      </c>
      <c r="C104" s="284">
        <v>166.87278000000001</v>
      </c>
      <c r="D104" s="285">
        <v>11.872780000007999</v>
      </c>
      <c r="E104" s="286">
        <v>1.076598580645</v>
      </c>
      <c r="F104" s="284">
        <v>155.99999999999699</v>
      </c>
      <c r="G104" s="285">
        <v>38.999999999998998</v>
      </c>
      <c r="H104" s="287">
        <v>12.81967</v>
      </c>
      <c r="I104" s="284">
        <v>38.31418</v>
      </c>
      <c r="J104" s="285">
        <v>-0.68581999999900001</v>
      </c>
      <c r="K104" s="288">
        <v>0.24560371794800001</v>
      </c>
    </row>
    <row r="105" spans="1:11" ht="14.4" customHeight="1" thickBot="1" x14ac:dyDescent="0.35">
      <c r="A105" s="303" t="s">
        <v>292</v>
      </c>
      <c r="B105" s="284">
        <v>0</v>
      </c>
      <c r="C105" s="284">
        <v>92.174199999999999</v>
      </c>
      <c r="D105" s="285">
        <v>92.174199999999999</v>
      </c>
      <c r="E105" s="294" t="s">
        <v>195</v>
      </c>
      <c r="F105" s="284">
        <v>0</v>
      </c>
      <c r="G105" s="285">
        <v>0</v>
      </c>
      <c r="H105" s="287">
        <v>8.0701000000000001</v>
      </c>
      <c r="I105" s="284">
        <v>12.5511</v>
      </c>
      <c r="J105" s="285">
        <v>12.5511</v>
      </c>
      <c r="K105" s="295" t="s">
        <v>195</v>
      </c>
    </row>
    <row r="106" spans="1:11" ht="14.4" customHeight="1" thickBot="1" x14ac:dyDescent="0.35">
      <c r="A106" s="304" t="s">
        <v>293</v>
      </c>
      <c r="B106" s="284">
        <v>0</v>
      </c>
      <c r="C106" s="284">
        <v>92.174199999999999</v>
      </c>
      <c r="D106" s="285">
        <v>92.174199999999999</v>
      </c>
      <c r="E106" s="294" t="s">
        <v>195</v>
      </c>
      <c r="F106" s="284">
        <v>0</v>
      </c>
      <c r="G106" s="285">
        <v>0</v>
      </c>
      <c r="H106" s="287">
        <v>8.0701000000000001</v>
      </c>
      <c r="I106" s="284">
        <v>12.5511</v>
      </c>
      <c r="J106" s="285">
        <v>12.5511</v>
      </c>
      <c r="K106" s="295" t="s">
        <v>195</v>
      </c>
    </row>
    <row r="107" spans="1:11" ht="14.4" customHeight="1" thickBot="1" x14ac:dyDescent="0.35">
      <c r="A107" s="305" t="s">
        <v>294</v>
      </c>
      <c r="B107" s="289">
        <v>0</v>
      </c>
      <c r="C107" s="289">
        <v>60.606200000000001</v>
      </c>
      <c r="D107" s="290">
        <v>60.606200000000001</v>
      </c>
      <c r="E107" s="291" t="s">
        <v>195</v>
      </c>
      <c r="F107" s="289">
        <v>0</v>
      </c>
      <c r="G107" s="290">
        <v>0</v>
      </c>
      <c r="H107" s="292">
        <v>8.0701000000000001</v>
      </c>
      <c r="I107" s="289">
        <v>12.5511</v>
      </c>
      <c r="J107" s="290">
        <v>12.5511</v>
      </c>
      <c r="K107" s="293" t="s">
        <v>195</v>
      </c>
    </row>
    <row r="108" spans="1:11" ht="14.4" customHeight="1" thickBot="1" x14ac:dyDescent="0.35">
      <c r="A108" s="306" t="s">
        <v>295</v>
      </c>
      <c r="B108" s="284">
        <v>0</v>
      </c>
      <c r="C108" s="284">
        <v>6.6172000000000004</v>
      </c>
      <c r="D108" s="285">
        <v>6.6172000000000004</v>
      </c>
      <c r="E108" s="294" t="s">
        <v>195</v>
      </c>
      <c r="F108" s="284">
        <v>0</v>
      </c>
      <c r="G108" s="285">
        <v>0</v>
      </c>
      <c r="H108" s="287">
        <v>0.1211</v>
      </c>
      <c r="I108" s="284">
        <v>0.1211</v>
      </c>
      <c r="J108" s="285">
        <v>0.1211</v>
      </c>
      <c r="K108" s="295" t="s">
        <v>195</v>
      </c>
    </row>
    <row r="109" spans="1:11" ht="14.4" customHeight="1" thickBot="1" x14ac:dyDescent="0.35">
      <c r="A109" s="306" t="s">
        <v>296</v>
      </c>
      <c r="B109" s="284">
        <v>0</v>
      </c>
      <c r="C109" s="284">
        <v>53.988999999999997</v>
      </c>
      <c r="D109" s="285">
        <v>53.988999999999997</v>
      </c>
      <c r="E109" s="294" t="s">
        <v>195</v>
      </c>
      <c r="F109" s="284">
        <v>0</v>
      </c>
      <c r="G109" s="285">
        <v>0</v>
      </c>
      <c r="H109" s="287">
        <v>7.9489999999999998</v>
      </c>
      <c r="I109" s="284">
        <v>12.43</v>
      </c>
      <c r="J109" s="285">
        <v>12.43</v>
      </c>
      <c r="K109" s="295" t="s">
        <v>195</v>
      </c>
    </row>
    <row r="110" spans="1:11" ht="14.4" customHeight="1" thickBot="1" x14ac:dyDescent="0.35">
      <c r="A110" s="305" t="s">
        <v>297</v>
      </c>
      <c r="B110" s="289">
        <v>0</v>
      </c>
      <c r="C110" s="289">
        <v>3</v>
      </c>
      <c r="D110" s="290">
        <v>3</v>
      </c>
      <c r="E110" s="291" t="s">
        <v>195</v>
      </c>
      <c r="F110" s="289">
        <v>0</v>
      </c>
      <c r="G110" s="290">
        <v>0</v>
      </c>
      <c r="H110" s="292">
        <v>4.9406564584124654E-324</v>
      </c>
      <c r="I110" s="289">
        <v>1.4821969375237396E-323</v>
      </c>
      <c r="J110" s="290">
        <v>1.4821969375237396E-323</v>
      </c>
      <c r="K110" s="293" t="s">
        <v>195</v>
      </c>
    </row>
    <row r="111" spans="1:11" ht="14.4" customHeight="1" thickBot="1" x14ac:dyDescent="0.35">
      <c r="A111" s="306" t="s">
        <v>298</v>
      </c>
      <c r="B111" s="284">
        <v>0</v>
      </c>
      <c r="C111" s="284">
        <v>3</v>
      </c>
      <c r="D111" s="285">
        <v>3</v>
      </c>
      <c r="E111" s="294" t="s">
        <v>195</v>
      </c>
      <c r="F111" s="284">
        <v>0</v>
      </c>
      <c r="G111" s="285">
        <v>0</v>
      </c>
      <c r="H111" s="287">
        <v>4.9406564584124654E-324</v>
      </c>
      <c r="I111" s="284">
        <v>1.4821969375237396E-323</v>
      </c>
      <c r="J111" s="285">
        <v>1.4821969375237396E-323</v>
      </c>
      <c r="K111" s="295" t="s">
        <v>195</v>
      </c>
    </row>
    <row r="112" spans="1:11" ht="14.4" customHeight="1" thickBot="1" x14ac:dyDescent="0.35">
      <c r="A112" s="308" t="s">
        <v>299</v>
      </c>
      <c r="B112" s="284">
        <v>0</v>
      </c>
      <c r="C112" s="284">
        <v>28.568000000000001</v>
      </c>
      <c r="D112" s="285">
        <v>28.568000000000001</v>
      </c>
      <c r="E112" s="294" t="s">
        <v>195</v>
      </c>
      <c r="F112" s="284">
        <v>0</v>
      </c>
      <c r="G112" s="285">
        <v>0</v>
      </c>
      <c r="H112" s="287">
        <v>4.9406564584124654E-324</v>
      </c>
      <c r="I112" s="284">
        <v>1.4821969375237396E-323</v>
      </c>
      <c r="J112" s="285">
        <v>1.4821969375237396E-323</v>
      </c>
      <c r="K112" s="295" t="s">
        <v>195</v>
      </c>
    </row>
    <row r="113" spans="1:11" ht="14.4" customHeight="1" thickBot="1" x14ac:dyDescent="0.35">
      <c r="A113" s="306" t="s">
        <v>300</v>
      </c>
      <c r="B113" s="284">
        <v>0</v>
      </c>
      <c r="C113" s="284">
        <v>28.568000000000001</v>
      </c>
      <c r="D113" s="285">
        <v>28.568000000000001</v>
      </c>
      <c r="E113" s="294" t="s">
        <v>195</v>
      </c>
      <c r="F113" s="284">
        <v>0</v>
      </c>
      <c r="G113" s="285">
        <v>0</v>
      </c>
      <c r="H113" s="287">
        <v>4.9406564584124654E-324</v>
      </c>
      <c r="I113" s="284">
        <v>1.4821969375237396E-323</v>
      </c>
      <c r="J113" s="285">
        <v>1.4821969375237396E-323</v>
      </c>
      <c r="K113" s="295" t="s">
        <v>195</v>
      </c>
    </row>
    <row r="114" spans="1:11" ht="14.4" customHeight="1" thickBot="1" x14ac:dyDescent="0.35">
      <c r="A114" s="303" t="s">
        <v>301</v>
      </c>
      <c r="B114" s="284">
        <v>19916.999999998901</v>
      </c>
      <c r="C114" s="284">
        <v>20571.51122</v>
      </c>
      <c r="D114" s="285">
        <v>654.51122000110297</v>
      </c>
      <c r="E114" s="286">
        <v>1.0328619380420001</v>
      </c>
      <c r="F114" s="284">
        <v>20146.963161780001</v>
      </c>
      <c r="G114" s="285">
        <v>5036.7407904450101</v>
      </c>
      <c r="H114" s="287">
        <v>1695.3030000000001</v>
      </c>
      <c r="I114" s="284">
        <v>5082.7840000000097</v>
      </c>
      <c r="J114" s="285">
        <v>46.043209554999997</v>
      </c>
      <c r="K114" s="288">
        <v>0.25228536723700001</v>
      </c>
    </row>
    <row r="115" spans="1:11" ht="14.4" customHeight="1" thickBot="1" x14ac:dyDescent="0.35">
      <c r="A115" s="304" t="s">
        <v>302</v>
      </c>
      <c r="B115" s="284">
        <v>19916.999999998901</v>
      </c>
      <c r="C115" s="284">
        <v>20275.677</v>
      </c>
      <c r="D115" s="285">
        <v>358.67700000109801</v>
      </c>
      <c r="E115" s="286">
        <v>1.0180085856300001</v>
      </c>
      <c r="F115" s="284">
        <v>20146.963161780001</v>
      </c>
      <c r="G115" s="285">
        <v>5036.7407904450101</v>
      </c>
      <c r="H115" s="287">
        <v>1695.3030000000001</v>
      </c>
      <c r="I115" s="284">
        <v>5082.7840000000097</v>
      </c>
      <c r="J115" s="285">
        <v>46.043209554999997</v>
      </c>
      <c r="K115" s="288">
        <v>0.25228536723700001</v>
      </c>
    </row>
    <row r="116" spans="1:11" ht="14.4" customHeight="1" thickBot="1" x14ac:dyDescent="0.35">
      <c r="A116" s="305" t="s">
        <v>303</v>
      </c>
      <c r="B116" s="289">
        <v>19916.999999998901</v>
      </c>
      <c r="C116" s="289">
        <v>20275.677</v>
      </c>
      <c r="D116" s="290">
        <v>358.67700000109801</v>
      </c>
      <c r="E116" s="296">
        <v>1.0180085856300001</v>
      </c>
      <c r="F116" s="289">
        <v>20146.963161780001</v>
      </c>
      <c r="G116" s="290">
        <v>5036.7407904450101</v>
      </c>
      <c r="H116" s="292">
        <v>1695.3030000000001</v>
      </c>
      <c r="I116" s="289">
        <v>5082.7840000000097</v>
      </c>
      <c r="J116" s="290">
        <v>46.043209554999997</v>
      </c>
      <c r="K116" s="297">
        <v>0.25228536723700001</v>
      </c>
    </row>
    <row r="117" spans="1:11" ht="14.4" customHeight="1" thickBot="1" x14ac:dyDescent="0.35">
      <c r="A117" s="306" t="s">
        <v>304</v>
      </c>
      <c r="B117" s="284">
        <v>227.99999999998701</v>
      </c>
      <c r="C117" s="284">
        <v>327.48500000000001</v>
      </c>
      <c r="D117" s="285">
        <v>99.485000000011993</v>
      </c>
      <c r="E117" s="286">
        <v>1.436337719298</v>
      </c>
      <c r="F117" s="284">
        <v>345.98625349666401</v>
      </c>
      <c r="G117" s="285">
        <v>86.496563374165007</v>
      </c>
      <c r="H117" s="287">
        <v>28.884</v>
      </c>
      <c r="I117" s="284">
        <v>86.652000000000001</v>
      </c>
      <c r="J117" s="285">
        <v>0.155436625834</v>
      </c>
      <c r="K117" s="288">
        <v>0.25044925665099999</v>
      </c>
    </row>
    <row r="118" spans="1:11" ht="14.4" customHeight="1" thickBot="1" x14ac:dyDescent="0.35">
      <c r="A118" s="306" t="s">
        <v>305</v>
      </c>
      <c r="B118" s="284">
        <v>6786.9999999996298</v>
      </c>
      <c r="C118" s="284">
        <v>6779.643</v>
      </c>
      <c r="D118" s="285">
        <v>-7.3569999996269999</v>
      </c>
      <c r="E118" s="286">
        <v>0.99891601591199997</v>
      </c>
      <c r="F118" s="284">
        <v>6724.9999999998799</v>
      </c>
      <c r="G118" s="285">
        <v>1681.24999999997</v>
      </c>
      <c r="H118" s="287">
        <v>571.66099999999994</v>
      </c>
      <c r="I118" s="284">
        <v>1711.8530000000001</v>
      </c>
      <c r="J118" s="285">
        <v>30.603000000032999</v>
      </c>
      <c r="K118" s="288">
        <v>0.25455063197</v>
      </c>
    </row>
    <row r="119" spans="1:11" ht="14.4" customHeight="1" thickBot="1" x14ac:dyDescent="0.35">
      <c r="A119" s="306" t="s">
        <v>306</v>
      </c>
      <c r="B119" s="284">
        <v>425.99999999997698</v>
      </c>
      <c r="C119" s="284">
        <v>426.113</v>
      </c>
      <c r="D119" s="285">
        <v>0.11300000002299999</v>
      </c>
      <c r="E119" s="286">
        <v>1.0002652582160001</v>
      </c>
      <c r="F119" s="284">
        <v>426.00356411090002</v>
      </c>
      <c r="G119" s="285">
        <v>106.500891027725</v>
      </c>
      <c r="H119" s="287">
        <v>35.508000000000003</v>
      </c>
      <c r="I119" s="284">
        <v>106.524</v>
      </c>
      <c r="J119" s="285">
        <v>2.3108972275E-2</v>
      </c>
      <c r="K119" s="288">
        <v>0.250054245959</v>
      </c>
    </row>
    <row r="120" spans="1:11" ht="14.4" customHeight="1" thickBot="1" x14ac:dyDescent="0.35">
      <c r="A120" s="306" t="s">
        <v>307</v>
      </c>
      <c r="B120" s="284">
        <v>1728.9999999999</v>
      </c>
      <c r="C120" s="284">
        <v>2059.5160000000001</v>
      </c>
      <c r="D120" s="285">
        <v>330.51600000009603</v>
      </c>
      <c r="E120" s="286">
        <v>1.1911602082120001</v>
      </c>
      <c r="F120" s="284">
        <v>2163.9733441727699</v>
      </c>
      <c r="G120" s="285">
        <v>540.99333604319304</v>
      </c>
      <c r="H120" s="287">
        <v>180.34299999999999</v>
      </c>
      <c r="I120" s="284">
        <v>541.02900000000102</v>
      </c>
      <c r="J120" s="285">
        <v>3.5663956806999998E-2</v>
      </c>
      <c r="K120" s="288">
        <v>0.25001648077400002</v>
      </c>
    </row>
    <row r="121" spans="1:11" ht="14.4" customHeight="1" thickBot="1" x14ac:dyDescent="0.35">
      <c r="A121" s="306" t="s">
        <v>308</v>
      </c>
      <c r="B121" s="284">
        <v>9926.9999999994507</v>
      </c>
      <c r="C121" s="284">
        <v>9927.5049999999992</v>
      </c>
      <c r="D121" s="285">
        <v>0.50500000054799998</v>
      </c>
      <c r="E121" s="286">
        <v>1.00005087136</v>
      </c>
      <c r="F121" s="284">
        <v>9736.9999999998308</v>
      </c>
      <c r="G121" s="285">
        <v>2434.24999999996</v>
      </c>
      <c r="H121" s="287">
        <v>816.45600000000002</v>
      </c>
      <c r="I121" s="284">
        <v>2449.37</v>
      </c>
      <c r="J121" s="285">
        <v>15.120000000047</v>
      </c>
      <c r="K121" s="288">
        <v>0.25155283968300002</v>
      </c>
    </row>
    <row r="122" spans="1:11" ht="14.4" customHeight="1" thickBot="1" x14ac:dyDescent="0.35">
      <c r="A122" s="306" t="s">
        <v>309</v>
      </c>
      <c r="B122" s="284">
        <v>819.99999999995498</v>
      </c>
      <c r="C122" s="284">
        <v>755.41499999999996</v>
      </c>
      <c r="D122" s="285">
        <v>-64.584999999955002</v>
      </c>
      <c r="E122" s="286">
        <v>0.921237804878</v>
      </c>
      <c r="F122" s="284">
        <v>748.99999999998602</v>
      </c>
      <c r="G122" s="285">
        <v>187.24999999999699</v>
      </c>
      <c r="H122" s="287">
        <v>62.451000000000001</v>
      </c>
      <c r="I122" s="284">
        <v>187.35599999999999</v>
      </c>
      <c r="J122" s="285">
        <v>0.106000000003</v>
      </c>
      <c r="K122" s="288">
        <v>0.25014152202899997</v>
      </c>
    </row>
    <row r="123" spans="1:11" ht="14.4" customHeight="1" thickBot="1" x14ac:dyDescent="0.35">
      <c r="A123" s="304" t="s">
        <v>310</v>
      </c>
      <c r="B123" s="284">
        <v>0</v>
      </c>
      <c r="C123" s="284">
        <v>295.83422000000098</v>
      </c>
      <c r="D123" s="285">
        <v>295.83422000000098</v>
      </c>
      <c r="E123" s="294" t="s">
        <v>195</v>
      </c>
      <c r="F123" s="284">
        <v>0</v>
      </c>
      <c r="G123" s="285">
        <v>0</v>
      </c>
      <c r="H123" s="287">
        <v>4.9406564584124654E-324</v>
      </c>
      <c r="I123" s="284">
        <v>1.4821969375237396E-323</v>
      </c>
      <c r="J123" s="285">
        <v>1.4821969375237396E-323</v>
      </c>
      <c r="K123" s="295" t="s">
        <v>195</v>
      </c>
    </row>
    <row r="124" spans="1:11" ht="14.4" customHeight="1" thickBot="1" x14ac:dyDescent="0.35">
      <c r="A124" s="305" t="s">
        <v>311</v>
      </c>
      <c r="B124" s="289">
        <v>0</v>
      </c>
      <c r="C124" s="289">
        <v>204.30822000000001</v>
      </c>
      <c r="D124" s="290">
        <v>204.30822000000001</v>
      </c>
      <c r="E124" s="291" t="s">
        <v>195</v>
      </c>
      <c r="F124" s="289">
        <v>0</v>
      </c>
      <c r="G124" s="290">
        <v>0</v>
      </c>
      <c r="H124" s="292">
        <v>4.9406564584124654E-324</v>
      </c>
      <c r="I124" s="289">
        <v>1.4821969375237396E-323</v>
      </c>
      <c r="J124" s="290">
        <v>1.4821969375237396E-323</v>
      </c>
      <c r="K124" s="293" t="s">
        <v>195</v>
      </c>
    </row>
    <row r="125" spans="1:11" ht="14.4" customHeight="1" thickBot="1" x14ac:dyDescent="0.35">
      <c r="A125" s="306" t="s">
        <v>312</v>
      </c>
      <c r="B125" s="284">
        <v>0</v>
      </c>
      <c r="C125" s="284">
        <v>11.374000000000001</v>
      </c>
      <c r="D125" s="285">
        <v>11.374000000000001</v>
      </c>
      <c r="E125" s="294" t="s">
        <v>195</v>
      </c>
      <c r="F125" s="284">
        <v>0</v>
      </c>
      <c r="G125" s="285">
        <v>0</v>
      </c>
      <c r="H125" s="287">
        <v>4.9406564584124654E-324</v>
      </c>
      <c r="I125" s="284">
        <v>1.4821969375237396E-323</v>
      </c>
      <c r="J125" s="285">
        <v>1.4821969375237396E-323</v>
      </c>
      <c r="K125" s="295" t="s">
        <v>195</v>
      </c>
    </row>
    <row r="126" spans="1:11" ht="14.4" customHeight="1" thickBot="1" x14ac:dyDescent="0.35">
      <c r="A126" s="306" t="s">
        <v>313</v>
      </c>
      <c r="B126" s="284">
        <v>0</v>
      </c>
      <c r="C126" s="284">
        <v>192.93422000000001</v>
      </c>
      <c r="D126" s="285">
        <v>192.93422000000001</v>
      </c>
      <c r="E126" s="294" t="s">
        <v>195</v>
      </c>
      <c r="F126" s="284">
        <v>0</v>
      </c>
      <c r="G126" s="285">
        <v>0</v>
      </c>
      <c r="H126" s="287">
        <v>4.9406564584124654E-324</v>
      </c>
      <c r="I126" s="284">
        <v>1.4821969375237396E-323</v>
      </c>
      <c r="J126" s="285">
        <v>1.4821969375237396E-323</v>
      </c>
      <c r="K126" s="295" t="s">
        <v>195</v>
      </c>
    </row>
    <row r="127" spans="1:11" ht="14.4" customHeight="1" thickBot="1" x14ac:dyDescent="0.35">
      <c r="A127" s="305" t="s">
        <v>314</v>
      </c>
      <c r="B127" s="289">
        <v>0</v>
      </c>
      <c r="C127" s="289">
        <v>89.54</v>
      </c>
      <c r="D127" s="290">
        <v>89.54</v>
      </c>
      <c r="E127" s="291" t="s">
        <v>195</v>
      </c>
      <c r="F127" s="289">
        <v>0</v>
      </c>
      <c r="G127" s="290">
        <v>0</v>
      </c>
      <c r="H127" s="292">
        <v>4.9406564584124654E-324</v>
      </c>
      <c r="I127" s="289">
        <v>1.4821969375237396E-323</v>
      </c>
      <c r="J127" s="290">
        <v>1.4821969375237396E-323</v>
      </c>
      <c r="K127" s="293" t="s">
        <v>195</v>
      </c>
    </row>
    <row r="128" spans="1:11" ht="14.4" customHeight="1" thickBot="1" x14ac:dyDescent="0.35">
      <c r="A128" s="306" t="s">
        <v>315</v>
      </c>
      <c r="B128" s="284">
        <v>0</v>
      </c>
      <c r="C128" s="284">
        <v>73.447000000000003</v>
      </c>
      <c r="D128" s="285">
        <v>73.447000000000003</v>
      </c>
      <c r="E128" s="294" t="s">
        <v>195</v>
      </c>
      <c r="F128" s="284">
        <v>0</v>
      </c>
      <c r="G128" s="285">
        <v>0</v>
      </c>
      <c r="H128" s="287">
        <v>4.9406564584124654E-324</v>
      </c>
      <c r="I128" s="284">
        <v>1.4821969375237396E-323</v>
      </c>
      <c r="J128" s="285">
        <v>1.4821969375237396E-323</v>
      </c>
      <c r="K128" s="295" t="s">
        <v>195</v>
      </c>
    </row>
    <row r="129" spans="1:11" ht="14.4" customHeight="1" thickBot="1" x14ac:dyDescent="0.35">
      <c r="A129" s="306" t="s">
        <v>316</v>
      </c>
      <c r="B129" s="284">
        <v>4.9406564584124654E-324</v>
      </c>
      <c r="C129" s="284">
        <v>16.093</v>
      </c>
      <c r="D129" s="285">
        <v>16.093</v>
      </c>
      <c r="E129" s="294" t="s">
        <v>201</v>
      </c>
      <c r="F129" s="284">
        <v>0</v>
      </c>
      <c r="G129" s="285">
        <v>0</v>
      </c>
      <c r="H129" s="287">
        <v>4.9406564584124654E-324</v>
      </c>
      <c r="I129" s="284">
        <v>1.4821969375237396E-323</v>
      </c>
      <c r="J129" s="285">
        <v>1.4821969375237396E-323</v>
      </c>
      <c r="K129" s="295" t="s">
        <v>195</v>
      </c>
    </row>
    <row r="130" spans="1:11" ht="14.4" customHeight="1" thickBot="1" x14ac:dyDescent="0.35">
      <c r="A130" s="305" t="s">
        <v>317</v>
      </c>
      <c r="B130" s="289">
        <v>0</v>
      </c>
      <c r="C130" s="289">
        <v>1.986</v>
      </c>
      <c r="D130" s="290">
        <v>1.986</v>
      </c>
      <c r="E130" s="291" t="s">
        <v>195</v>
      </c>
      <c r="F130" s="289">
        <v>0</v>
      </c>
      <c r="G130" s="290">
        <v>0</v>
      </c>
      <c r="H130" s="292">
        <v>4.9406564584124654E-324</v>
      </c>
      <c r="I130" s="289">
        <v>1.4821969375237396E-323</v>
      </c>
      <c r="J130" s="290">
        <v>1.4821969375237396E-323</v>
      </c>
      <c r="K130" s="293" t="s">
        <v>195</v>
      </c>
    </row>
    <row r="131" spans="1:11" ht="14.4" customHeight="1" thickBot="1" x14ac:dyDescent="0.35">
      <c r="A131" s="306" t="s">
        <v>318</v>
      </c>
      <c r="B131" s="284">
        <v>0</v>
      </c>
      <c r="C131" s="284">
        <v>1.986</v>
      </c>
      <c r="D131" s="285">
        <v>1.986</v>
      </c>
      <c r="E131" s="294" t="s">
        <v>195</v>
      </c>
      <c r="F131" s="284">
        <v>0</v>
      </c>
      <c r="G131" s="285">
        <v>0</v>
      </c>
      <c r="H131" s="287">
        <v>4.9406564584124654E-324</v>
      </c>
      <c r="I131" s="284">
        <v>1.4821969375237396E-323</v>
      </c>
      <c r="J131" s="285">
        <v>1.4821969375237396E-323</v>
      </c>
      <c r="K131" s="295" t="s">
        <v>195</v>
      </c>
    </row>
    <row r="132" spans="1:11" ht="14.4" customHeight="1" thickBot="1" x14ac:dyDescent="0.35">
      <c r="A132" s="303" t="s">
        <v>319</v>
      </c>
      <c r="B132" s="284">
        <v>4.9406564584124654E-324</v>
      </c>
      <c r="C132" s="284">
        <v>50.12894</v>
      </c>
      <c r="D132" s="285">
        <v>50.12894</v>
      </c>
      <c r="E132" s="294" t="s">
        <v>201</v>
      </c>
      <c r="F132" s="284">
        <v>0</v>
      </c>
      <c r="G132" s="285">
        <v>0</v>
      </c>
      <c r="H132" s="287">
        <v>7.0303199999999997</v>
      </c>
      <c r="I132" s="284">
        <v>13.52266</v>
      </c>
      <c r="J132" s="285">
        <v>13.52266</v>
      </c>
      <c r="K132" s="295" t="s">
        <v>195</v>
      </c>
    </row>
    <row r="133" spans="1:11" ht="14.4" customHeight="1" thickBot="1" x14ac:dyDescent="0.35">
      <c r="A133" s="304" t="s">
        <v>320</v>
      </c>
      <c r="B133" s="284">
        <v>4.9406564584124654E-324</v>
      </c>
      <c r="C133" s="284">
        <v>50.12894</v>
      </c>
      <c r="D133" s="285">
        <v>50.12894</v>
      </c>
      <c r="E133" s="294" t="s">
        <v>201</v>
      </c>
      <c r="F133" s="284">
        <v>0</v>
      </c>
      <c r="G133" s="285">
        <v>0</v>
      </c>
      <c r="H133" s="287">
        <v>7.0303199999999997</v>
      </c>
      <c r="I133" s="284">
        <v>13.52266</v>
      </c>
      <c r="J133" s="285">
        <v>13.52266</v>
      </c>
      <c r="K133" s="295" t="s">
        <v>195</v>
      </c>
    </row>
    <row r="134" spans="1:11" ht="14.4" customHeight="1" thickBot="1" x14ac:dyDescent="0.35">
      <c r="A134" s="305" t="s">
        <v>321</v>
      </c>
      <c r="B134" s="289">
        <v>4.9406564584124654E-324</v>
      </c>
      <c r="C134" s="289">
        <v>50.12894</v>
      </c>
      <c r="D134" s="290">
        <v>50.12894</v>
      </c>
      <c r="E134" s="291" t="s">
        <v>201</v>
      </c>
      <c r="F134" s="289">
        <v>0</v>
      </c>
      <c r="G134" s="290">
        <v>0</v>
      </c>
      <c r="H134" s="292">
        <v>7.0303199999999997</v>
      </c>
      <c r="I134" s="289">
        <v>13.52266</v>
      </c>
      <c r="J134" s="290">
        <v>13.52266</v>
      </c>
      <c r="K134" s="293" t="s">
        <v>195</v>
      </c>
    </row>
    <row r="135" spans="1:11" ht="14.4" customHeight="1" thickBot="1" x14ac:dyDescent="0.35">
      <c r="A135" s="306" t="s">
        <v>322</v>
      </c>
      <c r="B135" s="284">
        <v>4.9406564584124654E-324</v>
      </c>
      <c r="C135" s="284">
        <v>50.12894</v>
      </c>
      <c r="D135" s="285">
        <v>50.12894</v>
      </c>
      <c r="E135" s="294" t="s">
        <v>201</v>
      </c>
      <c r="F135" s="284">
        <v>0</v>
      </c>
      <c r="G135" s="285">
        <v>0</v>
      </c>
      <c r="H135" s="287">
        <v>7.0303199999999997</v>
      </c>
      <c r="I135" s="284">
        <v>13.52266</v>
      </c>
      <c r="J135" s="285">
        <v>13.52266</v>
      </c>
      <c r="K135" s="295" t="s">
        <v>195</v>
      </c>
    </row>
    <row r="136" spans="1:11" ht="14.4" customHeight="1" thickBot="1" x14ac:dyDescent="0.35">
      <c r="A136" s="302" t="s">
        <v>323</v>
      </c>
      <c r="B136" s="284">
        <v>1550.6141979414199</v>
      </c>
      <c r="C136" s="284">
        <v>1454.4283</v>
      </c>
      <c r="D136" s="285">
        <v>-96.185897941419995</v>
      </c>
      <c r="E136" s="286">
        <v>0.93796916211000003</v>
      </c>
      <c r="F136" s="284">
        <v>62.146079213581999</v>
      </c>
      <c r="G136" s="285">
        <v>15.536519803395</v>
      </c>
      <c r="H136" s="287">
        <v>4.9406564584124654E-324</v>
      </c>
      <c r="I136" s="284">
        <v>1.4821969375237396E-323</v>
      </c>
      <c r="J136" s="285">
        <v>-15.536519803395</v>
      </c>
      <c r="K136" s="288">
        <v>0</v>
      </c>
    </row>
    <row r="137" spans="1:11" ht="14.4" customHeight="1" thickBot="1" x14ac:dyDescent="0.35">
      <c r="A137" s="303" t="s">
        <v>324</v>
      </c>
      <c r="B137" s="284">
        <v>4.9406564584124654E-324</v>
      </c>
      <c r="C137" s="284">
        <v>-11.11655</v>
      </c>
      <c r="D137" s="285">
        <v>-11.11655</v>
      </c>
      <c r="E137" s="294" t="s">
        <v>201</v>
      </c>
      <c r="F137" s="284">
        <v>0</v>
      </c>
      <c r="G137" s="285">
        <v>0</v>
      </c>
      <c r="H137" s="287">
        <v>4.9406564584124654E-324</v>
      </c>
      <c r="I137" s="284">
        <v>1.4821969375237396E-323</v>
      </c>
      <c r="J137" s="285">
        <v>1.4821969375237396E-323</v>
      </c>
      <c r="K137" s="295" t="s">
        <v>195</v>
      </c>
    </row>
    <row r="138" spans="1:11" ht="14.4" customHeight="1" thickBot="1" x14ac:dyDescent="0.35">
      <c r="A138" s="304" t="s">
        <v>325</v>
      </c>
      <c r="B138" s="284">
        <v>4.9406564584124654E-324</v>
      </c>
      <c r="C138" s="284">
        <v>-11.11655</v>
      </c>
      <c r="D138" s="285">
        <v>-11.11655</v>
      </c>
      <c r="E138" s="294" t="s">
        <v>201</v>
      </c>
      <c r="F138" s="284">
        <v>0</v>
      </c>
      <c r="G138" s="285">
        <v>0</v>
      </c>
      <c r="H138" s="287">
        <v>4.9406564584124654E-324</v>
      </c>
      <c r="I138" s="284">
        <v>1.4821969375237396E-323</v>
      </c>
      <c r="J138" s="285">
        <v>1.4821969375237396E-323</v>
      </c>
      <c r="K138" s="295" t="s">
        <v>195</v>
      </c>
    </row>
    <row r="139" spans="1:11" ht="14.4" customHeight="1" thickBot="1" x14ac:dyDescent="0.35">
      <c r="A139" s="305" t="s">
        <v>326</v>
      </c>
      <c r="B139" s="289">
        <v>4.9406564584124654E-324</v>
      </c>
      <c r="C139" s="289">
        <v>-11.11655</v>
      </c>
      <c r="D139" s="290">
        <v>-11.11655</v>
      </c>
      <c r="E139" s="291" t="s">
        <v>201</v>
      </c>
      <c r="F139" s="289">
        <v>0</v>
      </c>
      <c r="G139" s="290">
        <v>0</v>
      </c>
      <c r="H139" s="292">
        <v>4.9406564584124654E-324</v>
      </c>
      <c r="I139" s="289">
        <v>1.4821969375237396E-323</v>
      </c>
      <c r="J139" s="290">
        <v>1.4821969375237396E-323</v>
      </c>
      <c r="K139" s="293" t="s">
        <v>195</v>
      </c>
    </row>
    <row r="140" spans="1:11" ht="14.4" customHeight="1" thickBot="1" x14ac:dyDescent="0.35">
      <c r="A140" s="306" t="s">
        <v>327</v>
      </c>
      <c r="B140" s="284">
        <v>4.9406564584124654E-324</v>
      </c>
      <c r="C140" s="284">
        <v>-11.11655</v>
      </c>
      <c r="D140" s="285">
        <v>-11.11655</v>
      </c>
      <c r="E140" s="294" t="s">
        <v>201</v>
      </c>
      <c r="F140" s="284">
        <v>0</v>
      </c>
      <c r="G140" s="285">
        <v>0</v>
      </c>
      <c r="H140" s="287">
        <v>4.9406564584124654E-324</v>
      </c>
      <c r="I140" s="284">
        <v>1.4821969375237396E-323</v>
      </c>
      <c r="J140" s="285">
        <v>1.4821969375237396E-323</v>
      </c>
      <c r="K140" s="295" t="s">
        <v>195</v>
      </c>
    </row>
    <row r="141" spans="1:11" ht="14.4" customHeight="1" thickBot="1" x14ac:dyDescent="0.35">
      <c r="A141" s="303" t="s">
        <v>328</v>
      </c>
      <c r="B141" s="284">
        <v>1550.6141979414199</v>
      </c>
      <c r="C141" s="284">
        <v>1452.1448499999999</v>
      </c>
      <c r="D141" s="285">
        <v>-98.469347941419997</v>
      </c>
      <c r="E141" s="286">
        <v>0.93649655209299998</v>
      </c>
      <c r="F141" s="284">
        <v>5.1460792135820004</v>
      </c>
      <c r="G141" s="285">
        <v>1.2865198033950001</v>
      </c>
      <c r="H141" s="287">
        <v>4.9406564584124654E-324</v>
      </c>
      <c r="I141" s="284">
        <v>1.4821969375237396E-323</v>
      </c>
      <c r="J141" s="285">
        <v>-1.2865198033950001</v>
      </c>
      <c r="K141" s="288">
        <v>4.9406564584124654E-324</v>
      </c>
    </row>
    <row r="142" spans="1:11" ht="14.4" customHeight="1" thickBot="1" x14ac:dyDescent="0.35">
      <c r="A142" s="304" t="s">
        <v>329</v>
      </c>
      <c r="B142" s="284">
        <v>1545.46811872784</v>
      </c>
      <c r="C142" s="284">
        <v>1401.8330100000001</v>
      </c>
      <c r="D142" s="285">
        <v>-143.635108727839</v>
      </c>
      <c r="E142" s="286">
        <v>0.90706045178899997</v>
      </c>
      <c r="F142" s="284">
        <v>0</v>
      </c>
      <c r="G142" s="285">
        <v>0</v>
      </c>
      <c r="H142" s="287">
        <v>4.9406564584124654E-324</v>
      </c>
      <c r="I142" s="284">
        <v>1.4821969375237396E-323</v>
      </c>
      <c r="J142" s="285">
        <v>1.4821969375237396E-323</v>
      </c>
      <c r="K142" s="295" t="s">
        <v>195</v>
      </c>
    </row>
    <row r="143" spans="1:11" ht="14.4" customHeight="1" thickBot="1" x14ac:dyDescent="0.35">
      <c r="A143" s="305" t="s">
        <v>330</v>
      </c>
      <c r="B143" s="289">
        <v>4.9406564584124654E-324</v>
      </c>
      <c r="C143" s="289">
        <v>158.1925</v>
      </c>
      <c r="D143" s="290">
        <v>158.1925</v>
      </c>
      <c r="E143" s="291" t="s">
        <v>201</v>
      </c>
      <c r="F143" s="289">
        <v>0</v>
      </c>
      <c r="G143" s="290">
        <v>0</v>
      </c>
      <c r="H143" s="292">
        <v>4.9406564584124654E-324</v>
      </c>
      <c r="I143" s="289">
        <v>1.4821969375237396E-323</v>
      </c>
      <c r="J143" s="290">
        <v>1.4821969375237396E-323</v>
      </c>
      <c r="K143" s="293" t="s">
        <v>195</v>
      </c>
    </row>
    <row r="144" spans="1:11" ht="14.4" customHeight="1" thickBot="1" x14ac:dyDescent="0.35">
      <c r="A144" s="306" t="s">
        <v>331</v>
      </c>
      <c r="B144" s="284">
        <v>4.9406564584124654E-324</v>
      </c>
      <c r="C144" s="284">
        <v>158.1925</v>
      </c>
      <c r="D144" s="285">
        <v>158.1925</v>
      </c>
      <c r="E144" s="294" t="s">
        <v>201</v>
      </c>
      <c r="F144" s="284">
        <v>0</v>
      </c>
      <c r="G144" s="285">
        <v>0</v>
      </c>
      <c r="H144" s="287">
        <v>4.9406564584124654E-324</v>
      </c>
      <c r="I144" s="284">
        <v>1.4821969375237396E-323</v>
      </c>
      <c r="J144" s="285">
        <v>1.4821969375237396E-323</v>
      </c>
      <c r="K144" s="295" t="s">
        <v>195</v>
      </c>
    </row>
    <row r="145" spans="1:11" ht="14.4" customHeight="1" thickBot="1" x14ac:dyDescent="0.35">
      <c r="A145" s="305" t="s">
        <v>332</v>
      </c>
      <c r="B145" s="289">
        <v>1545.46811872784</v>
      </c>
      <c r="C145" s="289">
        <v>1243.6405099999999</v>
      </c>
      <c r="D145" s="290">
        <v>-301.82760872783899</v>
      </c>
      <c r="E145" s="296">
        <v>0.80470149783699996</v>
      </c>
      <c r="F145" s="289">
        <v>0</v>
      </c>
      <c r="G145" s="290">
        <v>0</v>
      </c>
      <c r="H145" s="292">
        <v>4.9406564584124654E-324</v>
      </c>
      <c r="I145" s="289">
        <v>1.4821969375237396E-323</v>
      </c>
      <c r="J145" s="290">
        <v>1.4821969375237396E-323</v>
      </c>
      <c r="K145" s="293" t="s">
        <v>195</v>
      </c>
    </row>
    <row r="146" spans="1:11" ht="14.4" customHeight="1" thickBot="1" x14ac:dyDescent="0.35">
      <c r="A146" s="306" t="s">
        <v>333</v>
      </c>
      <c r="B146" s="284">
        <v>0</v>
      </c>
      <c r="C146" s="284">
        <v>787.07133999999996</v>
      </c>
      <c r="D146" s="285">
        <v>787.07133999999996</v>
      </c>
      <c r="E146" s="294" t="s">
        <v>195</v>
      </c>
      <c r="F146" s="284">
        <v>0</v>
      </c>
      <c r="G146" s="285">
        <v>0</v>
      </c>
      <c r="H146" s="287">
        <v>4.9406564584124654E-324</v>
      </c>
      <c r="I146" s="284">
        <v>1.4821969375237396E-323</v>
      </c>
      <c r="J146" s="285">
        <v>1.4821969375237396E-323</v>
      </c>
      <c r="K146" s="295" t="s">
        <v>195</v>
      </c>
    </row>
    <row r="147" spans="1:11" ht="14.4" customHeight="1" thickBot="1" x14ac:dyDescent="0.35">
      <c r="A147" s="306" t="s">
        <v>334</v>
      </c>
      <c r="B147" s="284">
        <v>0</v>
      </c>
      <c r="C147" s="284">
        <v>187.78399999999999</v>
      </c>
      <c r="D147" s="285">
        <v>187.78399999999999</v>
      </c>
      <c r="E147" s="294" t="s">
        <v>195</v>
      </c>
      <c r="F147" s="284">
        <v>0</v>
      </c>
      <c r="G147" s="285">
        <v>0</v>
      </c>
      <c r="H147" s="287">
        <v>4.9406564584124654E-324</v>
      </c>
      <c r="I147" s="284">
        <v>1.4821969375237396E-323</v>
      </c>
      <c r="J147" s="285">
        <v>1.4821969375237396E-323</v>
      </c>
      <c r="K147" s="295" t="s">
        <v>195</v>
      </c>
    </row>
    <row r="148" spans="1:11" ht="14.4" customHeight="1" thickBot="1" x14ac:dyDescent="0.35">
      <c r="A148" s="306" t="s">
        <v>335</v>
      </c>
      <c r="B148" s="284">
        <v>0</v>
      </c>
      <c r="C148" s="284">
        <v>145.44028</v>
      </c>
      <c r="D148" s="285">
        <v>145.44028</v>
      </c>
      <c r="E148" s="294" t="s">
        <v>195</v>
      </c>
      <c r="F148" s="284">
        <v>0</v>
      </c>
      <c r="G148" s="285">
        <v>0</v>
      </c>
      <c r="H148" s="287">
        <v>4.9406564584124654E-324</v>
      </c>
      <c r="I148" s="284">
        <v>1.4821969375237396E-323</v>
      </c>
      <c r="J148" s="285">
        <v>1.4821969375237396E-323</v>
      </c>
      <c r="K148" s="295" t="s">
        <v>195</v>
      </c>
    </row>
    <row r="149" spans="1:11" ht="14.4" customHeight="1" thickBot="1" x14ac:dyDescent="0.35">
      <c r="A149" s="306" t="s">
        <v>336</v>
      </c>
      <c r="B149" s="284">
        <v>0</v>
      </c>
      <c r="C149" s="284">
        <v>123.34489000000001</v>
      </c>
      <c r="D149" s="285">
        <v>123.34489000000001</v>
      </c>
      <c r="E149" s="294" t="s">
        <v>195</v>
      </c>
      <c r="F149" s="284">
        <v>0</v>
      </c>
      <c r="G149" s="285">
        <v>0</v>
      </c>
      <c r="H149" s="287">
        <v>4.9406564584124654E-324</v>
      </c>
      <c r="I149" s="284">
        <v>1.4821969375237396E-323</v>
      </c>
      <c r="J149" s="285">
        <v>1.4821969375237396E-323</v>
      </c>
      <c r="K149" s="295" t="s">
        <v>195</v>
      </c>
    </row>
    <row r="150" spans="1:11" ht="14.4" customHeight="1" thickBot="1" x14ac:dyDescent="0.35">
      <c r="A150" s="309" t="s">
        <v>337</v>
      </c>
      <c r="B150" s="289">
        <v>5.1460792135820004</v>
      </c>
      <c r="C150" s="289">
        <v>50.311839999999997</v>
      </c>
      <c r="D150" s="290">
        <v>45.165760786417003</v>
      </c>
      <c r="E150" s="296">
        <v>9.7767325204019997</v>
      </c>
      <c r="F150" s="289">
        <v>5.1460792135820004</v>
      </c>
      <c r="G150" s="290">
        <v>1.2865198033950001</v>
      </c>
      <c r="H150" s="292">
        <v>4.9406564584124654E-324</v>
      </c>
      <c r="I150" s="289">
        <v>1.4821969375237396E-323</v>
      </c>
      <c r="J150" s="290">
        <v>-1.2865198033950001</v>
      </c>
      <c r="K150" s="297">
        <v>4.9406564584124654E-324</v>
      </c>
    </row>
    <row r="151" spans="1:11" ht="14.4" customHeight="1" thickBot="1" x14ac:dyDescent="0.35">
      <c r="A151" s="305" t="s">
        <v>338</v>
      </c>
      <c r="B151" s="289">
        <v>0</v>
      </c>
      <c r="C151" s="289">
        <v>31.568079999999998</v>
      </c>
      <c r="D151" s="290">
        <v>31.568079999999998</v>
      </c>
      <c r="E151" s="291" t="s">
        <v>195</v>
      </c>
      <c r="F151" s="289">
        <v>0</v>
      </c>
      <c r="G151" s="290">
        <v>0</v>
      </c>
      <c r="H151" s="292">
        <v>4.9406564584124654E-324</v>
      </c>
      <c r="I151" s="289">
        <v>1.4821969375237396E-323</v>
      </c>
      <c r="J151" s="290">
        <v>1.4821969375237396E-323</v>
      </c>
      <c r="K151" s="293" t="s">
        <v>195</v>
      </c>
    </row>
    <row r="152" spans="1:11" ht="14.4" customHeight="1" thickBot="1" x14ac:dyDescent="0.35">
      <c r="A152" s="306" t="s">
        <v>339</v>
      </c>
      <c r="B152" s="284">
        <v>4.9406564584124654E-324</v>
      </c>
      <c r="C152" s="284">
        <v>8.0000000000000007E-5</v>
      </c>
      <c r="D152" s="285">
        <v>8.0000000000000007E-5</v>
      </c>
      <c r="E152" s="294" t="s">
        <v>201</v>
      </c>
      <c r="F152" s="284">
        <v>0</v>
      </c>
      <c r="G152" s="285">
        <v>0</v>
      </c>
      <c r="H152" s="287">
        <v>4.9406564584124654E-324</v>
      </c>
      <c r="I152" s="284">
        <v>1.4821969375237396E-323</v>
      </c>
      <c r="J152" s="285">
        <v>1.4821969375237396E-323</v>
      </c>
      <c r="K152" s="295" t="s">
        <v>195</v>
      </c>
    </row>
    <row r="153" spans="1:11" ht="14.4" customHeight="1" thickBot="1" x14ac:dyDescent="0.35">
      <c r="A153" s="306" t="s">
        <v>340</v>
      </c>
      <c r="B153" s="284">
        <v>0</v>
      </c>
      <c r="C153" s="284">
        <v>31.568000000000001</v>
      </c>
      <c r="D153" s="285">
        <v>31.568000000000001</v>
      </c>
      <c r="E153" s="294" t="s">
        <v>195</v>
      </c>
      <c r="F153" s="284">
        <v>0</v>
      </c>
      <c r="G153" s="285">
        <v>0</v>
      </c>
      <c r="H153" s="287">
        <v>4.9406564584124654E-324</v>
      </c>
      <c r="I153" s="284">
        <v>1.4821969375237396E-323</v>
      </c>
      <c r="J153" s="285">
        <v>1.4821969375237396E-323</v>
      </c>
      <c r="K153" s="295" t="s">
        <v>195</v>
      </c>
    </row>
    <row r="154" spans="1:11" ht="14.4" customHeight="1" thickBot="1" x14ac:dyDescent="0.35">
      <c r="A154" s="305" t="s">
        <v>341</v>
      </c>
      <c r="B154" s="289">
        <v>5.1460792135820004</v>
      </c>
      <c r="C154" s="289">
        <v>18.743760000000002</v>
      </c>
      <c r="D154" s="290">
        <v>13.597680786417</v>
      </c>
      <c r="E154" s="296">
        <v>3.6423380251370001</v>
      </c>
      <c r="F154" s="289">
        <v>5.1460792135820004</v>
      </c>
      <c r="G154" s="290">
        <v>1.2865198033950001</v>
      </c>
      <c r="H154" s="292">
        <v>4.9406564584124654E-324</v>
      </c>
      <c r="I154" s="289">
        <v>1.4821969375237396E-323</v>
      </c>
      <c r="J154" s="290">
        <v>-1.2865198033950001</v>
      </c>
      <c r="K154" s="297">
        <v>4.9406564584124654E-324</v>
      </c>
    </row>
    <row r="155" spans="1:11" ht="14.4" customHeight="1" thickBot="1" x14ac:dyDescent="0.35">
      <c r="A155" s="306" t="s">
        <v>342</v>
      </c>
      <c r="B155" s="284">
        <v>5.1460792135820004</v>
      </c>
      <c r="C155" s="284">
        <v>18.743760000000002</v>
      </c>
      <c r="D155" s="285">
        <v>13.597680786417</v>
      </c>
      <c r="E155" s="286">
        <v>3.6423380251370001</v>
      </c>
      <c r="F155" s="284">
        <v>5.1460792135820004</v>
      </c>
      <c r="G155" s="285">
        <v>1.2865198033950001</v>
      </c>
      <c r="H155" s="287">
        <v>4.9406564584124654E-324</v>
      </c>
      <c r="I155" s="284">
        <v>1.4821969375237396E-323</v>
      </c>
      <c r="J155" s="285">
        <v>-1.2865198033950001</v>
      </c>
      <c r="K155" s="288">
        <v>4.9406564584124654E-324</v>
      </c>
    </row>
    <row r="156" spans="1:11" ht="14.4" customHeight="1" thickBot="1" x14ac:dyDescent="0.35">
      <c r="A156" s="303" t="s">
        <v>343</v>
      </c>
      <c r="B156" s="284">
        <v>4.9406564584124654E-324</v>
      </c>
      <c r="C156" s="284">
        <v>13.4</v>
      </c>
      <c r="D156" s="285">
        <v>13.4</v>
      </c>
      <c r="E156" s="294" t="s">
        <v>201</v>
      </c>
      <c r="F156" s="284">
        <v>57</v>
      </c>
      <c r="G156" s="285">
        <v>14.25</v>
      </c>
      <c r="H156" s="287">
        <v>4.9406564584124654E-324</v>
      </c>
      <c r="I156" s="284">
        <v>1.4821969375237396E-323</v>
      </c>
      <c r="J156" s="285">
        <v>-14.25</v>
      </c>
      <c r="K156" s="288">
        <v>0</v>
      </c>
    </row>
    <row r="157" spans="1:11" ht="14.4" customHeight="1" thickBot="1" x14ac:dyDescent="0.35">
      <c r="A157" s="309" t="s">
        <v>344</v>
      </c>
      <c r="B157" s="289">
        <v>4.9406564584124654E-324</v>
      </c>
      <c r="C157" s="289">
        <v>13.4</v>
      </c>
      <c r="D157" s="290">
        <v>13.4</v>
      </c>
      <c r="E157" s="291" t="s">
        <v>201</v>
      </c>
      <c r="F157" s="289">
        <v>57</v>
      </c>
      <c r="G157" s="290">
        <v>14.25</v>
      </c>
      <c r="H157" s="292">
        <v>4.9406564584124654E-324</v>
      </c>
      <c r="I157" s="289">
        <v>1.4821969375237396E-323</v>
      </c>
      <c r="J157" s="290">
        <v>-14.25</v>
      </c>
      <c r="K157" s="297">
        <v>0</v>
      </c>
    </row>
    <row r="158" spans="1:11" ht="14.4" customHeight="1" thickBot="1" x14ac:dyDescent="0.35">
      <c r="A158" s="305" t="s">
        <v>345</v>
      </c>
      <c r="B158" s="289">
        <v>4.9406564584124654E-324</v>
      </c>
      <c r="C158" s="289">
        <v>13.4</v>
      </c>
      <c r="D158" s="290">
        <v>13.4</v>
      </c>
      <c r="E158" s="291" t="s">
        <v>201</v>
      </c>
      <c r="F158" s="289">
        <v>57</v>
      </c>
      <c r="G158" s="290">
        <v>14.25</v>
      </c>
      <c r="H158" s="292">
        <v>4.9406564584124654E-324</v>
      </c>
      <c r="I158" s="289">
        <v>1.4821969375237396E-323</v>
      </c>
      <c r="J158" s="290">
        <v>-14.25</v>
      </c>
      <c r="K158" s="297">
        <v>0</v>
      </c>
    </row>
    <row r="159" spans="1:11" ht="14.4" customHeight="1" thickBot="1" x14ac:dyDescent="0.35">
      <c r="A159" s="306" t="s">
        <v>346</v>
      </c>
      <c r="B159" s="284">
        <v>4.9406564584124654E-324</v>
      </c>
      <c r="C159" s="284">
        <v>13.4</v>
      </c>
      <c r="D159" s="285">
        <v>13.4</v>
      </c>
      <c r="E159" s="294" t="s">
        <v>201</v>
      </c>
      <c r="F159" s="284">
        <v>57</v>
      </c>
      <c r="G159" s="285">
        <v>14.25</v>
      </c>
      <c r="H159" s="287">
        <v>4.9406564584124654E-324</v>
      </c>
      <c r="I159" s="284">
        <v>1.4821969375237396E-323</v>
      </c>
      <c r="J159" s="285">
        <v>-14.25</v>
      </c>
      <c r="K159" s="288">
        <v>0</v>
      </c>
    </row>
    <row r="160" spans="1:11" ht="14.4" customHeight="1" thickBot="1" x14ac:dyDescent="0.35">
      <c r="A160" s="302" t="s">
        <v>347</v>
      </c>
      <c r="B160" s="284">
        <v>3951.7370652112099</v>
      </c>
      <c r="C160" s="284">
        <v>2824.9995800000002</v>
      </c>
      <c r="D160" s="285">
        <v>-1126.73748521121</v>
      </c>
      <c r="E160" s="286">
        <v>0.71487539109499998</v>
      </c>
      <c r="F160" s="284">
        <v>2936.4428464133798</v>
      </c>
      <c r="G160" s="285">
        <v>734.11071160334598</v>
      </c>
      <c r="H160" s="287">
        <v>252.1011</v>
      </c>
      <c r="I160" s="284">
        <v>727.73442999999997</v>
      </c>
      <c r="J160" s="285">
        <v>-6.3762816033450003</v>
      </c>
      <c r="K160" s="288">
        <v>0.24782856948400001</v>
      </c>
    </row>
    <row r="161" spans="1:11" ht="14.4" customHeight="1" thickBot="1" x14ac:dyDescent="0.35">
      <c r="A161" s="307" t="s">
        <v>348</v>
      </c>
      <c r="B161" s="289">
        <v>3951.7370652112099</v>
      </c>
      <c r="C161" s="289">
        <v>2824.9995800000002</v>
      </c>
      <c r="D161" s="290">
        <v>-1126.73748521121</v>
      </c>
      <c r="E161" s="296">
        <v>0.71487539109499998</v>
      </c>
      <c r="F161" s="289">
        <v>2936.4428464133798</v>
      </c>
      <c r="G161" s="290">
        <v>734.11071160334598</v>
      </c>
      <c r="H161" s="292">
        <v>252.1011</v>
      </c>
      <c r="I161" s="289">
        <v>727.73442999999997</v>
      </c>
      <c r="J161" s="290">
        <v>-6.3762816033450003</v>
      </c>
      <c r="K161" s="297">
        <v>0.24782856948400001</v>
      </c>
    </row>
    <row r="162" spans="1:11" ht="14.4" customHeight="1" thickBot="1" x14ac:dyDescent="0.35">
      <c r="A162" s="309" t="s">
        <v>38</v>
      </c>
      <c r="B162" s="289">
        <v>3951.7370652112099</v>
      </c>
      <c r="C162" s="289">
        <v>2824.9995800000002</v>
      </c>
      <c r="D162" s="290">
        <v>-1126.73748521121</v>
      </c>
      <c r="E162" s="296">
        <v>0.71487539109499998</v>
      </c>
      <c r="F162" s="289">
        <v>2936.4428464133798</v>
      </c>
      <c r="G162" s="290">
        <v>734.11071160334598</v>
      </c>
      <c r="H162" s="292">
        <v>252.1011</v>
      </c>
      <c r="I162" s="289">
        <v>727.73442999999997</v>
      </c>
      <c r="J162" s="290">
        <v>-6.3762816033450003</v>
      </c>
      <c r="K162" s="297">
        <v>0.24782856948400001</v>
      </c>
    </row>
    <row r="163" spans="1:11" ht="14.4" customHeight="1" thickBot="1" x14ac:dyDescent="0.35">
      <c r="A163" s="305" t="s">
        <v>349</v>
      </c>
      <c r="B163" s="289">
        <v>83.999999999997996</v>
      </c>
      <c r="C163" s="289">
        <v>81.84</v>
      </c>
      <c r="D163" s="290">
        <v>-2.159999999998</v>
      </c>
      <c r="E163" s="296">
        <v>0.97428571428499999</v>
      </c>
      <c r="F163" s="289">
        <v>35</v>
      </c>
      <c r="G163" s="290">
        <v>8.75</v>
      </c>
      <c r="H163" s="292">
        <v>6.82</v>
      </c>
      <c r="I163" s="289">
        <v>20.46</v>
      </c>
      <c r="J163" s="290">
        <v>11.71</v>
      </c>
      <c r="K163" s="297">
        <v>0.58457142857099997</v>
      </c>
    </row>
    <row r="164" spans="1:11" ht="14.4" customHeight="1" thickBot="1" x14ac:dyDescent="0.35">
      <c r="A164" s="306" t="s">
        <v>350</v>
      </c>
      <c r="B164" s="284">
        <v>83.999999999997996</v>
      </c>
      <c r="C164" s="284">
        <v>81.84</v>
      </c>
      <c r="D164" s="285">
        <v>-2.159999999998</v>
      </c>
      <c r="E164" s="286">
        <v>0.97428571428499999</v>
      </c>
      <c r="F164" s="284">
        <v>35</v>
      </c>
      <c r="G164" s="285">
        <v>8.75</v>
      </c>
      <c r="H164" s="287">
        <v>6.82</v>
      </c>
      <c r="I164" s="284">
        <v>20.46</v>
      </c>
      <c r="J164" s="285">
        <v>11.71</v>
      </c>
      <c r="K164" s="288">
        <v>0.58457142857099997</v>
      </c>
    </row>
    <row r="165" spans="1:11" ht="14.4" customHeight="1" thickBot="1" x14ac:dyDescent="0.35">
      <c r="A165" s="305" t="s">
        <v>351</v>
      </c>
      <c r="B165" s="289">
        <v>115.308049287884</v>
      </c>
      <c r="C165" s="289">
        <v>46.125</v>
      </c>
      <c r="D165" s="290">
        <v>-69.183049287884003</v>
      </c>
      <c r="E165" s="296">
        <v>0.40001543938</v>
      </c>
      <c r="F165" s="289">
        <v>49.006946413382003</v>
      </c>
      <c r="G165" s="290">
        <v>12.251736603345</v>
      </c>
      <c r="H165" s="292">
        <v>5.8550000000000004</v>
      </c>
      <c r="I165" s="289">
        <v>15.244999999999999</v>
      </c>
      <c r="J165" s="290">
        <v>2.9932633966540001</v>
      </c>
      <c r="K165" s="297">
        <v>0.31107834941200002</v>
      </c>
    </row>
    <row r="166" spans="1:11" ht="14.4" customHeight="1" thickBot="1" x14ac:dyDescent="0.35">
      <c r="A166" s="306" t="s">
        <v>352</v>
      </c>
      <c r="B166" s="284">
        <v>115.308049287884</v>
      </c>
      <c r="C166" s="284">
        <v>46.125</v>
      </c>
      <c r="D166" s="285">
        <v>-69.183049287884003</v>
      </c>
      <c r="E166" s="286">
        <v>0.40001543938</v>
      </c>
      <c r="F166" s="284">
        <v>49.006946413382003</v>
      </c>
      <c r="G166" s="285">
        <v>12.251736603345</v>
      </c>
      <c r="H166" s="287">
        <v>5.8550000000000004</v>
      </c>
      <c r="I166" s="284">
        <v>15.244999999999999</v>
      </c>
      <c r="J166" s="285">
        <v>2.9932633966540001</v>
      </c>
      <c r="K166" s="288">
        <v>0.31107834941200002</v>
      </c>
    </row>
    <row r="167" spans="1:11" ht="14.4" customHeight="1" thickBot="1" x14ac:dyDescent="0.35">
      <c r="A167" s="305" t="s">
        <v>353</v>
      </c>
      <c r="B167" s="289">
        <v>552.429015923365</v>
      </c>
      <c r="C167" s="289">
        <v>62.253300000000003</v>
      </c>
      <c r="D167" s="290">
        <v>-490.17571592336498</v>
      </c>
      <c r="E167" s="296">
        <v>0.11269013430700001</v>
      </c>
      <c r="F167" s="289">
        <v>68.435900000000004</v>
      </c>
      <c r="G167" s="290">
        <v>17.108975000000001</v>
      </c>
      <c r="H167" s="292">
        <v>5.9595000000000002</v>
      </c>
      <c r="I167" s="289">
        <v>17.1007</v>
      </c>
      <c r="J167" s="290">
        <v>-8.2749999999999994E-3</v>
      </c>
      <c r="K167" s="297">
        <v>0.249879083931</v>
      </c>
    </row>
    <row r="168" spans="1:11" ht="14.4" customHeight="1" thickBot="1" x14ac:dyDescent="0.35">
      <c r="A168" s="306" t="s">
        <v>354</v>
      </c>
      <c r="B168" s="284">
        <v>552.429015923365</v>
      </c>
      <c r="C168" s="284">
        <v>62.253300000000003</v>
      </c>
      <c r="D168" s="285">
        <v>-490.17571592336498</v>
      </c>
      <c r="E168" s="286">
        <v>0.11269013430700001</v>
      </c>
      <c r="F168" s="284">
        <v>68.435900000000004</v>
      </c>
      <c r="G168" s="285">
        <v>17.108975000000001</v>
      </c>
      <c r="H168" s="287">
        <v>5.9595000000000002</v>
      </c>
      <c r="I168" s="284">
        <v>17.1007</v>
      </c>
      <c r="J168" s="285">
        <v>-8.2749999999999994E-3</v>
      </c>
      <c r="K168" s="288">
        <v>0.249879083931</v>
      </c>
    </row>
    <row r="169" spans="1:11" ht="14.4" customHeight="1" thickBot="1" x14ac:dyDescent="0.35">
      <c r="A169" s="305" t="s">
        <v>355</v>
      </c>
      <c r="B169" s="289">
        <v>357.999999999995</v>
      </c>
      <c r="C169" s="289">
        <v>317.19878</v>
      </c>
      <c r="D169" s="290">
        <v>-40.801219999994998</v>
      </c>
      <c r="E169" s="296">
        <v>0.88603011173099999</v>
      </c>
      <c r="F169" s="289">
        <v>441</v>
      </c>
      <c r="G169" s="290">
        <v>110.25</v>
      </c>
      <c r="H169" s="292">
        <v>24.971599999999999</v>
      </c>
      <c r="I169" s="289">
        <v>69.75609</v>
      </c>
      <c r="J169" s="290">
        <v>-40.49391</v>
      </c>
      <c r="K169" s="297">
        <v>0.15817707482900001</v>
      </c>
    </row>
    <row r="170" spans="1:11" ht="14.4" customHeight="1" thickBot="1" x14ac:dyDescent="0.35">
      <c r="A170" s="306" t="s">
        <v>356</v>
      </c>
      <c r="B170" s="284">
        <v>357.999999999995</v>
      </c>
      <c r="C170" s="284">
        <v>317.19878</v>
      </c>
      <c r="D170" s="285">
        <v>-40.801219999994998</v>
      </c>
      <c r="E170" s="286">
        <v>0.88603011173099999</v>
      </c>
      <c r="F170" s="284">
        <v>441</v>
      </c>
      <c r="G170" s="285">
        <v>110.25</v>
      </c>
      <c r="H170" s="287">
        <v>24.971599999999999</v>
      </c>
      <c r="I170" s="284">
        <v>69.75609</v>
      </c>
      <c r="J170" s="285">
        <v>-40.49391</v>
      </c>
      <c r="K170" s="288">
        <v>0.15817707482900001</v>
      </c>
    </row>
    <row r="171" spans="1:11" ht="14.4" customHeight="1" thickBot="1" x14ac:dyDescent="0.35">
      <c r="A171" s="305" t="s">
        <v>357</v>
      </c>
      <c r="B171" s="289">
        <v>2841.99999999996</v>
      </c>
      <c r="C171" s="289">
        <v>2317.5825</v>
      </c>
      <c r="D171" s="290">
        <v>-524.41749999996398</v>
      </c>
      <c r="E171" s="296">
        <v>0.81547589725500003</v>
      </c>
      <c r="F171" s="289">
        <v>2343</v>
      </c>
      <c r="G171" s="290">
        <v>585.75</v>
      </c>
      <c r="H171" s="292">
        <v>208.495</v>
      </c>
      <c r="I171" s="289">
        <v>605.17264</v>
      </c>
      <c r="J171" s="290">
        <v>19.422640000000001</v>
      </c>
      <c r="K171" s="297">
        <v>0.25828964575300001</v>
      </c>
    </row>
    <row r="172" spans="1:11" ht="14.4" customHeight="1" thickBot="1" x14ac:dyDescent="0.35">
      <c r="A172" s="306" t="s">
        <v>358</v>
      </c>
      <c r="B172" s="284">
        <v>2841.99999999996</v>
      </c>
      <c r="C172" s="284">
        <v>2317.5825</v>
      </c>
      <c r="D172" s="285">
        <v>-524.41749999996398</v>
      </c>
      <c r="E172" s="286">
        <v>0.81547589725500003</v>
      </c>
      <c r="F172" s="284">
        <v>2343</v>
      </c>
      <c r="G172" s="285">
        <v>585.75</v>
      </c>
      <c r="H172" s="287">
        <v>208.495</v>
      </c>
      <c r="I172" s="284">
        <v>605.17264</v>
      </c>
      <c r="J172" s="285">
        <v>19.422640000000001</v>
      </c>
      <c r="K172" s="288">
        <v>0.25828964575300001</v>
      </c>
    </row>
    <row r="173" spans="1:11" ht="14.4" customHeight="1" thickBot="1" x14ac:dyDescent="0.35">
      <c r="A173" s="310"/>
      <c r="B173" s="284">
        <v>-68005.166210969095</v>
      </c>
      <c r="C173" s="284">
        <v>-69888.396789999999</v>
      </c>
      <c r="D173" s="285">
        <v>-1883.2305790309299</v>
      </c>
      <c r="E173" s="286">
        <v>1.02769246344</v>
      </c>
      <c r="F173" s="284">
        <v>-68611.833777617197</v>
      </c>
      <c r="G173" s="285">
        <v>-17152.958444404299</v>
      </c>
      <c r="H173" s="287">
        <v>-4935.1404899999998</v>
      </c>
      <c r="I173" s="284">
        <v>-20418.23891</v>
      </c>
      <c r="J173" s="285">
        <v>-3265.2804655957402</v>
      </c>
      <c r="K173" s="288">
        <v>0.29759063102900002</v>
      </c>
    </row>
    <row r="174" spans="1:11" ht="14.4" customHeight="1" thickBot="1" x14ac:dyDescent="0.35">
      <c r="A174" s="311" t="s">
        <v>50</v>
      </c>
      <c r="B174" s="298">
        <v>-68005.166210969095</v>
      </c>
      <c r="C174" s="298">
        <v>-69888.396789999999</v>
      </c>
      <c r="D174" s="299">
        <v>-1883.2305790308801</v>
      </c>
      <c r="E174" s="300">
        <v>-0.82132090249800005</v>
      </c>
      <c r="F174" s="298">
        <v>-68611.833777617197</v>
      </c>
      <c r="G174" s="299">
        <v>-17152.958444404299</v>
      </c>
      <c r="H174" s="298">
        <v>-4935.1404899999998</v>
      </c>
      <c r="I174" s="298">
        <v>-20418.23891</v>
      </c>
      <c r="J174" s="299">
        <v>-3265.2804655957498</v>
      </c>
      <c r="K174" s="301">
        <v>0.29759063102900002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3" t="s">
        <v>77</v>
      </c>
      <c r="B1" s="274"/>
      <c r="C1" s="274"/>
      <c r="D1" s="274"/>
      <c r="E1" s="274"/>
      <c r="F1" s="274"/>
      <c r="G1" s="245"/>
      <c r="H1" s="275"/>
      <c r="I1" s="275"/>
    </row>
    <row r="2" spans="1:10" ht="14.4" customHeight="1" thickBot="1" x14ac:dyDescent="0.35">
      <c r="A2" s="174" t="s">
        <v>194</v>
      </c>
      <c r="B2" s="162"/>
      <c r="C2" s="162"/>
      <c r="D2" s="162"/>
      <c r="E2" s="162"/>
      <c r="F2" s="162"/>
    </row>
    <row r="3" spans="1:10" ht="14.4" customHeight="1" thickBot="1" x14ac:dyDescent="0.35">
      <c r="A3" s="174"/>
      <c r="B3" s="162"/>
      <c r="C3" s="232">
        <v>2012</v>
      </c>
      <c r="D3" s="233">
        <v>2013</v>
      </c>
      <c r="E3" s="7"/>
      <c r="F3" s="268">
        <v>2014</v>
      </c>
      <c r="G3" s="269"/>
      <c r="H3" s="269"/>
      <c r="I3" s="270"/>
    </row>
    <row r="4" spans="1:10" ht="14.4" customHeight="1" thickBot="1" x14ac:dyDescent="0.35">
      <c r="A4" s="237" t="s">
        <v>0</v>
      </c>
      <c r="B4" s="238" t="s">
        <v>193</v>
      </c>
      <c r="C4" s="271" t="s">
        <v>55</v>
      </c>
      <c r="D4" s="272"/>
      <c r="E4" s="239"/>
      <c r="F4" s="234" t="s">
        <v>55</v>
      </c>
      <c r="G4" s="235" t="s">
        <v>56</v>
      </c>
      <c r="H4" s="235" t="s">
        <v>52</v>
      </c>
      <c r="I4" s="236" t="s">
        <v>57</v>
      </c>
    </row>
    <row r="5" spans="1:10" ht="14.4" customHeight="1" x14ac:dyDescent="0.3">
      <c r="A5" s="312" t="s">
        <v>359</v>
      </c>
      <c r="B5" s="313" t="s">
        <v>360</v>
      </c>
      <c r="C5" s="314" t="s">
        <v>361</v>
      </c>
      <c r="D5" s="314" t="s">
        <v>361</v>
      </c>
      <c r="E5" s="314"/>
      <c r="F5" s="314" t="s">
        <v>361</v>
      </c>
      <c r="G5" s="314" t="s">
        <v>361</v>
      </c>
      <c r="H5" s="314" t="s">
        <v>361</v>
      </c>
      <c r="I5" s="315" t="s">
        <v>361</v>
      </c>
      <c r="J5" s="316" t="s">
        <v>53</v>
      </c>
    </row>
    <row r="6" spans="1:10" ht="14.4" customHeight="1" x14ac:dyDescent="0.3">
      <c r="A6" s="312" t="s">
        <v>359</v>
      </c>
      <c r="B6" s="313" t="s">
        <v>204</v>
      </c>
      <c r="C6" s="314">
        <v>152.70813000000001</v>
      </c>
      <c r="D6" s="314">
        <v>144.39835000000002</v>
      </c>
      <c r="E6" s="314"/>
      <c r="F6" s="314">
        <v>167.35399000000001</v>
      </c>
      <c r="G6" s="314">
        <v>175.5</v>
      </c>
      <c r="H6" s="314">
        <v>-8.1460099999999898</v>
      </c>
      <c r="I6" s="315">
        <v>0.95358398860398863</v>
      </c>
      <c r="J6" s="316" t="s">
        <v>1</v>
      </c>
    </row>
    <row r="7" spans="1:10" ht="14.4" customHeight="1" x14ac:dyDescent="0.3">
      <c r="A7" s="312" t="s">
        <v>359</v>
      </c>
      <c r="B7" s="313" t="s">
        <v>205</v>
      </c>
      <c r="C7" s="314">
        <v>0</v>
      </c>
      <c r="D7" s="314">
        <v>6.1598899999999999</v>
      </c>
      <c r="E7" s="314"/>
      <c r="F7" s="314">
        <v>0</v>
      </c>
      <c r="G7" s="314">
        <v>1.5</v>
      </c>
      <c r="H7" s="314">
        <v>-1.5</v>
      </c>
      <c r="I7" s="315">
        <v>0</v>
      </c>
      <c r="J7" s="316" t="s">
        <v>1</v>
      </c>
    </row>
    <row r="8" spans="1:10" ht="14.4" customHeight="1" x14ac:dyDescent="0.3">
      <c r="A8" s="312" t="s">
        <v>359</v>
      </c>
      <c r="B8" s="313" t="s">
        <v>206</v>
      </c>
      <c r="C8" s="314">
        <v>0</v>
      </c>
      <c r="D8" s="314">
        <v>1.41384</v>
      </c>
      <c r="E8" s="314"/>
      <c r="F8" s="314">
        <v>1.93374</v>
      </c>
      <c r="G8" s="314">
        <v>2.25</v>
      </c>
      <c r="H8" s="314">
        <v>-0.31625999999999999</v>
      </c>
      <c r="I8" s="315">
        <v>0.85943999999999998</v>
      </c>
      <c r="J8" s="316" t="s">
        <v>1</v>
      </c>
    </row>
    <row r="9" spans="1:10" ht="14.4" customHeight="1" x14ac:dyDescent="0.3">
      <c r="A9" s="312" t="s">
        <v>359</v>
      </c>
      <c r="B9" s="313" t="s">
        <v>207</v>
      </c>
      <c r="C9" s="314">
        <v>34.01388</v>
      </c>
      <c r="D9" s="314">
        <v>52.474550000000008</v>
      </c>
      <c r="E9" s="314"/>
      <c r="F9" s="314">
        <v>39.592489999999998</v>
      </c>
      <c r="G9" s="314">
        <v>44.25</v>
      </c>
      <c r="H9" s="314">
        <v>-4.657510000000002</v>
      </c>
      <c r="I9" s="315">
        <v>0.89474553672316381</v>
      </c>
      <c r="J9" s="316" t="s">
        <v>1</v>
      </c>
    </row>
    <row r="10" spans="1:10" ht="14.4" customHeight="1" x14ac:dyDescent="0.3">
      <c r="A10" s="312" t="s">
        <v>359</v>
      </c>
      <c r="B10" s="313" t="s">
        <v>362</v>
      </c>
      <c r="C10" s="314">
        <v>186.72201000000001</v>
      </c>
      <c r="D10" s="314">
        <v>204.44663000000003</v>
      </c>
      <c r="E10" s="314"/>
      <c r="F10" s="314">
        <v>208.88022000000001</v>
      </c>
      <c r="G10" s="314">
        <v>223.5</v>
      </c>
      <c r="H10" s="314">
        <v>-14.619779999999992</v>
      </c>
      <c r="I10" s="315">
        <v>0.93458711409395978</v>
      </c>
      <c r="J10" s="316" t="s">
        <v>363</v>
      </c>
    </row>
    <row r="12" spans="1:10" ht="14.4" customHeight="1" x14ac:dyDescent="0.3">
      <c r="A12" s="312" t="s">
        <v>359</v>
      </c>
      <c r="B12" s="313" t="s">
        <v>360</v>
      </c>
      <c r="C12" s="314" t="s">
        <v>361</v>
      </c>
      <c r="D12" s="314" t="s">
        <v>361</v>
      </c>
      <c r="E12" s="314"/>
      <c r="F12" s="314" t="s">
        <v>361</v>
      </c>
      <c r="G12" s="314" t="s">
        <v>361</v>
      </c>
      <c r="H12" s="314" t="s">
        <v>361</v>
      </c>
      <c r="I12" s="315" t="s">
        <v>361</v>
      </c>
      <c r="J12" s="316" t="s">
        <v>53</v>
      </c>
    </row>
    <row r="13" spans="1:10" ht="14.4" customHeight="1" x14ac:dyDescent="0.3">
      <c r="A13" s="312" t="s">
        <v>364</v>
      </c>
      <c r="B13" s="313" t="s">
        <v>365</v>
      </c>
      <c r="C13" s="314" t="s">
        <v>361</v>
      </c>
      <c r="D13" s="314" t="s">
        <v>361</v>
      </c>
      <c r="E13" s="314"/>
      <c r="F13" s="314" t="s">
        <v>361</v>
      </c>
      <c r="G13" s="314" t="s">
        <v>361</v>
      </c>
      <c r="H13" s="314" t="s">
        <v>361</v>
      </c>
      <c r="I13" s="315" t="s">
        <v>361</v>
      </c>
      <c r="J13" s="316" t="s">
        <v>0</v>
      </c>
    </row>
    <row r="14" spans="1:10" ht="14.4" customHeight="1" x14ac:dyDescent="0.3">
      <c r="A14" s="312" t="s">
        <v>364</v>
      </c>
      <c r="B14" s="313" t="s">
        <v>204</v>
      </c>
      <c r="C14" s="314">
        <v>145.36766</v>
      </c>
      <c r="D14" s="314">
        <v>139.28138000000001</v>
      </c>
      <c r="E14" s="314"/>
      <c r="F14" s="314">
        <v>162.48836</v>
      </c>
      <c r="G14" s="314">
        <v>169.5</v>
      </c>
      <c r="H14" s="314">
        <v>-7.0116399999999999</v>
      </c>
      <c r="I14" s="315">
        <v>0.95863339233038347</v>
      </c>
      <c r="J14" s="316" t="s">
        <v>1</v>
      </c>
    </row>
    <row r="15" spans="1:10" ht="14.4" customHeight="1" x14ac:dyDescent="0.3">
      <c r="A15" s="312" t="s">
        <v>364</v>
      </c>
      <c r="B15" s="313" t="s">
        <v>205</v>
      </c>
      <c r="C15" s="314">
        <v>0</v>
      </c>
      <c r="D15" s="314">
        <v>6.1598899999999999</v>
      </c>
      <c r="E15" s="314"/>
      <c r="F15" s="314">
        <v>0</v>
      </c>
      <c r="G15" s="314">
        <v>1.5</v>
      </c>
      <c r="H15" s="314">
        <v>-1.5</v>
      </c>
      <c r="I15" s="315">
        <v>0</v>
      </c>
      <c r="J15" s="316" t="s">
        <v>1</v>
      </c>
    </row>
    <row r="16" spans="1:10" ht="14.4" customHeight="1" x14ac:dyDescent="0.3">
      <c r="A16" s="312" t="s">
        <v>364</v>
      </c>
      <c r="B16" s="313" t="s">
        <v>206</v>
      </c>
      <c r="C16" s="314">
        <v>0</v>
      </c>
      <c r="D16" s="314">
        <v>1.41384</v>
      </c>
      <c r="E16" s="314"/>
      <c r="F16" s="314">
        <v>1.93374</v>
      </c>
      <c r="G16" s="314">
        <v>2.25</v>
      </c>
      <c r="H16" s="314">
        <v>-0.31625999999999999</v>
      </c>
      <c r="I16" s="315">
        <v>0.85943999999999998</v>
      </c>
      <c r="J16" s="316" t="s">
        <v>1</v>
      </c>
    </row>
    <row r="17" spans="1:10" ht="14.4" customHeight="1" x14ac:dyDescent="0.3">
      <c r="A17" s="312" t="s">
        <v>364</v>
      </c>
      <c r="B17" s="313" t="s">
        <v>207</v>
      </c>
      <c r="C17" s="314">
        <v>34.01388</v>
      </c>
      <c r="D17" s="314">
        <v>52.474550000000008</v>
      </c>
      <c r="E17" s="314"/>
      <c r="F17" s="314">
        <v>39.592489999999998</v>
      </c>
      <c r="G17" s="314">
        <v>44.25</v>
      </c>
      <c r="H17" s="314">
        <v>-4.657510000000002</v>
      </c>
      <c r="I17" s="315">
        <v>0.89474553672316381</v>
      </c>
      <c r="J17" s="316" t="s">
        <v>1</v>
      </c>
    </row>
    <row r="18" spans="1:10" ht="14.4" customHeight="1" x14ac:dyDescent="0.3">
      <c r="A18" s="312" t="s">
        <v>364</v>
      </c>
      <c r="B18" s="313" t="s">
        <v>366</v>
      </c>
      <c r="C18" s="314">
        <v>179.38154</v>
      </c>
      <c r="D18" s="314">
        <v>199.32965999999999</v>
      </c>
      <c r="E18" s="314"/>
      <c r="F18" s="314">
        <v>204.01459</v>
      </c>
      <c r="G18" s="314">
        <v>217.5</v>
      </c>
      <c r="H18" s="314">
        <v>-13.485410000000002</v>
      </c>
      <c r="I18" s="315">
        <v>0.93799811494252872</v>
      </c>
      <c r="J18" s="316" t="s">
        <v>367</v>
      </c>
    </row>
    <row r="19" spans="1:10" ht="14.4" customHeight="1" x14ac:dyDescent="0.3">
      <c r="A19" s="312" t="s">
        <v>361</v>
      </c>
      <c r="B19" s="313" t="s">
        <v>361</v>
      </c>
      <c r="C19" s="314" t="s">
        <v>361</v>
      </c>
      <c r="D19" s="314" t="s">
        <v>361</v>
      </c>
      <c r="E19" s="314"/>
      <c r="F19" s="314" t="s">
        <v>361</v>
      </c>
      <c r="G19" s="314" t="s">
        <v>361</v>
      </c>
      <c r="H19" s="314" t="s">
        <v>361</v>
      </c>
      <c r="I19" s="315" t="s">
        <v>361</v>
      </c>
      <c r="J19" s="316" t="s">
        <v>368</v>
      </c>
    </row>
    <row r="20" spans="1:10" ht="14.4" customHeight="1" x14ac:dyDescent="0.3">
      <c r="A20" s="312" t="s">
        <v>369</v>
      </c>
      <c r="B20" s="313" t="s">
        <v>370</v>
      </c>
      <c r="C20" s="314" t="s">
        <v>361</v>
      </c>
      <c r="D20" s="314" t="s">
        <v>361</v>
      </c>
      <c r="E20" s="314"/>
      <c r="F20" s="314" t="s">
        <v>361</v>
      </c>
      <c r="G20" s="314" t="s">
        <v>361</v>
      </c>
      <c r="H20" s="314" t="s">
        <v>361</v>
      </c>
      <c r="I20" s="315" t="s">
        <v>361</v>
      </c>
      <c r="J20" s="316" t="s">
        <v>0</v>
      </c>
    </row>
    <row r="21" spans="1:10" ht="14.4" customHeight="1" x14ac:dyDescent="0.3">
      <c r="A21" s="312" t="s">
        <v>369</v>
      </c>
      <c r="B21" s="313" t="s">
        <v>204</v>
      </c>
      <c r="C21" s="314">
        <v>7.3404699999999998</v>
      </c>
      <c r="D21" s="314">
        <v>5.1169700000000002</v>
      </c>
      <c r="E21" s="314"/>
      <c r="F21" s="314">
        <v>4.8656299999999995</v>
      </c>
      <c r="G21" s="314">
        <v>6</v>
      </c>
      <c r="H21" s="314">
        <v>-1.1343700000000005</v>
      </c>
      <c r="I21" s="315">
        <v>0.81093833333333321</v>
      </c>
      <c r="J21" s="316" t="s">
        <v>1</v>
      </c>
    </row>
    <row r="22" spans="1:10" ht="14.4" customHeight="1" x14ac:dyDescent="0.3">
      <c r="A22" s="312" t="s">
        <v>369</v>
      </c>
      <c r="B22" s="313" t="s">
        <v>206</v>
      </c>
      <c r="C22" s="314">
        <v>0</v>
      </c>
      <c r="D22" s="314" t="s">
        <v>361</v>
      </c>
      <c r="E22" s="314"/>
      <c r="F22" s="314" t="s">
        <v>361</v>
      </c>
      <c r="G22" s="314" t="s">
        <v>361</v>
      </c>
      <c r="H22" s="314" t="s">
        <v>361</v>
      </c>
      <c r="I22" s="315" t="s">
        <v>361</v>
      </c>
      <c r="J22" s="316" t="s">
        <v>1</v>
      </c>
    </row>
    <row r="23" spans="1:10" ht="14.4" customHeight="1" x14ac:dyDescent="0.3">
      <c r="A23" s="312" t="s">
        <v>369</v>
      </c>
      <c r="B23" s="313" t="s">
        <v>371</v>
      </c>
      <c r="C23" s="314">
        <v>7.3404699999999998</v>
      </c>
      <c r="D23" s="314">
        <v>5.1169700000000002</v>
      </c>
      <c r="E23" s="314"/>
      <c r="F23" s="314">
        <v>4.8656299999999995</v>
      </c>
      <c r="G23" s="314">
        <v>6</v>
      </c>
      <c r="H23" s="314">
        <v>-1.1343700000000005</v>
      </c>
      <c r="I23" s="315">
        <v>0.81093833333333321</v>
      </c>
      <c r="J23" s="316" t="s">
        <v>367</v>
      </c>
    </row>
    <row r="24" spans="1:10" ht="14.4" customHeight="1" x14ac:dyDescent="0.3">
      <c r="A24" s="312" t="s">
        <v>361</v>
      </c>
      <c r="B24" s="313" t="s">
        <v>361</v>
      </c>
      <c r="C24" s="314" t="s">
        <v>361</v>
      </c>
      <c r="D24" s="314" t="s">
        <v>361</v>
      </c>
      <c r="E24" s="314"/>
      <c r="F24" s="314" t="s">
        <v>361</v>
      </c>
      <c r="G24" s="314" t="s">
        <v>361</v>
      </c>
      <c r="H24" s="314" t="s">
        <v>361</v>
      </c>
      <c r="I24" s="315" t="s">
        <v>361</v>
      </c>
      <c r="J24" s="316" t="s">
        <v>368</v>
      </c>
    </row>
    <row r="25" spans="1:10" ht="14.4" customHeight="1" x14ac:dyDescent="0.3">
      <c r="A25" s="312" t="s">
        <v>359</v>
      </c>
      <c r="B25" s="313" t="s">
        <v>362</v>
      </c>
      <c r="C25" s="314">
        <v>186.72201000000001</v>
      </c>
      <c r="D25" s="314">
        <v>204.44663</v>
      </c>
      <c r="E25" s="314"/>
      <c r="F25" s="314">
        <v>208.88022000000001</v>
      </c>
      <c r="G25" s="314">
        <v>223.5</v>
      </c>
      <c r="H25" s="314">
        <v>-14.619779999999992</v>
      </c>
      <c r="I25" s="315">
        <v>0.93458711409395978</v>
      </c>
      <c r="J25" s="316" t="s">
        <v>363</v>
      </c>
    </row>
  </sheetData>
  <mergeCells count="3">
    <mergeCell ref="F3:I3"/>
    <mergeCell ref="C4:D4"/>
    <mergeCell ref="A1:I1"/>
  </mergeCells>
  <conditionalFormatting sqref="F11 F26:F65537">
    <cfRule type="cellIs" dxfId="33" priority="18" stopIfTrue="1" operator="greaterThan">
      <formula>1</formula>
    </cfRule>
  </conditionalFormatting>
  <conditionalFormatting sqref="H5:H10">
    <cfRule type="expression" dxfId="32" priority="14">
      <formula>$H5&gt;0</formula>
    </cfRule>
  </conditionalFormatting>
  <conditionalFormatting sqref="I5:I10">
    <cfRule type="expression" dxfId="31" priority="15">
      <formula>$I5&gt;1</formula>
    </cfRule>
  </conditionalFormatting>
  <conditionalFormatting sqref="B5:B10">
    <cfRule type="expression" dxfId="30" priority="11">
      <formula>OR($J5="NS",$J5="SumaNS",$J5="Účet")</formula>
    </cfRule>
  </conditionalFormatting>
  <conditionalFormatting sqref="B5:D10 F5:I10">
    <cfRule type="expression" dxfId="29" priority="17">
      <formula>AND($J5&lt;&gt;"",$J5&lt;&gt;"mezeraKL")</formula>
    </cfRule>
  </conditionalFormatting>
  <conditionalFormatting sqref="B5:D10 F5:I10">
    <cfRule type="expression" dxfId="28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27" priority="13">
      <formula>OR($J5="SumaNS",$J5="NS")</formula>
    </cfRule>
  </conditionalFormatting>
  <conditionalFormatting sqref="A5:A10">
    <cfRule type="expression" dxfId="26" priority="9">
      <formula>AND($J5&lt;&gt;"mezeraKL",$J5&lt;&gt;"")</formula>
    </cfRule>
  </conditionalFormatting>
  <conditionalFormatting sqref="A5:A10">
    <cfRule type="expression" dxfId="25" priority="10">
      <formula>AND($J5&lt;&gt;"",$J5&lt;&gt;"mezeraKL")</formula>
    </cfRule>
  </conditionalFormatting>
  <conditionalFormatting sqref="H12:H25">
    <cfRule type="expression" dxfId="24" priority="5">
      <formula>$H12&gt;0</formula>
    </cfRule>
  </conditionalFormatting>
  <conditionalFormatting sqref="A12:A25">
    <cfRule type="expression" dxfId="23" priority="2">
      <formula>AND($J12&lt;&gt;"mezeraKL",$J12&lt;&gt;"")</formula>
    </cfRule>
  </conditionalFormatting>
  <conditionalFormatting sqref="I12:I25">
    <cfRule type="expression" dxfId="22" priority="6">
      <formula>$I12&gt;1</formula>
    </cfRule>
  </conditionalFormatting>
  <conditionalFormatting sqref="B12:B25">
    <cfRule type="expression" dxfId="21" priority="1">
      <formula>OR($J12="NS",$J12="SumaNS",$J12="Účet")</formula>
    </cfRule>
  </conditionalFormatting>
  <conditionalFormatting sqref="A12:D25 F12:I25">
    <cfRule type="expression" dxfId="20" priority="8">
      <formula>AND($J12&lt;&gt;"",$J12&lt;&gt;"mezeraKL")</formula>
    </cfRule>
  </conditionalFormatting>
  <conditionalFormatting sqref="B12:D25 F12:I25">
    <cfRule type="expression" dxfId="19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18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5" style="165" customWidth="1"/>
    <col min="8" max="8" width="12.44140625" style="165" hidden="1" customWidth="1" outlineLevel="1"/>
    <col min="9" max="9" width="8.5546875" style="165" hidden="1" customWidth="1" outlineLevel="1"/>
    <col min="10" max="10" width="25.77734375" style="165" customWidth="1" collapsed="1"/>
    <col min="11" max="11" width="8.77734375" style="165" customWidth="1"/>
    <col min="12" max="13" width="7.77734375" style="163" customWidth="1"/>
    <col min="14" max="14" width="11.109375" style="163" customWidth="1"/>
    <col min="15" max="16384" width="8.88671875" style="96"/>
  </cols>
  <sheetData>
    <row r="1" spans="1:14" ht="18.600000000000001" customHeight="1" thickBot="1" x14ac:dyDescent="0.4">
      <c r="A1" s="280" t="s">
        <v>95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14.4" customHeight="1" thickBot="1" x14ac:dyDescent="0.35">
      <c r="A2" s="174" t="s">
        <v>194</v>
      </c>
      <c r="B2" s="5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</row>
    <row r="3" spans="1:14" ht="14.4" customHeight="1" thickBot="1" x14ac:dyDescent="0.35">
      <c r="A3" s="57"/>
      <c r="B3" s="57"/>
      <c r="C3" s="276"/>
      <c r="D3" s="277"/>
      <c r="E3" s="277"/>
      <c r="F3" s="277"/>
      <c r="G3" s="277"/>
      <c r="H3" s="277"/>
      <c r="I3" s="277"/>
      <c r="J3" s="278" t="s">
        <v>75</v>
      </c>
      <c r="K3" s="279"/>
      <c r="L3" s="71">
        <f>IF(M3&lt;&gt;0,N3/M3,0)</f>
        <v>163.87970796820662</v>
      </c>
      <c r="M3" s="71">
        <f>SUBTOTAL(9,M5:M1048576)</f>
        <v>1033</v>
      </c>
      <c r="N3" s="72">
        <f>SUBTOTAL(9,N5:N1048576)</f>
        <v>169287.73833115742</v>
      </c>
    </row>
    <row r="4" spans="1:14" s="164" customFormat="1" ht="14.4" customHeight="1" thickBot="1" x14ac:dyDescent="0.35">
      <c r="A4" s="317" t="s">
        <v>3</v>
      </c>
      <c r="B4" s="318" t="s">
        <v>4</v>
      </c>
      <c r="C4" s="318" t="s">
        <v>0</v>
      </c>
      <c r="D4" s="318" t="s">
        <v>5</v>
      </c>
      <c r="E4" s="318" t="s">
        <v>6</v>
      </c>
      <c r="F4" s="318" t="s">
        <v>1</v>
      </c>
      <c r="G4" s="318" t="s">
        <v>7</v>
      </c>
      <c r="H4" s="318" t="s">
        <v>8</v>
      </c>
      <c r="I4" s="318" t="s">
        <v>9</v>
      </c>
      <c r="J4" s="319" t="s">
        <v>10</v>
      </c>
      <c r="K4" s="319" t="s">
        <v>11</v>
      </c>
      <c r="L4" s="320" t="s">
        <v>81</v>
      </c>
      <c r="M4" s="320" t="s">
        <v>12</v>
      </c>
      <c r="N4" s="321" t="s">
        <v>89</v>
      </c>
    </row>
    <row r="5" spans="1:14" ht="14.4" customHeight="1" x14ac:dyDescent="0.3">
      <c r="A5" s="322" t="s">
        <v>359</v>
      </c>
      <c r="B5" s="323" t="s">
        <v>458</v>
      </c>
      <c r="C5" s="324" t="s">
        <v>364</v>
      </c>
      <c r="D5" s="325" t="s">
        <v>459</v>
      </c>
      <c r="E5" s="324" t="s">
        <v>372</v>
      </c>
      <c r="F5" s="325" t="s">
        <v>462</v>
      </c>
      <c r="G5" s="324" t="s">
        <v>373</v>
      </c>
      <c r="H5" s="324" t="s">
        <v>374</v>
      </c>
      <c r="I5" s="324" t="s">
        <v>375</v>
      </c>
      <c r="J5" s="324" t="s">
        <v>376</v>
      </c>
      <c r="K5" s="324" t="s">
        <v>377</v>
      </c>
      <c r="L5" s="326">
        <v>84.57</v>
      </c>
      <c r="M5" s="326">
        <v>4</v>
      </c>
      <c r="N5" s="327">
        <v>338.28</v>
      </c>
    </row>
    <row r="6" spans="1:14" ht="14.4" customHeight="1" x14ac:dyDescent="0.3">
      <c r="A6" s="328" t="s">
        <v>359</v>
      </c>
      <c r="B6" s="329" t="s">
        <v>458</v>
      </c>
      <c r="C6" s="330" t="s">
        <v>364</v>
      </c>
      <c r="D6" s="331" t="s">
        <v>459</v>
      </c>
      <c r="E6" s="330" t="s">
        <v>372</v>
      </c>
      <c r="F6" s="331" t="s">
        <v>462</v>
      </c>
      <c r="G6" s="330" t="s">
        <v>373</v>
      </c>
      <c r="H6" s="330" t="s">
        <v>378</v>
      </c>
      <c r="I6" s="330" t="s">
        <v>379</v>
      </c>
      <c r="J6" s="330" t="s">
        <v>380</v>
      </c>
      <c r="K6" s="330" t="s">
        <v>381</v>
      </c>
      <c r="L6" s="332">
        <v>170.23016712267994</v>
      </c>
      <c r="M6" s="332">
        <v>18</v>
      </c>
      <c r="N6" s="333">
        <v>3064.1430082082388</v>
      </c>
    </row>
    <row r="7" spans="1:14" ht="14.4" customHeight="1" x14ac:dyDescent="0.3">
      <c r="A7" s="328" t="s">
        <v>359</v>
      </c>
      <c r="B7" s="329" t="s">
        <v>458</v>
      </c>
      <c r="C7" s="330" t="s">
        <v>364</v>
      </c>
      <c r="D7" s="331" t="s">
        <v>459</v>
      </c>
      <c r="E7" s="330" t="s">
        <v>372</v>
      </c>
      <c r="F7" s="331" t="s">
        <v>462</v>
      </c>
      <c r="G7" s="330" t="s">
        <v>373</v>
      </c>
      <c r="H7" s="330" t="s">
        <v>382</v>
      </c>
      <c r="I7" s="330" t="s">
        <v>383</v>
      </c>
      <c r="J7" s="330" t="s">
        <v>384</v>
      </c>
      <c r="K7" s="330" t="s">
        <v>385</v>
      </c>
      <c r="L7" s="332">
        <v>58.97</v>
      </c>
      <c r="M7" s="332">
        <v>6</v>
      </c>
      <c r="N7" s="333">
        <v>353.82</v>
      </c>
    </row>
    <row r="8" spans="1:14" ht="14.4" customHeight="1" x14ac:dyDescent="0.3">
      <c r="A8" s="328" t="s">
        <v>359</v>
      </c>
      <c r="B8" s="329" t="s">
        <v>458</v>
      </c>
      <c r="C8" s="330" t="s">
        <v>364</v>
      </c>
      <c r="D8" s="331" t="s">
        <v>459</v>
      </c>
      <c r="E8" s="330" t="s">
        <v>372</v>
      </c>
      <c r="F8" s="331" t="s">
        <v>462</v>
      </c>
      <c r="G8" s="330" t="s">
        <v>373</v>
      </c>
      <c r="H8" s="330" t="s">
        <v>386</v>
      </c>
      <c r="I8" s="330" t="s">
        <v>387</v>
      </c>
      <c r="J8" s="330" t="s">
        <v>388</v>
      </c>
      <c r="K8" s="330" t="s">
        <v>389</v>
      </c>
      <c r="L8" s="332">
        <v>75.239887220885151</v>
      </c>
      <c r="M8" s="332">
        <v>16</v>
      </c>
      <c r="N8" s="333">
        <v>1203.8381955341624</v>
      </c>
    </row>
    <row r="9" spans="1:14" ht="14.4" customHeight="1" x14ac:dyDescent="0.3">
      <c r="A9" s="328" t="s">
        <v>359</v>
      </c>
      <c r="B9" s="329" t="s">
        <v>458</v>
      </c>
      <c r="C9" s="330" t="s">
        <v>364</v>
      </c>
      <c r="D9" s="331" t="s">
        <v>459</v>
      </c>
      <c r="E9" s="330" t="s">
        <v>372</v>
      </c>
      <c r="F9" s="331" t="s">
        <v>462</v>
      </c>
      <c r="G9" s="330" t="s">
        <v>373</v>
      </c>
      <c r="H9" s="330" t="s">
        <v>390</v>
      </c>
      <c r="I9" s="330" t="s">
        <v>118</v>
      </c>
      <c r="J9" s="330" t="s">
        <v>391</v>
      </c>
      <c r="K9" s="330"/>
      <c r="L9" s="332">
        <v>647.05692254896394</v>
      </c>
      <c r="M9" s="332">
        <v>18</v>
      </c>
      <c r="N9" s="333">
        <v>11647.024605881352</v>
      </c>
    </row>
    <row r="10" spans="1:14" ht="14.4" customHeight="1" x14ac:dyDescent="0.3">
      <c r="A10" s="328" t="s">
        <v>359</v>
      </c>
      <c r="B10" s="329" t="s">
        <v>458</v>
      </c>
      <c r="C10" s="330" t="s">
        <v>364</v>
      </c>
      <c r="D10" s="331" t="s">
        <v>459</v>
      </c>
      <c r="E10" s="330" t="s">
        <v>372</v>
      </c>
      <c r="F10" s="331" t="s">
        <v>462</v>
      </c>
      <c r="G10" s="330" t="s">
        <v>373</v>
      </c>
      <c r="H10" s="330" t="s">
        <v>392</v>
      </c>
      <c r="I10" s="330" t="s">
        <v>393</v>
      </c>
      <c r="J10" s="330" t="s">
        <v>394</v>
      </c>
      <c r="K10" s="330" t="s">
        <v>395</v>
      </c>
      <c r="L10" s="332">
        <v>527.84993153907533</v>
      </c>
      <c r="M10" s="332">
        <v>4</v>
      </c>
      <c r="N10" s="333">
        <v>2111.3997261563013</v>
      </c>
    </row>
    <row r="11" spans="1:14" ht="14.4" customHeight="1" x14ac:dyDescent="0.3">
      <c r="A11" s="328" t="s">
        <v>359</v>
      </c>
      <c r="B11" s="329" t="s">
        <v>458</v>
      </c>
      <c r="C11" s="330" t="s">
        <v>364</v>
      </c>
      <c r="D11" s="331" t="s">
        <v>459</v>
      </c>
      <c r="E11" s="330" t="s">
        <v>372</v>
      </c>
      <c r="F11" s="331" t="s">
        <v>462</v>
      </c>
      <c r="G11" s="330" t="s">
        <v>373</v>
      </c>
      <c r="H11" s="330" t="s">
        <v>396</v>
      </c>
      <c r="I11" s="330" t="s">
        <v>397</v>
      </c>
      <c r="J11" s="330" t="s">
        <v>398</v>
      </c>
      <c r="K11" s="330" t="s">
        <v>399</v>
      </c>
      <c r="L11" s="332">
        <v>23.078049171772179</v>
      </c>
      <c r="M11" s="332">
        <v>12</v>
      </c>
      <c r="N11" s="333">
        <v>276.93659006126614</v>
      </c>
    </row>
    <row r="12" spans="1:14" ht="14.4" customHeight="1" x14ac:dyDescent="0.3">
      <c r="A12" s="328" t="s">
        <v>359</v>
      </c>
      <c r="B12" s="329" t="s">
        <v>458</v>
      </c>
      <c r="C12" s="330" t="s">
        <v>364</v>
      </c>
      <c r="D12" s="331" t="s">
        <v>459</v>
      </c>
      <c r="E12" s="330" t="s">
        <v>372</v>
      </c>
      <c r="F12" s="331" t="s">
        <v>462</v>
      </c>
      <c r="G12" s="330" t="s">
        <v>373</v>
      </c>
      <c r="H12" s="330" t="s">
        <v>400</v>
      </c>
      <c r="I12" s="330" t="s">
        <v>118</v>
      </c>
      <c r="J12" s="330" t="s">
        <v>401</v>
      </c>
      <c r="K12" s="330"/>
      <c r="L12" s="332">
        <v>106.48070312850881</v>
      </c>
      <c r="M12" s="332">
        <v>30</v>
      </c>
      <c r="N12" s="333">
        <v>3194.4210938552642</v>
      </c>
    </row>
    <row r="13" spans="1:14" ht="14.4" customHeight="1" x14ac:dyDescent="0.3">
      <c r="A13" s="328" t="s">
        <v>359</v>
      </c>
      <c r="B13" s="329" t="s">
        <v>458</v>
      </c>
      <c r="C13" s="330" t="s">
        <v>364</v>
      </c>
      <c r="D13" s="331" t="s">
        <v>459</v>
      </c>
      <c r="E13" s="330" t="s">
        <v>372</v>
      </c>
      <c r="F13" s="331" t="s">
        <v>462</v>
      </c>
      <c r="G13" s="330" t="s">
        <v>373</v>
      </c>
      <c r="H13" s="330" t="s">
        <v>402</v>
      </c>
      <c r="I13" s="330" t="s">
        <v>403</v>
      </c>
      <c r="J13" s="330" t="s">
        <v>404</v>
      </c>
      <c r="K13" s="330" t="s">
        <v>405</v>
      </c>
      <c r="L13" s="332">
        <v>106.92993136107971</v>
      </c>
      <c r="M13" s="332">
        <v>5</v>
      </c>
      <c r="N13" s="333">
        <v>534.64965680539854</v>
      </c>
    </row>
    <row r="14" spans="1:14" ht="14.4" customHeight="1" x14ac:dyDescent="0.3">
      <c r="A14" s="328" t="s">
        <v>359</v>
      </c>
      <c r="B14" s="329" t="s">
        <v>458</v>
      </c>
      <c r="C14" s="330" t="s">
        <v>364</v>
      </c>
      <c r="D14" s="331" t="s">
        <v>459</v>
      </c>
      <c r="E14" s="330" t="s">
        <v>372</v>
      </c>
      <c r="F14" s="331" t="s">
        <v>462</v>
      </c>
      <c r="G14" s="330" t="s">
        <v>373</v>
      </c>
      <c r="H14" s="330" t="s">
        <v>406</v>
      </c>
      <c r="I14" s="330" t="s">
        <v>118</v>
      </c>
      <c r="J14" s="330" t="s">
        <v>407</v>
      </c>
      <c r="K14" s="330" t="s">
        <v>408</v>
      </c>
      <c r="L14" s="332">
        <v>23.7</v>
      </c>
      <c r="M14" s="332">
        <v>36</v>
      </c>
      <c r="N14" s="333">
        <v>853.19999999999993</v>
      </c>
    </row>
    <row r="15" spans="1:14" ht="14.4" customHeight="1" x14ac:dyDescent="0.3">
      <c r="A15" s="328" t="s">
        <v>359</v>
      </c>
      <c r="B15" s="329" t="s">
        <v>458</v>
      </c>
      <c r="C15" s="330" t="s">
        <v>364</v>
      </c>
      <c r="D15" s="331" t="s">
        <v>459</v>
      </c>
      <c r="E15" s="330" t="s">
        <v>372</v>
      </c>
      <c r="F15" s="331" t="s">
        <v>462</v>
      </c>
      <c r="G15" s="330" t="s">
        <v>373</v>
      </c>
      <c r="H15" s="330" t="s">
        <v>409</v>
      </c>
      <c r="I15" s="330" t="s">
        <v>409</v>
      </c>
      <c r="J15" s="330" t="s">
        <v>410</v>
      </c>
      <c r="K15" s="330" t="s">
        <v>411</v>
      </c>
      <c r="L15" s="332">
        <v>237.1</v>
      </c>
      <c r="M15" s="332">
        <v>2</v>
      </c>
      <c r="N15" s="333">
        <v>474.2</v>
      </c>
    </row>
    <row r="16" spans="1:14" ht="14.4" customHeight="1" x14ac:dyDescent="0.3">
      <c r="A16" s="328" t="s">
        <v>359</v>
      </c>
      <c r="B16" s="329" t="s">
        <v>458</v>
      </c>
      <c r="C16" s="330" t="s">
        <v>364</v>
      </c>
      <c r="D16" s="331" t="s">
        <v>459</v>
      </c>
      <c r="E16" s="330" t="s">
        <v>372</v>
      </c>
      <c r="F16" s="331" t="s">
        <v>462</v>
      </c>
      <c r="G16" s="330" t="s">
        <v>373</v>
      </c>
      <c r="H16" s="330" t="s">
        <v>412</v>
      </c>
      <c r="I16" s="330" t="s">
        <v>413</v>
      </c>
      <c r="J16" s="330" t="s">
        <v>414</v>
      </c>
      <c r="K16" s="330" t="s">
        <v>415</v>
      </c>
      <c r="L16" s="332">
        <v>48.329840683515421</v>
      </c>
      <c r="M16" s="332">
        <v>20</v>
      </c>
      <c r="N16" s="333">
        <v>966.59681367030839</v>
      </c>
    </row>
    <row r="17" spans="1:14" ht="14.4" customHeight="1" x14ac:dyDescent="0.3">
      <c r="A17" s="328" t="s">
        <v>359</v>
      </c>
      <c r="B17" s="329" t="s">
        <v>458</v>
      </c>
      <c r="C17" s="330" t="s">
        <v>364</v>
      </c>
      <c r="D17" s="331" t="s">
        <v>459</v>
      </c>
      <c r="E17" s="330" t="s">
        <v>372</v>
      </c>
      <c r="F17" s="331" t="s">
        <v>462</v>
      </c>
      <c r="G17" s="330" t="s">
        <v>373</v>
      </c>
      <c r="H17" s="330" t="s">
        <v>416</v>
      </c>
      <c r="I17" s="330" t="s">
        <v>118</v>
      </c>
      <c r="J17" s="330" t="s">
        <v>417</v>
      </c>
      <c r="K17" s="330" t="s">
        <v>418</v>
      </c>
      <c r="L17" s="332">
        <v>96.839793171967742</v>
      </c>
      <c r="M17" s="332">
        <v>15</v>
      </c>
      <c r="N17" s="333">
        <v>1452.5968975795161</v>
      </c>
    </row>
    <row r="18" spans="1:14" ht="14.4" customHeight="1" x14ac:dyDescent="0.3">
      <c r="A18" s="328" t="s">
        <v>359</v>
      </c>
      <c r="B18" s="329" t="s">
        <v>458</v>
      </c>
      <c r="C18" s="330" t="s">
        <v>364</v>
      </c>
      <c r="D18" s="331" t="s">
        <v>459</v>
      </c>
      <c r="E18" s="330" t="s">
        <v>372</v>
      </c>
      <c r="F18" s="331" t="s">
        <v>462</v>
      </c>
      <c r="G18" s="330" t="s">
        <v>373</v>
      </c>
      <c r="H18" s="330" t="s">
        <v>419</v>
      </c>
      <c r="I18" s="330" t="s">
        <v>420</v>
      </c>
      <c r="J18" s="330" t="s">
        <v>421</v>
      </c>
      <c r="K18" s="330" t="s">
        <v>422</v>
      </c>
      <c r="L18" s="332">
        <v>210.44999999999996</v>
      </c>
      <c r="M18" s="332">
        <v>222</v>
      </c>
      <c r="N18" s="333">
        <v>46719.899999999994</v>
      </c>
    </row>
    <row r="19" spans="1:14" ht="14.4" customHeight="1" x14ac:dyDescent="0.3">
      <c r="A19" s="328" t="s">
        <v>359</v>
      </c>
      <c r="B19" s="329" t="s">
        <v>458</v>
      </c>
      <c r="C19" s="330" t="s">
        <v>364</v>
      </c>
      <c r="D19" s="331" t="s">
        <v>459</v>
      </c>
      <c r="E19" s="330" t="s">
        <v>372</v>
      </c>
      <c r="F19" s="331" t="s">
        <v>462</v>
      </c>
      <c r="G19" s="330" t="s">
        <v>373</v>
      </c>
      <c r="H19" s="330" t="s">
        <v>423</v>
      </c>
      <c r="I19" s="330" t="s">
        <v>118</v>
      </c>
      <c r="J19" s="330" t="s">
        <v>424</v>
      </c>
      <c r="K19" s="330"/>
      <c r="L19" s="332">
        <v>264.47703903177461</v>
      </c>
      <c r="M19" s="332">
        <v>35</v>
      </c>
      <c r="N19" s="333">
        <v>9256.6963661121117</v>
      </c>
    </row>
    <row r="20" spans="1:14" ht="14.4" customHeight="1" x14ac:dyDescent="0.3">
      <c r="A20" s="328" t="s">
        <v>359</v>
      </c>
      <c r="B20" s="329" t="s">
        <v>458</v>
      </c>
      <c r="C20" s="330" t="s">
        <v>364</v>
      </c>
      <c r="D20" s="331" t="s">
        <v>459</v>
      </c>
      <c r="E20" s="330" t="s">
        <v>372</v>
      </c>
      <c r="F20" s="331" t="s">
        <v>462</v>
      </c>
      <c r="G20" s="330" t="s">
        <v>373</v>
      </c>
      <c r="H20" s="330" t="s">
        <v>425</v>
      </c>
      <c r="I20" s="330" t="s">
        <v>426</v>
      </c>
      <c r="J20" s="330" t="s">
        <v>427</v>
      </c>
      <c r="K20" s="330" t="s">
        <v>428</v>
      </c>
      <c r="L20" s="332">
        <v>291.80701166441503</v>
      </c>
      <c r="M20" s="332">
        <v>17</v>
      </c>
      <c r="N20" s="333">
        <v>4960.7191982950553</v>
      </c>
    </row>
    <row r="21" spans="1:14" ht="14.4" customHeight="1" x14ac:dyDescent="0.3">
      <c r="A21" s="328" t="s">
        <v>359</v>
      </c>
      <c r="B21" s="329" t="s">
        <v>458</v>
      </c>
      <c r="C21" s="330" t="s">
        <v>364</v>
      </c>
      <c r="D21" s="331" t="s">
        <v>459</v>
      </c>
      <c r="E21" s="330" t="s">
        <v>372</v>
      </c>
      <c r="F21" s="331" t="s">
        <v>462</v>
      </c>
      <c r="G21" s="330" t="s">
        <v>373</v>
      </c>
      <c r="H21" s="330" t="s">
        <v>429</v>
      </c>
      <c r="I21" s="330" t="s">
        <v>430</v>
      </c>
      <c r="J21" s="330" t="s">
        <v>431</v>
      </c>
      <c r="K21" s="330"/>
      <c r="L21" s="332">
        <v>150.58000000000001</v>
      </c>
      <c r="M21" s="332">
        <v>4</v>
      </c>
      <c r="N21" s="333">
        <v>602.32000000000005</v>
      </c>
    </row>
    <row r="22" spans="1:14" ht="14.4" customHeight="1" x14ac:dyDescent="0.3">
      <c r="A22" s="328" t="s">
        <v>359</v>
      </c>
      <c r="B22" s="329" t="s">
        <v>458</v>
      </c>
      <c r="C22" s="330" t="s">
        <v>364</v>
      </c>
      <c r="D22" s="331" t="s">
        <v>459</v>
      </c>
      <c r="E22" s="330" t="s">
        <v>372</v>
      </c>
      <c r="F22" s="331" t="s">
        <v>462</v>
      </c>
      <c r="G22" s="330" t="s">
        <v>373</v>
      </c>
      <c r="H22" s="330" t="s">
        <v>432</v>
      </c>
      <c r="I22" s="330" t="s">
        <v>118</v>
      </c>
      <c r="J22" s="330" t="s">
        <v>433</v>
      </c>
      <c r="K22" s="330"/>
      <c r="L22" s="332">
        <v>512.09747160967368</v>
      </c>
      <c r="M22" s="332">
        <v>58</v>
      </c>
      <c r="N22" s="333">
        <v>29701.653353361071</v>
      </c>
    </row>
    <row r="23" spans="1:14" ht="14.4" customHeight="1" x14ac:dyDescent="0.3">
      <c r="A23" s="328" t="s">
        <v>359</v>
      </c>
      <c r="B23" s="329" t="s">
        <v>458</v>
      </c>
      <c r="C23" s="330" t="s">
        <v>364</v>
      </c>
      <c r="D23" s="331" t="s">
        <v>459</v>
      </c>
      <c r="E23" s="330" t="s">
        <v>372</v>
      </c>
      <c r="F23" s="331" t="s">
        <v>462</v>
      </c>
      <c r="G23" s="330" t="s">
        <v>373</v>
      </c>
      <c r="H23" s="330" t="s">
        <v>434</v>
      </c>
      <c r="I23" s="330" t="s">
        <v>118</v>
      </c>
      <c r="J23" s="330" t="s">
        <v>435</v>
      </c>
      <c r="K23" s="330"/>
      <c r="L23" s="332">
        <v>61.608923888202668</v>
      </c>
      <c r="M23" s="332">
        <v>18</v>
      </c>
      <c r="N23" s="333">
        <v>1108.960629987648</v>
      </c>
    </row>
    <row r="24" spans="1:14" ht="14.4" customHeight="1" x14ac:dyDescent="0.3">
      <c r="A24" s="328" t="s">
        <v>359</v>
      </c>
      <c r="B24" s="329" t="s">
        <v>458</v>
      </c>
      <c r="C24" s="330" t="s">
        <v>364</v>
      </c>
      <c r="D24" s="331" t="s">
        <v>459</v>
      </c>
      <c r="E24" s="330" t="s">
        <v>372</v>
      </c>
      <c r="F24" s="331" t="s">
        <v>462</v>
      </c>
      <c r="G24" s="330" t="s">
        <v>373</v>
      </c>
      <c r="H24" s="330" t="s">
        <v>436</v>
      </c>
      <c r="I24" s="330" t="s">
        <v>118</v>
      </c>
      <c r="J24" s="330" t="s">
        <v>437</v>
      </c>
      <c r="K24" s="330" t="s">
        <v>438</v>
      </c>
      <c r="L24" s="332">
        <v>83.309999999999988</v>
      </c>
      <c r="M24" s="332">
        <v>420</v>
      </c>
      <c r="N24" s="333">
        <v>34990.199999999997</v>
      </c>
    </row>
    <row r="25" spans="1:14" ht="14.4" customHeight="1" x14ac:dyDescent="0.3">
      <c r="A25" s="328" t="s">
        <v>359</v>
      </c>
      <c r="B25" s="329" t="s">
        <v>458</v>
      </c>
      <c r="C25" s="330" t="s">
        <v>364</v>
      </c>
      <c r="D25" s="331" t="s">
        <v>459</v>
      </c>
      <c r="E25" s="330" t="s">
        <v>372</v>
      </c>
      <c r="F25" s="331" t="s">
        <v>462</v>
      </c>
      <c r="G25" s="330" t="s">
        <v>373</v>
      </c>
      <c r="H25" s="330" t="s">
        <v>439</v>
      </c>
      <c r="I25" s="330" t="s">
        <v>118</v>
      </c>
      <c r="J25" s="330" t="s">
        <v>440</v>
      </c>
      <c r="K25" s="330" t="s">
        <v>441</v>
      </c>
      <c r="L25" s="332">
        <v>42.166114712747003</v>
      </c>
      <c r="M25" s="332">
        <v>5</v>
      </c>
      <c r="N25" s="333">
        <v>210.83057356373502</v>
      </c>
    </row>
    <row r="26" spans="1:14" ht="14.4" customHeight="1" x14ac:dyDescent="0.3">
      <c r="A26" s="328" t="s">
        <v>359</v>
      </c>
      <c r="B26" s="329" t="s">
        <v>458</v>
      </c>
      <c r="C26" s="330" t="s">
        <v>364</v>
      </c>
      <c r="D26" s="331" t="s">
        <v>459</v>
      </c>
      <c r="E26" s="330" t="s">
        <v>372</v>
      </c>
      <c r="F26" s="331" t="s">
        <v>462</v>
      </c>
      <c r="G26" s="330" t="s">
        <v>373</v>
      </c>
      <c r="H26" s="330" t="s">
        <v>442</v>
      </c>
      <c r="I26" s="330" t="s">
        <v>118</v>
      </c>
      <c r="J26" s="330" t="s">
        <v>443</v>
      </c>
      <c r="K26" s="330"/>
      <c r="L26" s="332">
        <v>875.13774467612325</v>
      </c>
      <c r="M26" s="332">
        <v>9</v>
      </c>
      <c r="N26" s="333">
        <v>7876.2397020851095</v>
      </c>
    </row>
    <row r="27" spans="1:14" ht="14.4" customHeight="1" x14ac:dyDescent="0.3">
      <c r="A27" s="328" t="s">
        <v>359</v>
      </c>
      <c r="B27" s="329" t="s">
        <v>458</v>
      </c>
      <c r="C27" s="330" t="s">
        <v>364</v>
      </c>
      <c r="D27" s="331" t="s">
        <v>459</v>
      </c>
      <c r="E27" s="330" t="s">
        <v>372</v>
      </c>
      <c r="F27" s="331" t="s">
        <v>462</v>
      </c>
      <c r="G27" s="330" t="s">
        <v>373</v>
      </c>
      <c r="H27" s="330" t="s">
        <v>444</v>
      </c>
      <c r="I27" s="330" t="s">
        <v>444</v>
      </c>
      <c r="J27" s="330" t="s">
        <v>384</v>
      </c>
      <c r="K27" s="330" t="s">
        <v>445</v>
      </c>
      <c r="L27" s="332">
        <v>60.260000000000005</v>
      </c>
      <c r="M27" s="332">
        <v>5</v>
      </c>
      <c r="N27" s="333">
        <v>301.3</v>
      </c>
    </row>
    <row r="28" spans="1:14" ht="14.4" customHeight="1" x14ac:dyDescent="0.3">
      <c r="A28" s="328" t="s">
        <v>359</v>
      </c>
      <c r="B28" s="329" t="s">
        <v>458</v>
      </c>
      <c r="C28" s="330" t="s">
        <v>364</v>
      </c>
      <c r="D28" s="331" t="s">
        <v>459</v>
      </c>
      <c r="E28" s="330" t="s">
        <v>446</v>
      </c>
      <c r="F28" s="331" t="s">
        <v>463</v>
      </c>
      <c r="G28" s="330" t="s">
        <v>373</v>
      </c>
      <c r="H28" s="330" t="s">
        <v>447</v>
      </c>
      <c r="I28" s="330" t="s">
        <v>448</v>
      </c>
      <c r="J28" s="330" t="s">
        <v>449</v>
      </c>
      <c r="K28" s="330" t="s">
        <v>450</v>
      </c>
      <c r="L28" s="332">
        <v>39.430000000000007</v>
      </c>
      <c r="M28" s="332">
        <v>2</v>
      </c>
      <c r="N28" s="333">
        <v>78.860000000000014</v>
      </c>
    </row>
    <row r="29" spans="1:14" ht="14.4" customHeight="1" x14ac:dyDescent="0.3">
      <c r="A29" s="328" t="s">
        <v>359</v>
      </c>
      <c r="B29" s="329" t="s">
        <v>458</v>
      </c>
      <c r="C29" s="330" t="s">
        <v>364</v>
      </c>
      <c r="D29" s="331" t="s">
        <v>459</v>
      </c>
      <c r="E29" s="330" t="s">
        <v>446</v>
      </c>
      <c r="F29" s="331" t="s">
        <v>463</v>
      </c>
      <c r="G29" s="330" t="s">
        <v>373</v>
      </c>
      <c r="H29" s="330" t="s">
        <v>451</v>
      </c>
      <c r="I29" s="330" t="s">
        <v>452</v>
      </c>
      <c r="J29" s="330" t="s">
        <v>453</v>
      </c>
      <c r="K29" s="330" t="s">
        <v>454</v>
      </c>
      <c r="L29" s="332">
        <v>66.245714285714286</v>
      </c>
      <c r="M29" s="332">
        <v>28</v>
      </c>
      <c r="N29" s="333">
        <v>1854.88</v>
      </c>
    </row>
    <row r="30" spans="1:14" ht="14.4" customHeight="1" x14ac:dyDescent="0.3">
      <c r="A30" s="328" t="s">
        <v>359</v>
      </c>
      <c r="B30" s="329" t="s">
        <v>458</v>
      </c>
      <c r="C30" s="330" t="s">
        <v>369</v>
      </c>
      <c r="D30" s="331" t="s">
        <v>460</v>
      </c>
      <c r="E30" s="330" t="s">
        <v>372</v>
      </c>
      <c r="F30" s="331" t="s">
        <v>462</v>
      </c>
      <c r="G30" s="330" t="s">
        <v>373</v>
      </c>
      <c r="H30" s="330" t="s">
        <v>382</v>
      </c>
      <c r="I30" s="330" t="s">
        <v>383</v>
      </c>
      <c r="J30" s="330" t="s">
        <v>384</v>
      </c>
      <c r="K30" s="330" t="s">
        <v>385</v>
      </c>
      <c r="L30" s="332">
        <v>60.84</v>
      </c>
      <c r="M30" s="332">
        <v>3</v>
      </c>
      <c r="N30" s="333">
        <v>182.52</v>
      </c>
    </row>
    <row r="31" spans="1:14" ht="14.4" customHeight="1" x14ac:dyDescent="0.3">
      <c r="A31" s="328" t="s">
        <v>359</v>
      </c>
      <c r="B31" s="329" t="s">
        <v>458</v>
      </c>
      <c r="C31" s="330" t="s">
        <v>369</v>
      </c>
      <c r="D31" s="331" t="s">
        <v>460</v>
      </c>
      <c r="E31" s="330" t="s">
        <v>372</v>
      </c>
      <c r="F31" s="331" t="s">
        <v>462</v>
      </c>
      <c r="G31" s="330" t="s">
        <v>373</v>
      </c>
      <c r="H31" s="330" t="s">
        <v>390</v>
      </c>
      <c r="I31" s="330" t="s">
        <v>118</v>
      </c>
      <c r="J31" s="330" t="s">
        <v>391</v>
      </c>
      <c r="K31" s="330"/>
      <c r="L31" s="332">
        <v>639.01153529378405</v>
      </c>
      <c r="M31" s="332">
        <v>2</v>
      </c>
      <c r="N31" s="333">
        <v>1278.0230705875681</v>
      </c>
    </row>
    <row r="32" spans="1:14" ht="14.4" customHeight="1" x14ac:dyDescent="0.3">
      <c r="A32" s="328" t="s">
        <v>359</v>
      </c>
      <c r="B32" s="329" t="s">
        <v>458</v>
      </c>
      <c r="C32" s="330" t="s">
        <v>369</v>
      </c>
      <c r="D32" s="331" t="s">
        <v>460</v>
      </c>
      <c r="E32" s="330" t="s">
        <v>372</v>
      </c>
      <c r="F32" s="331" t="s">
        <v>462</v>
      </c>
      <c r="G32" s="330" t="s">
        <v>373</v>
      </c>
      <c r="H32" s="330" t="s">
        <v>425</v>
      </c>
      <c r="I32" s="330" t="s">
        <v>426</v>
      </c>
      <c r="J32" s="330" t="s">
        <v>427</v>
      </c>
      <c r="K32" s="330" t="s">
        <v>428</v>
      </c>
      <c r="L32" s="332">
        <v>291.8866666666666</v>
      </c>
      <c r="M32" s="332">
        <v>3</v>
      </c>
      <c r="N32" s="333">
        <v>875.65999999999985</v>
      </c>
    </row>
    <row r="33" spans="1:14" ht="14.4" customHeight="1" x14ac:dyDescent="0.3">
      <c r="A33" s="328" t="s">
        <v>359</v>
      </c>
      <c r="B33" s="329" t="s">
        <v>458</v>
      </c>
      <c r="C33" s="330" t="s">
        <v>369</v>
      </c>
      <c r="D33" s="331" t="s">
        <v>460</v>
      </c>
      <c r="E33" s="330" t="s">
        <v>372</v>
      </c>
      <c r="F33" s="331" t="s">
        <v>462</v>
      </c>
      <c r="G33" s="330" t="s">
        <v>373</v>
      </c>
      <c r="H33" s="330" t="s">
        <v>432</v>
      </c>
      <c r="I33" s="330" t="s">
        <v>118</v>
      </c>
      <c r="J33" s="330" t="s">
        <v>433</v>
      </c>
      <c r="K33" s="330"/>
      <c r="L33" s="332">
        <v>509.08797962326202</v>
      </c>
      <c r="M33" s="332">
        <v>3</v>
      </c>
      <c r="N33" s="333">
        <v>1527.263938869786</v>
      </c>
    </row>
    <row r="34" spans="1:14" ht="14.4" customHeight="1" x14ac:dyDescent="0.3">
      <c r="A34" s="328" t="s">
        <v>359</v>
      </c>
      <c r="B34" s="329" t="s">
        <v>458</v>
      </c>
      <c r="C34" s="330" t="s">
        <v>369</v>
      </c>
      <c r="D34" s="331" t="s">
        <v>460</v>
      </c>
      <c r="E34" s="330" t="s">
        <v>372</v>
      </c>
      <c r="F34" s="331" t="s">
        <v>462</v>
      </c>
      <c r="G34" s="330" t="s">
        <v>373</v>
      </c>
      <c r="H34" s="330" t="s">
        <v>442</v>
      </c>
      <c r="I34" s="330" t="s">
        <v>118</v>
      </c>
      <c r="J34" s="330" t="s">
        <v>443</v>
      </c>
      <c r="K34" s="330"/>
      <c r="L34" s="332">
        <v>1002.1585794041666</v>
      </c>
      <c r="M34" s="332">
        <v>1</v>
      </c>
      <c r="N34" s="333">
        <v>1002.1585794041666</v>
      </c>
    </row>
    <row r="35" spans="1:14" ht="14.4" customHeight="1" thickBot="1" x14ac:dyDescent="0.35">
      <c r="A35" s="334" t="s">
        <v>359</v>
      </c>
      <c r="B35" s="335" t="s">
        <v>458</v>
      </c>
      <c r="C35" s="336" t="s">
        <v>455</v>
      </c>
      <c r="D35" s="337" t="s">
        <v>461</v>
      </c>
      <c r="E35" s="336" t="s">
        <v>372</v>
      </c>
      <c r="F35" s="337" t="s">
        <v>462</v>
      </c>
      <c r="G35" s="336" t="s">
        <v>373</v>
      </c>
      <c r="H35" s="336" t="s">
        <v>456</v>
      </c>
      <c r="I35" s="336" t="s">
        <v>118</v>
      </c>
      <c r="J35" s="336" t="s">
        <v>457</v>
      </c>
      <c r="K35" s="336" t="s">
        <v>408</v>
      </c>
      <c r="L35" s="338">
        <v>24.037194261613511</v>
      </c>
      <c r="M35" s="338">
        <v>12</v>
      </c>
      <c r="N35" s="339">
        <v>288.44633113936214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3" t="s">
        <v>78</v>
      </c>
      <c r="B1" s="274"/>
      <c r="C1" s="274"/>
      <c r="D1" s="274"/>
      <c r="E1" s="274"/>
      <c r="F1" s="274"/>
      <c r="G1" s="245"/>
      <c r="H1" s="275"/>
      <c r="I1" s="275"/>
    </row>
    <row r="2" spans="1:10" ht="14.4" customHeight="1" thickBot="1" x14ac:dyDescent="0.35">
      <c r="A2" s="174" t="s">
        <v>194</v>
      </c>
      <c r="B2" s="162"/>
      <c r="C2" s="162"/>
      <c r="D2" s="162"/>
      <c r="E2" s="162"/>
      <c r="F2" s="162"/>
    </row>
    <row r="3" spans="1:10" ht="14.4" customHeight="1" thickBot="1" x14ac:dyDescent="0.35">
      <c r="A3" s="174"/>
      <c r="B3" s="162"/>
      <c r="C3" s="232">
        <v>2012</v>
      </c>
      <c r="D3" s="233">
        <v>2013</v>
      </c>
      <c r="E3" s="7"/>
      <c r="F3" s="268">
        <v>2014</v>
      </c>
      <c r="G3" s="269"/>
      <c r="H3" s="269"/>
      <c r="I3" s="270"/>
    </row>
    <row r="4" spans="1:10" ht="14.4" customHeight="1" thickBot="1" x14ac:dyDescent="0.35">
      <c r="A4" s="237" t="s">
        <v>0</v>
      </c>
      <c r="B4" s="238" t="s">
        <v>193</v>
      </c>
      <c r="C4" s="271" t="s">
        <v>55</v>
      </c>
      <c r="D4" s="272"/>
      <c r="E4" s="239"/>
      <c r="F4" s="234" t="s">
        <v>55</v>
      </c>
      <c r="G4" s="235" t="s">
        <v>56</v>
      </c>
      <c r="H4" s="235" t="s">
        <v>52</v>
      </c>
      <c r="I4" s="236" t="s">
        <v>57</v>
      </c>
    </row>
    <row r="5" spans="1:10" ht="14.4" customHeight="1" x14ac:dyDescent="0.3">
      <c r="A5" s="312" t="s">
        <v>359</v>
      </c>
      <c r="B5" s="313" t="s">
        <v>360</v>
      </c>
      <c r="C5" s="314" t="s">
        <v>361</v>
      </c>
      <c r="D5" s="314" t="s">
        <v>361</v>
      </c>
      <c r="E5" s="314"/>
      <c r="F5" s="314" t="s">
        <v>361</v>
      </c>
      <c r="G5" s="314" t="s">
        <v>361</v>
      </c>
      <c r="H5" s="314" t="s">
        <v>361</v>
      </c>
      <c r="I5" s="315" t="s">
        <v>361</v>
      </c>
      <c r="J5" s="316" t="s">
        <v>53</v>
      </c>
    </row>
    <row r="6" spans="1:10" ht="14.4" customHeight="1" x14ac:dyDescent="0.3">
      <c r="A6" s="312" t="s">
        <v>359</v>
      </c>
      <c r="B6" s="313" t="s">
        <v>209</v>
      </c>
      <c r="C6" s="314">
        <v>0</v>
      </c>
      <c r="D6" s="314">
        <v>0.47239999999999999</v>
      </c>
      <c r="E6" s="314"/>
      <c r="F6" s="314">
        <v>1.41588</v>
      </c>
      <c r="G6" s="314">
        <v>1.75</v>
      </c>
      <c r="H6" s="314">
        <v>-0.33411999999999997</v>
      </c>
      <c r="I6" s="315">
        <v>0.80907428571428575</v>
      </c>
      <c r="J6" s="316" t="s">
        <v>1</v>
      </c>
    </row>
    <row r="7" spans="1:10" ht="14.4" customHeight="1" x14ac:dyDescent="0.3">
      <c r="A7" s="312" t="s">
        <v>359</v>
      </c>
      <c r="B7" s="313" t="s">
        <v>464</v>
      </c>
      <c r="C7" s="314">
        <v>0</v>
      </c>
      <c r="D7" s="314" t="s">
        <v>361</v>
      </c>
      <c r="E7" s="314"/>
      <c r="F7" s="314" t="s">
        <v>361</v>
      </c>
      <c r="G7" s="314" t="s">
        <v>361</v>
      </c>
      <c r="H7" s="314" t="s">
        <v>361</v>
      </c>
      <c r="I7" s="315" t="s">
        <v>361</v>
      </c>
      <c r="J7" s="316" t="s">
        <v>1</v>
      </c>
    </row>
    <row r="8" spans="1:10" ht="14.4" customHeight="1" x14ac:dyDescent="0.3">
      <c r="A8" s="312" t="s">
        <v>359</v>
      </c>
      <c r="B8" s="313" t="s">
        <v>210</v>
      </c>
      <c r="C8" s="314">
        <v>382.38498000000004</v>
      </c>
      <c r="D8" s="314">
        <v>428.12533999999999</v>
      </c>
      <c r="E8" s="314"/>
      <c r="F8" s="314">
        <v>384.43904000000003</v>
      </c>
      <c r="G8" s="314">
        <v>388.5</v>
      </c>
      <c r="H8" s="314">
        <v>-4.0609599999999659</v>
      </c>
      <c r="I8" s="315">
        <v>0.98954707850707857</v>
      </c>
      <c r="J8" s="316" t="s">
        <v>1</v>
      </c>
    </row>
    <row r="9" spans="1:10" ht="14.4" customHeight="1" x14ac:dyDescent="0.3">
      <c r="A9" s="312" t="s">
        <v>359</v>
      </c>
      <c r="B9" s="313" t="s">
        <v>211</v>
      </c>
      <c r="C9" s="314">
        <v>1893.3436999999999</v>
      </c>
      <c r="D9" s="314">
        <v>182.00146999999998</v>
      </c>
      <c r="E9" s="314"/>
      <c r="F9" s="314">
        <v>343.10415999999998</v>
      </c>
      <c r="G9" s="314">
        <v>453.25</v>
      </c>
      <c r="H9" s="314">
        <v>-110.14584000000002</v>
      </c>
      <c r="I9" s="315">
        <v>0.7569865637065637</v>
      </c>
      <c r="J9" s="316" t="s">
        <v>1</v>
      </c>
    </row>
    <row r="10" spans="1:10" ht="14.4" customHeight="1" x14ac:dyDescent="0.3">
      <c r="A10" s="312" t="s">
        <v>359</v>
      </c>
      <c r="B10" s="313" t="s">
        <v>212</v>
      </c>
      <c r="C10" s="314">
        <v>-2980.4544000000001</v>
      </c>
      <c r="D10" s="314">
        <v>683.28860999999984</v>
      </c>
      <c r="E10" s="314"/>
      <c r="F10" s="314">
        <v>-65.859979999989946</v>
      </c>
      <c r="G10" s="314">
        <v>0</v>
      </c>
      <c r="H10" s="314">
        <v>-65.859979999989946</v>
      </c>
      <c r="I10" s="315" t="s">
        <v>361</v>
      </c>
      <c r="J10" s="316" t="s">
        <v>1</v>
      </c>
    </row>
    <row r="11" spans="1:10" ht="14.4" customHeight="1" x14ac:dyDescent="0.3">
      <c r="A11" s="312" t="s">
        <v>359</v>
      </c>
      <c r="B11" s="313" t="s">
        <v>213</v>
      </c>
      <c r="C11" s="314">
        <v>0</v>
      </c>
      <c r="D11" s="314">
        <v>8.1617000000000015</v>
      </c>
      <c r="E11" s="314"/>
      <c r="F11" s="314">
        <v>9.5464599999999997</v>
      </c>
      <c r="G11" s="314">
        <v>21.25</v>
      </c>
      <c r="H11" s="314">
        <v>-11.70354</v>
      </c>
      <c r="I11" s="315">
        <v>0.4492451764705882</v>
      </c>
      <c r="J11" s="316" t="s">
        <v>1</v>
      </c>
    </row>
    <row r="12" spans="1:10" ht="14.4" customHeight="1" x14ac:dyDescent="0.3">
      <c r="A12" s="312" t="s">
        <v>359</v>
      </c>
      <c r="B12" s="313" t="s">
        <v>214</v>
      </c>
      <c r="C12" s="314">
        <v>1011.59014</v>
      </c>
      <c r="D12" s="314">
        <v>826.61720000000003</v>
      </c>
      <c r="E12" s="314"/>
      <c r="F12" s="314">
        <v>884.00180000000103</v>
      </c>
      <c r="G12" s="314">
        <v>969.75</v>
      </c>
      <c r="H12" s="314">
        <v>-85.748199999998974</v>
      </c>
      <c r="I12" s="315">
        <v>0.91157700438257394</v>
      </c>
      <c r="J12" s="316" t="s">
        <v>1</v>
      </c>
    </row>
    <row r="13" spans="1:10" ht="14.4" customHeight="1" x14ac:dyDescent="0.3">
      <c r="A13" s="312" t="s">
        <v>359</v>
      </c>
      <c r="B13" s="313" t="s">
        <v>215</v>
      </c>
      <c r="C13" s="314">
        <v>12.401969999999999</v>
      </c>
      <c r="D13" s="314">
        <v>21.733599999999999</v>
      </c>
      <c r="E13" s="314"/>
      <c r="F13" s="314">
        <v>18.176110000000001</v>
      </c>
      <c r="G13" s="314">
        <v>29</v>
      </c>
      <c r="H13" s="314">
        <v>-10.823889999999999</v>
      </c>
      <c r="I13" s="315">
        <v>0.62676241379310349</v>
      </c>
      <c r="J13" s="316" t="s">
        <v>1</v>
      </c>
    </row>
    <row r="14" spans="1:10" ht="14.4" customHeight="1" x14ac:dyDescent="0.3">
      <c r="A14" s="312" t="s">
        <v>359</v>
      </c>
      <c r="B14" s="313" t="s">
        <v>216</v>
      </c>
      <c r="C14" s="314">
        <v>0</v>
      </c>
      <c r="D14" s="314">
        <v>0</v>
      </c>
      <c r="E14" s="314"/>
      <c r="F14" s="314">
        <v>0</v>
      </c>
      <c r="G14" s="314">
        <v>12.25</v>
      </c>
      <c r="H14" s="314">
        <v>-12.25</v>
      </c>
      <c r="I14" s="315">
        <v>0</v>
      </c>
      <c r="J14" s="316" t="s">
        <v>1</v>
      </c>
    </row>
    <row r="15" spans="1:10" ht="14.4" customHeight="1" x14ac:dyDescent="0.3">
      <c r="A15" s="312" t="s">
        <v>359</v>
      </c>
      <c r="B15" s="313" t="s">
        <v>217</v>
      </c>
      <c r="C15" s="314">
        <v>44.326999999999991</v>
      </c>
      <c r="D15" s="314">
        <v>124.09026</v>
      </c>
      <c r="E15" s="314"/>
      <c r="F15" s="314">
        <v>188.83024999999998</v>
      </c>
      <c r="G15" s="314">
        <v>217.75</v>
      </c>
      <c r="H15" s="314">
        <v>-28.919750000000022</v>
      </c>
      <c r="I15" s="315">
        <v>0.8671882893226176</v>
      </c>
      <c r="J15" s="316" t="s">
        <v>1</v>
      </c>
    </row>
    <row r="16" spans="1:10" ht="14.4" customHeight="1" x14ac:dyDescent="0.3">
      <c r="A16" s="312" t="s">
        <v>359</v>
      </c>
      <c r="B16" s="313" t="s">
        <v>218</v>
      </c>
      <c r="C16" s="314">
        <v>10.35576</v>
      </c>
      <c r="D16" s="314">
        <v>0</v>
      </c>
      <c r="E16" s="314"/>
      <c r="F16" s="314">
        <v>0</v>
      </c>
      <c r="G16" s="314">
        <v>5</v>
      </c>
      <c r="H16" s="314">
        <v>-5</v>
      </c>
      <c r="I16" s="315">
        <v>0</v>
      </c>
      <c r="J16" s="316" t="s">
        <v>1</v>
      </c>
    </row>
    <row r="17" spans="1:10" ht="14.4" customHeight="1" x14ac:dyDescent="0.3">
      <c r="A17" s="312" t="s">
        <v>359</v>
      </c>
      <c r="B17" s="313" t="s">
        <v>219</v>
      </c>
      <c r="C17" s="314">
        <v>45.828000000000003</v>
      </c>
      <c r="D17" s="314">
        <v>0</v>
      </c>
      <c r="E17" s="314"/>
      <c r="F17" s="314">
        <v>74.989990000000006</v>
      </c>
      <c r="G17" s="314">
        <v>153.5</v>
      </c>
      <c r="H17" s="314">
        <v>-78.510009999999994</v>
      </c>
      <c r="I17" s="315">
        <v>0.48853413680781765</v>
      </c>
      <c r="J17" s="316" t="s">
        <v>1</v>
      </c>
    </row>
    <row r="18" spans="1:10" ht="14.4" customHeight="1" x14ac:dyDescent="0.3">
      <c r="A18" s="312" t="s">
        <v>359</v>
      </c>
      <c r="B18" s="313" t="s">
        <v>465</v>
      </c>
      <c r="C18" s="314">
        <v>0</v>
      </c>
      <c r="D18" s="314" t="s">
        <v>361</v>
      </c>
      <c r="E18" s="314"/>
      <c r="F18" s="314" t="s">
        <v>361</v>
      </c>
      <c r="G18" s="314" t="s">
        <v>361</v>
      </c>
      <c r="H18" s="314" t="s">
        <v>361</v>
      </c>
      <c r="I18" s="315" t="s">
        <v>361</v>
      </c>
      <c r="J18" s="316" t="s">
        <v>1</v>
      </c>
    </row>
    <row r="19" spans="1:10" ht="14.4" customHeight="1" x14ac:dyDescent="0.3">
      <c r="A19" s="312" t="s">
        <v>359</v>
      </c>
      <c r="B19" s="313" t="s">
        <v>362</v>
      </c>
      <c r="C19" s="314">
        <v>419.77715000000012</v>
      </c>
      <c r="D19" s="314">
        <v>2274.4905800000001</v>
      </c>
      <c r="E19" s="314"/>
      <c r="F19" s="314">
        <v>1838.6437100000114</v>
      </c>
      <c r="G19" s="314">
        <v>2252</v>
      </c>
      <c r="H19" s="314">
        <v>-413.35628999998858</v>
      </c>
      <c r="I19" s="315">
        <v>0.81644924955595533</v>
      </c>
      <c r="J19" s="316" t="s">
        <v>363</v>
      </c>
    </row>
    <row r="21" spans="1:10" ht="14.4" customHeight="1" x14ac:dyDescent="0.3">
      <c r="A21" s="312" t="s">
        <v>359</v>
      </c>
      <c r="B21" s="313" t="s">
        <v>360</v>
      </c>
      <c r="C21" s="314" t="s">
        <v>361</v>
      </c>
      <c r="D21" s="314" t="s">
        <v>361</v>
      </c>
      <c r="E21" s="314"/>
      <c r="F21" s="314" t="s">
        <v>361</v>
      </c>
      <c r="G21" s="314" t="s">
        <v>361</v>
      </c>
      <c r="H21" s="314" t="s">
        <v>361</v>
      </c>
      <c r="I21" s="315" t="s">
        <v>361</v>
      </c>
      <c r="J21" s="316" t="s">
        <v>53</v>
      </c>
    </row>
    <row r="22" spans="1:10" ht="14.4" customHeight="1" x14ac:dyDescent="0.3">
      <c r="A22" s="312" t="s">
        <v>364</v>
      </c>
      <c r="B22" s="313" t="s">
        <v>365</v>
      </c>
      <c r="C22" s="314" t="s">
        <v>361</v>
      </c>
      <c r="D22" s="314" t="s">
        <v>361</v>
      </c>
      <c r="E22" s="314"/>
      <c r="F22" s="314" t="s">
        <v>361</v>
      </c>
      <c r="G22" s="314" t="s">
        <v>361</v>
      </c>
      <c r="H22" s="314" t="s">
        <v>361</v>
      </c>
      <c r="I22" s="315" t="s">
        <v>361</v>
      </c>
      <c r="J22" s="316" t="s">
        <v>0</v>
      </c>
    </row>
    <row r="23" spans="1:10" ht="14.4" customHeight="1" x14ac:dyDescent="0.3">
      <c r="A23" s="312" t="s">
        <v>364</v>
      </c>
      <c r="B23" s="313" t="s">
        <v>209</v>
      </c>
      <c r="C23" s="314">
        <v>0</v>
      </c>
      <c r="D23" s="314">
        <v>0.47239999999999999</v>
      </c>
      <c r="E23" s="314"/>
      <c r="F23" s="314">
        <v>1.41588</v>
      </c>
      <c r="G23" s="314">
        <v>1.5</v>
      </c>
      <c r="H23" s="314">
        <v>-8.4119999999999973E-2</v>
      </c>
      <c r="I23" s="315">
        <v>0.94391999999999998</v>
      </c>
      <c r="J23" s="316" t="s">
        <v>1</v>
      </c>
    </row>
    <row r="24" spans="1:10" ht="14.4" customHeight="1" x14ac:dyDescent="0.3">
      <c r="A24" s="312" t="s">
        <v>364</v>
      </c>
      <c r="B24" s="313" t="s">
        <v>464</v>
      </c>
      <c r="C24" s="314">
        <v>0</v>
      </c>
      <c r="D24" s="314" t="s">
        <v>361</v>
      </c>
      <c r="E24" s="314"/>
      <c r="F24" s="314" t="s">
        <v>361</v>
      </c>
      <c r="G24" s="314" t="s">
        <v>361</v>
      </c>
      <c r="H24" s="314" t="s">
        <v>361</v>
      </c>
      <c r="I24" s="315" t="s">
        <v>361</v>
      </c>
      <c r="J24" s="316" t="s">
        <v>1</v>
      </c>
    </row>
    <row r="25" spans="1:10" ht="14.4" customHeight="1" x14ac:dyDescent="0.3">
      <c r="A25" s="312" t="s">
        <v>364</v>
      </c>
      <c r="B25" s="313" t="s">
        <v>210</v>
      </c>
      <c r="C25" s="314">
        <v>368.79438000000005</v>
      </c>
      <c r="D25" s="314">
        <v>282.86948999999998</v>
      </c>
      <c r="E25" s="314"/>
      <c r="F25" s="314">
        <v>294.74909000000002</v>
      </c>
      <c r="G25" s="314">
        <v>291.5</v>
      </c>
      <c r="H25" s="314">
        <v>3.2490900000000238</v>
      </c>
      <c r="I25" s="315">
        <v>1.0111461063464837</v>
      </c>
      <c r="J25" s="316" t="s">
        <v>1</v>
      </c>
    </row>
    <row r="26" spans="1:10" ht="14.4" customHeight="1" x14ac:dyDescent="0.3">
      <c r="A26" s="312" t="s">
        <v>364</v>
      </c>
      <c r="B26" s="313" t="s">
        <v>211</v>
      </c>
      <c r="C26" s="314">
        <v>88.465710000000001</v>
      </c>
      <c r="D26" s="314">
        <v>144.51849999999999</v>
      </c>
      <c r="E26" s="314"/>
      <c r="F26" s="314">
        <v>206.18751</v>
      </c>
      <c r="G26" s="314">
        <v>225.75</v>
      </c>
      <c r="H26" s="314">
        <v>-19.562489999999997</v>
      </c>
      <c r="I26" s="315">
        <v>0.91334445182724255</v>
      </c>
      <c r="J26" s="316" t="s">
        <v>1</v>
      </c>
    </row>
    <row r="27" spans="1:10" ht="14.4" customHeight="1" x14ac:dyDescent="0.3">
      <c r="A27" s="312" t="s">
        <v>364</v>
      </c>
      <c r="B27" s="313" t="s">
        <v>212</v>
      </c>
      <c r="C27" s="314">
        <v>-2980.4544000000001</v>
      </c>
      <c r="D27" s="314">
        <v>683.28860999999984</v>
      </c>
      <c r="E27" s="314"/>
      <c r="F27" s="314">
        <v>-65.859979999989946</v>
      </c>
      <c r="G27" s="314">
        <v>0</v>
      </c>
      <c r="H27" s="314">
        <v>-65.859979999989946</v>
      </c>
      <c r="I27" s="315" t="s">
        <v>361</v>
      </c>
      <c r="J27" s="316" t="s">
        <v>1</v>
      </c>
    </row>
    <row r="28" spans="1:10" ht="14.4" customHeight="1" x14ac:dyDescent="0.3">
      <c r="A28" s="312" t="s">
        <v>364</v>
      </c>
      <c r="B28" s="313" t="s">
        <v>213</v>
      </c>
      <c r="C28" s="314">
        <v>0</v>
      </c>
      <c r="D28" s="314">
        <v>8.1617000000000015</v>
      </c>
      <c r="E28" s="314"/>
      <c r="F28" s="314">
        <v>9.5464599999999997</v>
      </c>
      <c r="G28" s="314">
        <v>21.25</v>
      </c>
      <c r="H28" s="314">
        <v>-11.70354</v>
      </c>
      <c r="I28" s="315">
        <v>0.4492451764705882</v>
      </c>
      <c r="J28" s="316" t="s">
        <v>1</v>
      </c>
    </row>
    <row r="29" spans="1:10" ht="14.4" customHeight="1" x14ac:dyDescent="0.3">
      <c r="A29" s="312" t="s">
        <v>364</v>
      </c>
      <c r="B29" s="313" t="s">
        <v>214</v>
      </c>
      <c r="C29" s="314">
        <v>947.02925000000005</v>
      </c>
      <c r="D29" s="314">
        <v>768.32167000000004</v>
      </c>
      <c r="E29" s="314"/>
      <c r="F29" s="314">
        <v>821.252530000001</v>
      </c>
      <c r="G29" s="314">
        <v>873.5</v>
      </c>
      <c r="H29" s="314">
        <v>-52.247469999998998</v>
      </c>
      <c r="I29" s="315">
        <v>0.94018606754436296</v>
      </c>
      <c r="J29" s="316" t="s">
        <v>1</v>
      </c>
    </row>
    <row r="30" spans="1:10" ht="14.4" customHeight="1" x14ac:dyDescent="0.3">
      <c r="A30" s="312" t="s">
        <v>364</v>
      </c>
      <c r="B30" s="313" t="s">
        <v>215</v>
      </c>
      <c r="C30" s="314">
        <v>11.854179999999999</v>
      </c>
      <c r="D30" s="314">
        <v>21.733599999999999</v>
      </c>
      <c r="E30" s="314"/>
      <c r="F30" s="314">
        <v>17.99211</v>
      </c>
      <c r="G30" s="314">
        <v>24</v>
      </c>
      <c r="H30" s="314">
        <v>-6.0078899999999997</v>
      </c>
      <c r="I30" s="315">
        <v>0.74967125000000001</v>
      </c>
      <c r="J30" s="316" t="s">
        <v>1</v>
      </c>
    </row>
    <row r="31" spans="1:10" ht="14.4" customHeight="1" x14ac:dyDescent="0.3">
      <c r="A31" s="312" t="s">
        <v>364</v>
      </c>
      <c r="B31" s="313" t="s">
        <v>216</v>
      </c>
      <c r="C31" s="314">
        <v>0</v>
      </c>
      <c r="D31" s="314">
        <v>0</v>
      </c>
      <c r="E31" s="314"/>
      <c r="F31" s="314">
        <v>0</v>
      </c>
      <c r="G31" s="314">
        <v>2.5</v>
      </c>
      <c r="H31" s="314">
        <v>-2.5</v>
      </c>
      <c r="I31" s="315">
        <v>0</v>
      </c>
      <c r="J31" s="316" t="s">
        <v>1</v>
      </c>
    </row>
    <row r="32" spans="1:10" ht="14.4" customHeight="1" x14ac:dyDescent="0.3">
      <c r="A32" s="312" t="s">
        <v>364</v>
      </c>
      <c r="B32" s="313" t="s">
        <v>217</v>
      </c>
      <c r="C32" s="314">
        <v>41.334999999999994</v>
      </c>
      <c r="D32" s="314">
        <v>77.161230000000003</v>
      </c>
      <c r="E32" s="314"/>
      <c r="F32" s="314">
        <v>81.400779999999997</v>
      </c>
      <c r="G32" s="314">
        <v>150</v>
      </c>
      <c r="H32" s="314">
        <v>-68.599220000000003</v>
      </c>
      <c r="I32" s="315">
        <v>0.54267186666666667</v>
      </c>
      <c r="J32" s="316" t="s">
        <v>1</v>
      </c>
    </row>
    <row r="33" spans="1:10" ht="14.4" customHeight="1" x14ac:dyDescent="0.3">
      <c r="A33" s="312" t="s">
        <v>364</v>
      </c>
      <c r="B33" s="313" t="s">
        <v>218</v>
      </c>
      <c r="C33" s="314">
        <v>10.35576</v>
      </c>
      <c r="D33" s="314">
        <v>0</v>
      </c>
      <c r="E33" s="314"/>
      <c r="F33" s="314">
        <v>0</v>
      </c>
      <c r="G33" s="314">
        <v>2.5</v>
      </c>
      <c r="H33" s="314">
        <v>-2.5</v>
      </c>
      <c r="I33" s="315">
        <v>0</v>
      </c>
      <c r="J33" s="316" t="s">
        <v>1</v>
      </c>
    </row>
    <row r="34" spans="1:10" ht="14.4" customHeight="1" x14ac:dyDescent="0.3">
      <c r="A34" s="312" t="s">
        <v>364</v>
      </c>
      <c r="B34" s="313" t="s">
        <v>219</v>
      </c>
      <c r="C34" s="314">
        <v>45.828000000000003</v>
      </c>
      <c r="D34" s="314">
        <v>0</v>
      </c>
      <c r="E34" s="314"/>
      <c r="F34" s="314">
        <v>0</v>
      </c>
      <c r="G34" s="314">
        <v>13.75</v>
      </c>
      <c r="H34" s="314">
        <v>-13.75</v>
      </c>
      <c r="I34" s="315">
        <v>0</v>
      </c>
      <c r="J34" s="316" t="s">
        <v>1</v>
      </c>
    </row>
    <row r="35" spans="1:10" ht="14.4" customHeight="1" x14ac:dyDescent="0.3">
      <c r="A35" s="312" t="s">
        <v>364</v>
      </c>
      <c r="B35" s="313" t="s">
        <v>465</v>
      </c>
      <c r="C35" s="314">
        <v>0</v>
      </c>
      <c r="D35" s="314" t="s">
        <v>361</v>
      </c>
      <c r="E35" s="314"/>
      <c r="F35" s="314" t="s">
        <v>361</v>
      </c>
      <c r="G35" s="314" t="s">
        <v>361</v>
      </c>
      <c r="H35" s="314" t="s">
        <v>361</v>
      </c>
      <c r="I35" s="315" t="s">
        <v>361</v>
      </c>
      <c r="J35" s="316" t="s">
        <v>1</v>
      </c>
    </row>
    <row r="36" spans="1:10" ht="14.4" customHeight="1" x14ac:dyDescent="0.3">
      <c r="A36" s="312" t="s">
        <v>364</v>
      </c>
      <c r="B36" s="313" t="s">
        <v>366</v>
      </c>
      <c r="C36" s="314">
        <v>-1466.7921199999998</v>
      </c>
      <c r="D36" s="314">
        <v>1986.5272</v>
      </c>
      <c r="E36" s="314"/>
      <c r="F36" s="314">
        <v>1366.6843800000108</v>
      </c>
      <c r="G36" s="314">
        <v>1606.25</v>
      </c>
      <c r="H36" s="314">
        <v>-239.56561999998917</v>
      </c>
      <c r="I36" s="315">
        <v>0.85085408871596002</v>
      </c>
      <c r="J36" s="316" t="s">
        <v>367</v>
      </c>
    </row>
    <row r="37" spans="1:10" ht="14.4" customHeight="1" x14ac:dyDescent="0.3">
      <c r="A37" s="312" t="s">
        <v>361</v>
      </c>
      <c r="B37" s="313" t="s">
        <v>361</v>
      </c>
      <c r="C37" s="314" t="s">
        <v>361</v>
      </c>
      <c r="D37" s="314" t="s">
        <v>361</v>
      </c>
      <c r="E37" s="314"/>
      <c r="F37" s="314" t="s">
        <v>361</v>
      </c>
      <c r="G37" s="314" t="s">
        <v>361</v>
      </c>
      <c r="H37" s="314" t="s">
        <v>361</v>
      </c>
      <c r="I37" s="315" t="s">
        <v>361</v>
      </c>
      <c r="J37" s="316" t="s">
        <v>368</v>
      </c>
    </row>
    <row r="38" spans="1:10" ht="14.4" customHeight="1" x14ac:dyDescent="0.3">
      <c r="A38" s="312" t="s">
        <v>369</v>
      </c>
      <c r="B38" s="313" t="s">
        <v>370</v>
      </c>
      <c r="C38" s="314" t="s">
        <v>361</v>
      </c>
      <c r="D38" s="314" t="s">
        <v>361</v>
      </c>
      <c r="E38" s="314"/>
      <c r="F38" s="314" t="s">
        <v>361</v>
      </c>
      <c r="G38" s="314" t="s">
        <v>361</v>
      </c>
      <c r="H38" s="314" t="s">
        <v>361</v>
      </c>
      <c r="I38" s="315" t="s">
        <v>361</v>
      </c>
      <c r="J38" s="316" t="s">
        <v>0</v>
      </c>
    </row>
    <row r="39" spans="1:10" ht="14.4" customHeight="1" x14ac:dyDescent="0.3">
      <c r="A39" s="312" t="s">
        <v>369</v>
      </c>
      <c r="B39" s="313" t="s">
        <v>209</v>
      </c>
      <c r="C39" s="314">
        <v>0</v>
      </c>
      <c r="D39" s="314">
        <v>0</v>
      </c>
      <c r="E39" s="314"/>
      <c r="F39" s="314">
        <v>0</v>
      </c>
      <c r="G39" s="314">
        <v>0.25</v>
      </c>
      <c r="H39" s="314">
        <v>-0.25</v>
      </c>
      <c r="I39" s="315">
        <v>0</v>
      </c>
      <c r="J39" s="316" t="s">
        <v>1</v>
      </c>
    </row>
    <row r="40" spans="1:10" ht="14.4" customHeight="1" x14ac:dyDescent="0.3">
      <c r="A40" s="312" t="s">
        <v>369</v>
      </c>
      <c r="B40" s="313" t="s">
        <v>464</v>
      </c>
      <c r="C40" s="314">
        <v>0</v>
      </c>
      <c r="D40" s="314" t="s">
        <v>361</v>
      </c>
      <c r="E40" s="314"/>
      <c r="F40" s="314" t="s">
        <v>361</v>
      </c>
      <c r="G40" s="314" t="s">
        <v>361</v>
      </c>
      <c r="H40" s="314" t="s">
        <v>361</v>
      </c>
      <c r="I40" s="315" t="s">
        <v>361</v>
      </c>
      <c r="J40" s="316" t="s">
        <v>1</v>
      </c>
    </row>
    <row r="41" spans="1:10" ht="14.4" customHeight="1" x14ac:dyDescent="0.3">
      <c r="A41" s="312" t="s">
        <v>369</v>
      </c>
      <c r="B41" s="313" t="s">
        <v>210</v>
      </c>
      <c r="C41" s="314">
        <v>13.5906</v>
      </c>
      <c r="D41" s="314">
        <v>145.25585000000001</v>
      </c>
      <c r="E41" s="314"/>
      <c r="F41" s="314">
        <v>89.689949999999996</v>
      </c>
      <c r="G41" s="314">
        <v>97</v>
      </c>
      <c r="H41" s="314">
        <v>-7.3100500000000039</v>
      </c>
      <c r="I41" s="315">
        <v>0.92463865979381443</v>
      </c>
      <c r="J41" s="316" t="s">
        <v>1</v>
      </c>
    </row>
    <row r="42" spans="1:10" ht="14.4" customHeight="1" x14ac:dyDescent="0.3">
      <c r="A42" s="312" t="s">
        <v>369</v>
      </c>
      <c r="B42" s="313" t="s">
        <v>211</v>
      </c>
      <c r="C42" s="314">
        <v>1804.87799</v>
      </c>
      <c r="D42" s="314">
        <v>37.482969999999995</v>
      </c>
      <c r="E42" s="314"/>
      <c r="F42" s="314">
        <v>136.91665</v>
      </c>
      <c r="G42" s="314">
        <v>227.5</v>
      </c>
      <c r="H42" s="314">
        <v>-90.583349999999996</v>
      </c>
      <c r="I42" s="315">
        <v>0.60183142857142857</v>
      </c>
      <c r="J42" s="316" t="s">
        <v>1</v>
      </c>
    </row>
    <row r="43" spans="1:10" ht="14.4" customHeight="1" x14ac:dyDescent="0.3">
      <c r="A43" s="312" t="s">
        <v>369</v>
      </c>
      <c r="B43" s="313" t="s">
        <v>213</v>
      </c>
      <c r="C43" s="314">
        <v>0</v>
      </c>
      <c r="D43" s="314">
        <v>0</v>
      </c>
      <c r="E43" s="314"/>
      <c r="F43" s="314" t="s">
        <v>361</v>
      </c>
      <c r="G43" s="314" t="s">
        <v>361</v>
      </c>
      <c r="H43" s="314" t="s">
        <v>361</v>
      </c>
      <c r="I43" s="315" t="s">
        <v>361</v>
      </c>
      <c r="J43" s="316" t="s">
        <v>1</v>
      </c>
    </row>
    <row r="44" spans="1:10" ht="14.4" customHeight="1" x14ac:dyDescent="0.3">
      <c r="A44" s="312" t="s">
        <v>369</v>
      </c>
      <c r="B44" s="313" t="s">
        <v>214</v>
      </c>
      <c r="C44" s="314">
        <v>64.560890000000001</v>
      </c>
      <c r="D44" s="314">
        <v>58.295529999999999</v>
      </c>
      <c r="E44" s="314"/>
      <c r="F44" s="314">
        <v>62.749269999999996</v>
      </c>
      <c r="G44" s="314">
        <v>96.25</v>
      </c>
      <c r="H44" s="314">
        <v>-33.500730000000004</v>
      </c>
      <c r="I44" s="315">
        <v>0.65194046753246748</v>
      </c>
      <c r="J44" s="316" t="s">
        <v>1</v>
      </c>
    </row>
    <row r="45" spans="1:10" ht="14.4" customHeight="1" x14ac:dyDescent="0.3">
      <c r="A45" s="312" t="s">
        <v>369</v>
      </c>
      <c r="B45" s="313" t="s">
        <v>215</v>
      </c>
      <c r="C45" s="314">
        <v>0.54779</v>
      </c>
      <c r="D45" s="314">
        <v>0</v>
      </c>
      <c r="E45" s="314"/>
      <c r="F45" s="314">
        <v>0.184</v>
      </c>
      <c r="G45" s="314">
        <v>5</v>
      </c>
      <c r="H45" s="314">
        <v>-4.8159999999999998</v>
      </c>
      <c r="I45" s="315">
        <v>3.6799999999999999E-2</v>
      </c>
      <c r="J45" s="316" t="s">
        <v>1</v>
      </c>
    </row>
    <row r="46" spans="1:10" ht="14.4" customHeight="1" x14ac:dyDescent="0.3">
      <c r="A46" s="312" t="s">
        <v>369</v>
      </c>
      <c r="B46" s="313" t="s">
        <v>216</v>
      </c>
      <c r="C46" s="314">
        <v>0</v>
      </c>
      <c r="D46" s="314">
        <v>0</v>
      </c>
      <c r="E46" s="314"/>
      <c r="F46" s="314">
        <v>0</v>
      </c>
      <c r="G46" s="314">
        <v>9.75</v>
      </c>
      <c r="H46" s="314">
        <v>-9.75</v>
      </c>
      <c r="I46" s="315">
        <v>0</v>
      </c>
      <c r="J46" s="316" t="s">
        <v>1</v>
      </c>
    </row>
    <row r="47" spans="1:10" ht="14.4" customHeight="1" x14ac:dyDescent="0.3">
      <c r="A47" s="312" t="s">
        <v>369</v>
      </c>
      <c r="B47" s="313" t="s">
        <v>217</v>
      </c>
      <c r="C47" s="314">
        <v>2.992</v>
      </c>
      <c r="D47" s="314">
        <v>46.929029999999997</v>
      </c>
      <c r="E47" s="314"/>
      <c r="F47" s="314">
        <v>107.42946999999999</v>
      </c>
      <c r="G47" s="314">
        <v>67.75</v>
      </c>
      <c r="H47" s="314">
        <v>39.679469999999995</v>
      </c>
      <c r="I47" s="315">
        <v>1.5856748339483393</v>
      </c>
      <c r="J47" s="316" t="s">
        <v>1</v>
      </c>
    </row>
    <row r="48" spans="1:10" ht="14.4" customHeight="1" x14ac:dyDescent="0.3">
      <c r="A48" s="312" t="s">
        <v>369</v>
      </c>
      <c r="B48" s="313" t="s">
        <v>218</v>
      </c>
      <c r="C48" s="314" t="s">
        <v>361</v>
      </c>
      <c r="D48" s="314">
        <v>0</v>
      </c>
      <c r="E48" s="314"/>
      <c r="F48" s="314">
        <v>0</v>
      </c>
      <c r="G48" s="314">
        <v>2.5</v>
      </c>
      <c r="H48" s="314">
        <v>-2.5</v>
      </c>
      <c r="I48" s="315">
        <v>0</v>
      </c>
      <c r="J48" s="316" t="s">
        <v>1</v>
      </c>
    </row>
    <row r="49" spans="1:10" ht="14.4" customHeight="1" x14ac:dyDescent="0.3">
      <c r="A49" s="312" t="s">
        <v>369</v>
      </c>
      <c r="B49" s="313" t="s">
        <v>219</v>
      </c>
      <c r="C49" s="314">
        <v>0</v>
      </c>
      <c r="D49" s="314">
        <v>0</v>
      </c>
      <c r="E49" s="314"/>
      <c r="F49" s="314">
        <v>74.989990000000006</v>
      </c>
      <c r="G49" s="314">
        <v>139.75</v>
      </c>
      <c r="H49" s="314">
        <v>-64.760009999999994</v>
      </c>
      <c r="I49" s="315">
        <v>0.53660100178890879</v>
      </c>
      <c r="J49" s="316" t="s">
        <v>1</v>
      </c>
    </row>
    <row r="50" spans="1:10" ht="14.4" customHeight="1" x14ac:dyDescent="0.3">
      <c r="A50" s="312" t="s">
        <v>369</v>
      </c>
      <c r="B50" s="313" t="s">
        <v>371</v>
      </c>
      <c r="C50" s="314">
        <v>1886.56927</v>
      </c>
      <c r="D50" s="314">
        <v>287.96338000000003</v>
      </c>
      <c r="E50" s="314"/>
      <c r="F50" s="314">
        <v>471.95933000000002</v>
      </c>
      <c r="G50" s="314">
        <v>645.75</v>
      </c>
      <c r="H50" s="314">
        <v>-173.79066999999998</v>
      </c>
      <c r="I50" s="315">
        <v>0.73087004258614019</v>
      </c>
      <c r="J50" s="316" t="s">
        <v>367</v>
      </c>
    </row>
    <row r="51" spans="1:10" ht="14.4" customHeight="1" x14ac:dyDescent="0.3">
      <c r="A51" s="312" t="s">
        <v>361</v>
      </c>
      <c r="B51" s="313" t="s">
        <v>361</v>
      </c>
      <c r="C51" s="314" t="s">
        <v>361</v>
      </c>
      <c r="D51" s="314" t="s">
        <v>361</v>
      </c>
      <c r="E51" s="314"/>
      <c r="F51" s="314" t="s">
        <v>361</v>
      </c>
      <c r="G51" s="314" t="s">
        <v>361</v>
      </c>
      <c r="H51" s="314" t="s">
        <v>361</v>
      </c>
      <c r="I51" s="315" t="s">
        <v>361</v>
      </c>
      <c r="J51" s="316" t="s">
        <v>368</v>
      </c>
    </row>
    <row r="52" spans="1:10" ht="14.4" customHeight="1" x14ac:dyDescent="0.3">
      <c r="A52" s="312" t="s">
        <v>359</v>
      </c>
      <c r="B52" s="313" t="s">
        <v>362</v>
      </c>
      <c r="C52" s="314">
        <v>419.77715000000012</v>
      </c>
      <c r="D52" s="314">
        <v>2274.4905799999997</v>
      </c>
      <c r="E52" s="314"/>
      <c r="F52" s="314">
        <v>1838.6437100000107</v>
      </c>
      <c r="G52" s="314">
        <v>2252</v>
      </c>
      <c r="H52" s="314">
        <v>-413.35628999998926</v>
      </c>
      <c r="I52" s="315">
        <v>0.81644924955595499</v>
      </c>
      <c r="J52" s="316" t="s">
        <v>363</v>
      </c>
    </row>
  </sheetData>
  <mergeCells count="3">
    <mergeCell ref="A1:I1"/>
    <mergeCell ref="F3:I3"/>
    <mergeCell ref="C4:D4"/>
  </mergeCells>
  <conditionalFormatting sqref="F20 F53:F65537">
    <cfRule type="cellIs" dxfId="17" priority="18" stopIfTrue="1" operator="greaterThan">
      <formula>1</formula>
    </cfRule>
  </conditionalFormatting>
  <conditionalFormatting sqref="H5:H19">
    <cfRule type="expression" dxfId="16" priority="14">
      <formula>$H5&gt;0</formula>
    </cfRule>
  </conditionalFormatting>
  <conditionalFormatting sqref="I5:I19">
    <cfRule type="expression" dxfId="15" priority="15">
      <formula>$I5&gt;1</formula>
    </cfRule>
  </conditionalFormatting>
  <conditionalFormatting sqref="B5:B19">
    <cfRule type="expression" dxfId="14" priority="11">
      <formula>OR($J5="NS",$J5="SumaNS",$J5="Účet")</formula>
    </cfRule>
  </conditionalFormatting>
  <conditionalFormatting sqref="F5:I19 B5:D19">
    <cfRule type="expression" dxfId="13" priority="17">
      <formula>AND($J5&lt;&gt;"",$J5&lt;&gt;"mezeraKL")</formula>
    </cfRule>
  </conditionalFormatting>
  <conditionalFormatting sqref="B5:D19 F5:I19">
    <cfRule type="expression" dxfId="12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1" priority="13">
      <formula>OR($J5="SumaNS",$J5="NS")</formula>
    </cfRule>
  </conditionalFormatting>
  <conditionalFormatting sqref="A5:A19">
    <cfRule type="expression" dxfId="10" priority="9">
      <formula>AND($J5&lt;&gt;"mezeraKL",$J5&lt;&gt;"")</formula>
    </cfRule>
  </conditionalFormatting>
  <conditionalFormatting sqref="A5:A19">
    <cfRule type="expression" dxfId="9" priority="10">
      <formula>AND($J5&lt;&gt;"",$J5&lt;&gt;"mezeraKL")</formula>
    </cfRule>
  </conditionalFormatting>
  <conditionalFormatting sqref="H21:H52">
    <cfRule type="expression" dxfId="8" priority="5">
      <formula>$H21&gt;0</formula>
    </cfRule>
  </conditionalFormatting>
  <conditionalFormatting sqref="A21:A52">
    <cfRule type="expression" dxfId="7" priority="2">
      <formula>AND($J21&lt;&gt;"mezeraKL",$J21&lt;&gt;"")</formula>
    </cfRule>
  </conditionalFormatting>
  <conditionalFormatting sqref="I21:I52">
    <cfRule type="expression" dxfId="6" priority="6">
      <formula>$I21&gt;1</formula>
    </cfRule>
  </conditionalFormatting>
  <conditionalFormatting sqref="B21:B52">
    <cfRule type="expression" dxfId="5" priority="1">
      <formula>OR($J21="NS",$J21="SumaNS",$J21="Účet")</formula>
    </cfRule>
  </conditionalFormatting>
  <conditionalFormatting sqref="A21:D52 F21:I52">
    <cfRule type="expression" dxfId="4" priority="8">
      <formula>AND($J21&lt;&gt;"",$J21&lt;&gt;"mezeraKL")</formula>
    </cfRule>
  </conditionalFormatting>
  <conditionalFormatting sqref="B21:D52 F21:I52">
    <cfRule type="expression" dxfId="3" priority="3">
      <formula>OR($J21="KL",$J21="SumaKL")</formula>
    </cfRule>
    <cfRule type="expression" priority="7" stopIfTrue="1">
      <formula>OR($J21="mezeraNS",$J21="mezeraKL")</formula>
    </cfRule>
  </conditionalFormatting>
  <conditionalFormatting sqref="B21:D52 F21:I52">
    <cfRule type="expression" dxfId="2" priority="4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3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80" t="s">
        <v>884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4.4" customHeight="1" thickBot="1" x14ac:dyDescent="0.35">
      <c r="A2" s="174" t="s">
        <v>194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76"/>
      <c r="D3" s="277"/>
      <c r="E3" s="277"/>
      <c r="F3" s="277"/>
      <c r="G3" s="277"/>
      <c r="H3" s="108" t="s">
        <v>75</v>
      </c>
      <c r="I3" s="71">
        <f>IF(J3&lt;&gt;0,K3/J3,0)</f>
        <v>26.528735517985925</v>
      </c>
      <c r="J3" s="71">
        <f>SUBTOTAL(9,J5:J1048576)</f>
        <v>158023.6</v>
      </c>
      <c r="K3" s="72">
        <f>SUBTOTAL(9,K5:K1048576)</f>
        <v>4192166.290000001</v>
      </c>
    </row>
    <row r="4" spans="1:11" s="164" customFormat="1" ht="14.4" customHeight="1" thickBot="1" x14ac:dyDescent="0.35">
      <c r="A4" s="317" t="s">
        <v>3</v>
      </c>
      <c r="B4" s="318" t="s">
        <v>4</v>
      </c>
      <c r="C4" s="318" t="s">
        <v>0</v>
      </c>
      <c r="D4" s="318" t="s">
        <v>5</v>
      </c>
      <c r="E4" s="318" t="s">
        <v>6</v>
      </c>
      <c r="F4" s="318" t="s">
        <v>1</v>
      </c>
      <c r="G4" s="318" t="s">
        <v>54</v>
      </c>
      <c r="H4" s="319" t="s">
        <v>10</v>
      </c>
      <c r="I4" s="320" t="s">
        <v>81</v>
      </c>
      <c r="J4" s="320" t="s">
        <v>12</v>
      </c>
      <c r="K4" s="321" t="s">
        <v>89</v>
      </c>
    </row>
    <row r="5" spans="1:11" ht="14.4" customHeight="1" x14ac:dyDescent="0.3">
      <c r="A5" s="322" t="s">
        <v>359</v>
      </c>
      <c r="B5" s="323" t="s">
        <v>458</v>
      </c>
      <c r="C5" s="324" t="s">
        <v>364</v>
      </c>
      <c r="D5" s="325" t="s">
        <v>459</v>
      </c>
      <c r="E5" s="324" t="s">
        <v>866</v>
      </c>
      <c r="F5" s="325" t="s">
        <v>867</v>
      </c>
      <c r="G5" s="324" t="s">
        <v>466</v>
      </c>
      <c r="H5" s="324" t="s">
        <v>467</v>
      </c>
      <c r="I5" s="326">
        <v>5.73</v>
      </c>
      <c r="J5" s="326">
        <v>80</v>
      </c>
      <c r="K5" s="327">
        <v>458.29999999999995</v>
      </c>
    </row>
    <row r="6" spans="1:11" ht="14.4" customHeight="1" x14ac:dyDescent="0.3">
      <c r="A6" s="328" t="s">
        <v>359</v>
      </c>
      <c r="B6" s="329" t="s">
        <v>458</v>
      </c>
      <c r="C6" s="330" t="s">
        <v>364</v>
      </c>
      <c r="D6" s="331" t="s">
        <v>459</v>
      </c>
      <c r="E6" s="330" t="s">
        <v>866</v>
      </c>
      <c r="F6" s="331" t="s">
        <v>867</v>
      </c>
      <c r="G6" s="330" t="s">
        <v>468</v>
      </c>
      <c r="H6" s="330" t="s">
        <v>469</v>
      </c>
      <c r="I6" s="332">
        <v>3.7833333333333332</v>
      </c>
      <c r="J6" s="332">
        <v>300</v>
      </c>
      <c r="K6" s="333">
        <v>1135</v>
      </c>
    </row>
    <row r="7" spans="1:11" ht="14.4" customHeight="1" x14ac:dyDescent="0.3">
      <c r="A7" s="328" t="s">
        <v>359</v>
      </c>
      <c r="B7" s="329" t="s">
        <v>458</v>
      </c>
      <c r="C7" s="330" t="s">
        <v>364</v>
      </c>
      <c r="D7" s="331" t="s">
        <v>459</v>
      </c>
      <c r="E7" s="330" t="s">
        <v>866</v>
      </c>
      <c r="F7" s="331" t="s">
        <v>867</v>
      </c>
      <c r="G7" s="330" t="s">
        <v>470</v>
      </c>
      <c r="H7" s="330" t="s">
        <v>471</v>
      </c>
      <c r="I7" s="332">
        <v>1.84</v>
      </c>
      <c r="J7" s="332">
        <v>600</v>
      </c>
      <c r="K7" s="333">
        <v>1104</v>
      </c>
    </row>
    <row r="8" spans="1:11" ht="14.4" customHeight="1" x14ac:dyDescent="0.3">
      <c r="A8" s="328" t="s">
        <v>359</v>
      </c>
      <c r="B8" s="329" t="s">
        <v>458</v>
      </c>
      <c r="C8" s="330" t="s">
        <v>364</v>
      </c>
      <c r="D8" s="331" t="s">
        <v>459</v>
      </c>
      <c r="E8" s="330" t="s">
        <v>866</v>
      </c>
      <c r="F8" s="331" t="s">
        <v>867</v>
      </c>
      <c r="G8" s="330" t="s">
        <v>472</v>
      </c>
      <c r="H8" s="330" t="s">
        <v>473</v>
      </c>
      <c r="I8" s="332">
        <v>14.21</v>
      </c>
      <c r="J8" s="332">
        <v>650</v>
      </c>
      <c r="K8" s="333">
        <v>9236.5</v>
      </c>
    </row>
    <row r="9" spans="1:11" ht="14.4" customHeight="1" x14ac:dyDescent="0.3">
      <c r="A9" s="328" t="s">
        <v>359</v>
      </c>
      <c r="B9" s="329" t="s">
        <v>458</v>
      </c>
      <c r="C9" s="330" t="s">
        <v>364</v>
      </c>
      <c r="D9" s="331" t="s">
        <v>459</v>
      </c>
      <c r="E9" s="330" t="s">
        <v>866</v>
      </c>
      <c r="F9" s="331" t="s">
        <v>867</v>
      </c>
      <c r="G9" s="330" t="s">
        <v>474</v>
      </c>
      <c r="H9" s="330" t="s">
        <v>475</v>
      </c>
      <c r="I9" s="332">
        <v>210.64</v>
      </c>
      <c r="J9" s="332">
        <v>2</v>
      </c>
      <c r="K9" s="333">
        <v>421.28</v>
      </c>
    </row>
    <row r="10" spans="1:11" ht="14.4" customHeight="1" x14ac:dyDescent="0.3">
      <c r="A10" s="328" t="s">
        <v>359</v>
      </c>
      <c r="B10" s="329" t="s">
        <v>458</v>
      </c>
      <c r="C10" s="330" t="s">
        <v>364</v>
      </c>
      <c r="D10" s="331" t="s">
        <v>459</v>
      </c>
      <c r="E10" s="330" t="s">
        <v>866</v>
      </c>
      <c r="F10" s="331" t="s">
        <v>867</v>
      </c>
      <c r="G10" s="330" t="s">
        <v>476</v>
      </c>
      <c r="H10" s="330" t="s">
        <v>477</v>
      </c>
      <c r="I10" s="332">
        <v>0.4</v>
      </c>
      <c r="J10" s="332">
        <v>12000</v>
      </c>
      <c r="K10" s="333">
        <v>4800</v>
      </c>
    </row>
    <row r="11" spans="1:11" ht="14.4" customHeight="1" x14ac:dyDescent="0.3">
      <c r="A11" s="328" t="s">
        <v>359</v>
      </c>
      <c r="B11" s="329" t="s">
        <v>458</v>
      </c>
      <c r="C11" s="330" t="s">
        <v>364</v>
      </c>
      <c r="D11" s="331" t="s">
        <v>459</v>
      </c>
      <c r="E11" s="330" t="s">
        <v>866</v>
      </c>
      <c r="F11" s="331" t="s">
        <v>867</v>
      </c>
      <c r="G11" s="330" t="s">
        <v>478</v>
      </c>
      <c r="H11" s="330" t="s">
        <v>479</v>
      </c>
      <c r="I11" s="332">
        <v>27.363333333333333</v>
      </c>
      <c r="J11" s="332">
        <v>30</v>
      </c>
      <c r="K11" s="333">
        <v>820.9</v>
      </c>
    </row>
    <row r="12" spans="1:11" ht="14.4" customHeight="1" x14ac:dyDescent="0.3">
      <c r="A12" s="328" t="s">
        <v>359</v>
      </c>
      <c r="B12" s="329" t="s">
        <v>458</v>
      </c>
      <c r="C12" s="330" t="s">
        <v>364</v>
      </c>
      <c r="D12" s="331" t="s">
        <v>459</v>
      </c>
      <c r="E12" s="330" t="s">
        <v>866</v>
      </c>
      <c r="F12" s="331" t="s">
        <v>867</v>
      </c>
      <c r="G12" s="330" t="s">
        <v>480</v>
      </c>
      <c r="H12" s="330" t="s">
        <v>481</v>
      </c>
      <c r="I12" s="332">
        <v>39.659999999999997</v>
      </c>
      <c r="J12" s="332">
        <v>20</v>
      </c>
      <c r="K12" s="333">
        <v>793.2</v>
      </c>
    </row>
    <row r="13" spans="1:11" ht="14.4" customHeight="1" x14ac:dyDescent="0.3">
      <c r="A13" s="328" t="s">
        <v>359</v>
      </c>
      <c r="B13" s="329" t="s">
        <v>458</v>
      </c>
      <c r="C13" s="330" t="s">
        <v>364</v>
      </c>
      <c r="D13" s="331" t="s">
        <v>459</v>
      </c>
      <c r="E13" s="330" t="s">
        <v>866</v>
      </c>
      <c r="F13" s="331" t="s">
        <v>867</v>
      </c>
      <c r="G13" s="330" t="s">
        <v>482</v>
      </c>
      <c r="H13" s="330" t="s">
        <v>483</v>
      </c>
      <c r="I13" s="332">
        <v>26.45</v>
      </c>
      <c r="J13" s="332">
        <v>600</v>
      </c>
      <c r="K13" s="333">
        <v>15870</v>
      </c>
    </row>
    <row r="14" spans="1:11" ht="14.4" customHeight="1" x14ac:dyDescent="0.3">
      <c r="A14" s="328" t="s">
        <v>359</v>
      </c>
      <c r="B14" s="329" t="s">
        <v>458</v>
      </c>
      <c r="C14" s="330" t="s">
        <v>364</v>
      </c>
      <c r="D14" s="331" t="s">
        <v>459</v>
      </c>
      <c r="E14" s="330" t="s">
        <v>866</v>
      </c>
      <c r="F14" s="331" t="s">
        <v>867</v>
      </c>
      <c r="G14" s="330" t="s">
        <v>484</v>
      </c>
      <c r="H14" s="330" t="s">
        <v>485</v>
      </c>
      <c r="I14" s="332">
        <v>0.31666666666666665</v>
      </c>
      <c r="J14" s="332">
        <v>4500</v>
      </c>
      <c r="K14" s="333">
        <v>1425</v>
      </c>
    </row>
    <row r="15" spans="1:11" ht="14.4" customHeight="1" x14ac:dyDescent="0.3">
      <c r="A15" s="328" t="s">
        <v>359</v>
      </c>
      <c r="B15" s="329" t="s">
        <v>458</v>
      </c>
      <c r="C15" s="330" t="s">
        <v>364</v>
      </c>
      <c r="D15" s="331" t="s">
        <v>459</v>
      </c>
      <c r="E15" s="330" t="s">
        <v>866</v>
      </c>
      <c r="F15" s="331" t="s">
        <v>867</v>
      </c>
      <c r="G15" s="330" t="s">
        <v>486</v>
      </c>
      <c r="H15" s="330" t="s">
        <v>487</v>
      </c>
      <c r="I15" s="332">
        <v>4.2633333333333328</v>
      </c>
      <c r="J15" s="332">
        <v>300</v>
      </c>
      <c r="K15" s="333">
        <v>1279</v>
      </c>
    </row>
    <row r="16" spans="1:11" ht="14.4" customHeight="1" x14ac:dyDescent="0.3">
      <c r="A16" s="328" t="s">
        <v>359</v>
      </c>
      <c r="B16" s="329" t="s">
        <v>458</v>
      </c>
      <c r="C16" s="330" t="s">
        <v>364</v>
      </c>
      <c r="D16" s="331" t="s">
        <v>459</v>
      </c>
      <c r="E16" s="330" t="s">
        <v>866</v>
      </c>
      <c r="F16" s="331" t="s">
        <v>867</v>
      </c>
      <c r="G16" s="330" t="s">
        <v>488</v>
      </c>
      <c r="H16" s="330" t="s">
        <v>489</v>
      </c>
      <c r="I16" s="332">
        <v>3.3249999999999997</v>
      </c>
      <c r="J16" s="332">
        <v>51750</v>
      </c>
      <c r="K16" s="333">
        <v>173824.3</v>
      </c>
    </row>
    <row r="17" spans="1:11" ht="14.4" customHeight="1" x14ac:dyDescent="0.3">
      <c r="A17" s="328" t="s">
        <v>359</v>
      </c>
      <c r="B17" s="329" t="s">
        <v>458</v>
      </c>
      <c r="C17" s="330" t="s">
        <v>364</v>
      </c>
      <c r="D17" s="331" t="s">
        <v>459</v>
      </c>
      <c r="E17" s="330" t="s">
        <v>866</v>
      </c>
      <c r="F17" s="331" t="s">
        <v>867</v>
      </c>
      <c r="G17" s="330" t="s">
        <v>490</v>
      </c>
      <c r="H17" s="330" t="s">
        <v>491</v>
      </c>
      <c r="I17" s="332">
        <v>8.5766666666666662</v>
      </c>
      <c r="J17" s="332">
        <v>336</v>
      </c>
      <c r="K17" s="333">
        <v>2881.7999999999997</v>
      </c>
    </row>
    <row r="18" spans="1:11" ht="14.4" customHeight="1" x14ac:dyDescent="0.3">
      <c r="A18" s="328" t="s">
        <v>359</v>
      </c>
      <c r="B18" s="329" t="s">
        <v>458</v>
      </c>
      <c r="C18" s="330" t="s">
        <v>364</v>
      </c>
      <c r="D18" s="331" t="s">
        <v>459</v>
      </c>
      <c r="E18" s="330" t="s">
        <v>866</v>
      </c>
      <c r="F18" s="331" t="s">
        <v>867</v>
      </c>
      <c r="G18" s="330" t="s">
        <v>492</v>
      </c>
      <c r="H18" s="330" t="s">
        <v>493</v>
      </c>
      <c r="I18" s="332">
        <v>357.46</v>
      </c>
      <c r="J18" s="332">
        <v>72</v>
      </c>
      <c r="K18" s="333">
        <v>25736.92</v>
      </c>
    </row>
    <row r="19" spans="1:11" ht="14.4" customHeight="1" x14ac:dyDescent="0.3">
      <c r="A19" s="328" t="s">
        <v>359</v>
      </c>
      <c r="B19" s="329" t="s">
        <v>458</v>
      </c>
      <c r="C19" s="330" t="s">
        <v>364</v>
      </c>
      <c r="D19" s="331" t="s">
        <v>459</v>
      </c>
      <c r="E19" s="330" t="s">
        <v>866</v>
      </c>
      <c r="F19" s="331" t="s">
        <v>867</v>
      </c>
      <c r="G19" s="330" t="s">
        <v>494</v>
      </c>
      <c r="H19" s="330" t="s">
        <v>495</v>
      </c>
      <c r="I19" s="332">
        <v>9.98</v>
      </c>
      <c r="J19" s="332">
        <v>60</v>
      </c>
      <c r="K19" s="333">
        <v>598.79999999999995</v>
      </c>
    </row>
    <row r="20" spans="1:11" ht="14.4" customHeight="1" x14ac:dyDescent="0.3">
      <c r="A20" s="328" t="s">
        <v>359</v>
      </c>
      <c r="B20" s="329" t="s">
        <v>458</v>
      </c>
      <c r="C20" s="330" t="s">
        <v>364</v>
      </c>
      <c r="D20" s="331" t="s">
        <v>459</v>
      </c>
      <c r="E20" s="330" t="s">
        <v>866</v>
      </c>
      <c r="F20" s="331" t="s">
        <v>867</v>
      </c>
      <c r="G20" s="330" t="s">
        <v>496</v>
      </c>
      <c r="H20" s="330" t="s">
        <v>497</v>
      </c>
      <c r="I20" s="332">
        <v>1.62</v>
      </c>
      <c r="J20" s="332">
        <v>3750</v>
      </c>
      <c r="K20" s="333">
        <v>6078.6</v>
      </c>
    </row>
    <row r="21" spans="1:11" ht="14.4" customHeight="1" x14ac:dyDescent="0.3">
      <c r="A21" s="328" t="s">
        <v>359</v>
      </c>
      <c r="B21" s="329" t="s">
        <v>458</v>
      </c>
      <c r="C21" s="330" t="s">
        <v>364</v>
      </c>
      <c r="D21" s="331" t="s">
        <v>459</v>
      </c>
      <c r="E21" s="330" t="s">
        <v>866</v>
      </c>
      <c r="F21" s="331" t="s">
        <v>867</v>
      </c>
      <c r="G21" s="330" t="s">
        <v>498</v>
      </c>
      <c r="H21" s="330" t="s">
        <v>499</v>
      </c>
      <c r="I21" s="332">
        <v>214.04750000000001</v>
      </c>
      <c r="J21" s="332">
        <v>22</v>
      </c>
      <c r="K21" s="333">
        <v>4709.03</v>
      </c>
    </row>
    <row r="22" spans="1:11" ht="14.4" customHeight="1" x14ac:dyDescent="0.3">
      <c r="A22" s="328" t="s">
        <v>359</v>
      </c>
      <c r="B22" s="329" t="s">
        <v>458</v>
      </c>
      <c r="C22" s="330" t="s">
        <v>364</v>
      </c>
      <c r="D22" s="331" t="s">
        <v>459</v>
      </c>
      <c r="E22" s="330" t="s">
        <v>866</v>
      </c>
      <c r="F22" s="331" t="s">
        <v>867</v>
      </c>
      <c r="G22" s="330" t="s">
        <v>500</v>
      </c>
      <c r="H22" s="330" t="s">
        <v>501</v>
      </c>
      <c r="I22" s="332">
        <v>0.85333333333333339</v>
      </c>
      <c r="J22" s="332">
        <v>900</v>
      </c>
      <c r="K22" s="333">
        <v>768</v>
      </c>
    </row>
    <row r="23" spans="1:11" ht="14.4" customHeight="1" x14ac:dyDescent="0.3">
      <c r="A23" s="328" t="s">
        <v>359</v>
      </c>
      <c r="B23" s="329" t="s">
        <v>458</v>
      </c>
      <c r="C23" s="330" t="s">
        <v>364</v>
      </c>
      <c r="D23" s="331" t="s">
        <v>459</v>
      </c>
      <c r="E23" s="330" t="s">
        <v>866</v>
      </c>
      <c r="F23" s="331" t="s">
        <v>867</v>
      </c>
      <c r="G23" s="330" t="s">
        <v>502</v>
      </c>
      <c r="H23" s="330" t="s">
        <v>503</v>
      </c>
      <c r="I23" s="332">
        <v>1.52</v>
      </c>
      <c r="J23" s="332">
        <v>500</v>
      </c>
      <c r="K23" s="333">
        <v>760</v>
      </c>
    </row>
    <row r="24" spans="1:11" ht="14.4" customHeight="1" x14ac:dyDescent="0.3">
      <c r="A24" s="328" t="s">
        <v>359</v>
      </c>
      <c r="B24" s="329" t="s">
        <v>458</v>
      </c>
      <c r="C24" s="330" t="s">
        <v>364</v>
      </c>
      <c r="D24" s="331" t="s">
        <v>459</v>
      </c>
      <c r="E24" s="330" t="s">
        <v>866</v>
      </c>
      <c r="F24" s="331" t="s">
        <v>867</v>
      </c>
      <c r="G24" s="330" t="s">
        <v>504</v>
      </c>
      <c r="H24" s="330" t="s">
        <v>505</v>
      </c>
      <c r="I24" s="332">
        <v>2.06</v>
      </c>
      <c r="J24" s="332">
        <v>200</v>
      </c>
      <c r="K24" s="333">
        <v>412</v>
      </c>
    </row>
    <row r="25" spans="1:11" ht="14.4" customHeight="1" x14ac:dyDescent="0.3">
      <c r="A25" s="328" t="s">
        <v>359</v>
      </c>
      <c r="B25" s="329" t="s">
        <v>458</v>
      </c>
      <c r="C25" s="330" t="s">
        <v>364</v>
      </c>
      <c r="D25" s="331" t="s">
        <v>459</v>
      </c>
      <c r="E25" s="330" t="s">
        <v>866</v>
      </c>
      <c r="F25" s="331" t="s">
        <v>867</v>
      </c>
      <c r="G25" s="330" t="s">
        <v>506</v>
      </c>
      <c r="H25" s="330" t="s">
        <v>507</v>
      </c>
      <c r="I25" s="332">
        <v>3.37</v>
      </c>
      <c r="J25" s="332">
        <v>200</v>
      </c>
      <c r="K25" s="333">
        <v>674</v>
      </c>
    </row>
    <row r="26" spans="1:11" ht="14.4" customHeight="1" x14ac:dyDescent="0.3">
      <c r="A26" s="328" t="s">
        <v>359</v>
      </c>
      <c r="B26" s="329" t="s">
        <v>458</v>
      </c>
      <c r="C26" s="330" t="s">
        <v>364</v>
      </c>
      <c r="D26" s="331" t="s">
        <v>459</v>
      </c>
      <c r="E26" s="330" t="s">
        <v>866</v>
      </c>
      <c r="F26" s="331" t="s">
        <v>867</v>
      </c>
      <c r="G26" s="330" t="s">
        <v>508</v>
      </c>
      <c r="H26" s="330" t="s">
        <v>509</v>
      </c>
      <c r="I26" s="332">
        <v>0.28000000000000003</v>
      </c>
      <c r="J26" s="332">
        <v>12000</v>
      </c>
      <c r="K26" s="333">
        <v>3381</v>
      </c>
    </row>
    <row r="27" spans="1:11" ht="14.4" customHeight="1" x14ac:dyDescent="0.3">
      <c r="A27" s="328" t="s">
        <v>359</v>
      </c>
      <c r="B27" s="329" t="s">
        <v>458</v>
      </c>
      <c r="C27" s="330" t="s">
        <v>364</v>
      </c>
      <c r="D27" s="331" t="s">
        <v>459</v>
      </c>
      <c r="E27" s="330" t="s">
        <v>866</v>
      </c>
      <c r="F27" s="331" t="s">
        <v>867</v>
      </c>
      <c r="G27" s="330" t="s">
        <v>510</v>
      </c>
      <c r="H27" s="330" t="s">
        <v>511</v>
      </c>
      <c r="I27" s="332">
        <v>664.6</v>
      </c>
      <c r="J27" s="332">
        <v>36</v>
      </c>
      <c r="K27" s="333">
        <v>23925.75</v>
      </c>
    </row>
    <row r="28" spans="1:11" ht="14.4" customHeight="1" x14ac:dyDescent="0.3">
      <c r="A28" s="328" t="s">
        <v>359</v>
      </c>
      <c r="B28" s="329" t="s">
        <v>458</v>
      </c>
      <c r="C28" s="330" t="s">
        <v>364</v>
      </c>
      <c r="D28" s="331" t="s">
        <v>459</v>
      </c>
      <c r="E28" s="330" t="s">
        <v>866</v>
      </c>
      <c r="F28" s="331" t="s">
        <v>867</v>
      </c>
      <c r="G28" s="330" t="s">
        <v>512</v>
      </c>
      <c r="H28" s="330" t="s">
        <v>513</v>
      </c>
      <c r="I28" s="332">
        <v>167.83</v>
      </c>
      <c r="J28" s="332">
        <v>15</v>
      </c>
      <c r="K28" s="333">
        <v>2517.4499999999998</v>
      </c>
    </row>
    <row r="29" spans="1:11" ht="14.4" customHeight="1" x14ac:dyDescent="0.3">
      <c r="A29" s="328" t="s">
        <v>359</v>
      </c>
      <c r="B29" s="329" t="s">
        <v>458</v>
      </c>
      <c r="C29" s="330" t="s">
        <v>364</v>
      </c>
      <c r="D29" s="331" t="s">
        <v>459</v>
      </c>
      <c r="E29" s="330" t="s">
        <v>866</v>
      </c>
      <c r="F29" s="331" t="s">
        <v>867</v>
      </c>
      <c r="G29" s="330" t="s">
        <v>514</v>
      </c>
      <c r="H29" s="330" t="s">
        <v>515</v>
      </c>
      <c r="I29" s="332">
        <v>517.5</v>
      </c>
      <c r="J29" s="332">
        <v>10</v>
      </c>
      <c r="K29" s="333">
        <v>5175</v>
      </c>
    </row>
    <row r="30" spans="1:11" ht="14.4" customHeight="1" x14ac:dyDescent="0.3">
      <c r="A30" s="328" t="s">
        <v>359</v>
      </c>
      <c r="B30" s="329" t="s">
        <v>458</v>
      </c>
      <c r="C30" s="330" t="s">
        <v>364</v>
      </c>
      <c r="D30" s="331" t="s">
        <v>459</v>
      </c>
      <c r="E30" s="330" t="s">
        <v>866</v>
      </c>
      <c r="F30" s="331" t="s">
        <v>867</v>
      </c>
      <c r="G30" s="330" t="s">
        <v>516</v>
      </c>
      <c r="H30" s="330" t="s">
        <v>517</v>
      </c>
      <c r="I30" s="332">
        <v>167.83</v>
      </c>
      <c r="J30" s="332">
        <v>15</v>
      </c>
      <c r="K30" s="333">
        <v>2517.4499999999998</v>
      </c>
    </row>
    <row r="31" spans="1:11" ht="14.4" customHeight="1" x14ac:dyDescent="0.3">
      <c r="A31" s="328" t="s">
        <v>359</v>
      </c>
      <c r="B31" s="329" t="s">
        <v>458</v>
      </c>
      <c r="C31" s="330" t="s">
        <v>364</v>
      </c>
      <c r="D31" s="331" t="s">
        <v>459</v>
      </c>
      <c r="E31" s="330" t="s">
        <v>866</v>
      </c>
      <c r="F31" s="331" t="s">
        <v>867</v>
      </c>
      <c r="G31" s="330" t="s">
        <v>518</v>
      </c>
      <c r="H31" s="330" t="s">
        <v>519</v>
      </c>
      <c r="I31" s="332">
        <v>344.58</v>
      </c>
      <c r="J31" s="332">
        <v>10</v>
      </c>
      <c r="K31" s="333">
        <v>3445.81</v>
      </c>
    </row>
    <row r="32" spans="1:11" ht="14.4" customHeight="1" x14ac:dyDescent="0.3">
      <c r="A32" s="328" t="s">
        <v>359</v>
      </c>
      <c r="B32" s="329" t="s">
        <v>458</v>
      </c>
      <c r="C32" s="330" t="s">
        <v>364</v>
      </c>
      <c r="D32" s="331" t="s">
        <v>459</v>
      </c>
      <c r="E32" s="330" t="s">
        <v>868</v>
      </c>
      <c r="F32" s="331" t="s">
        <v>869</v>
      </c>
      <c r="G32" s="330" t="s">
        <v>520</v>
      </c>
      <c r="H32" s="330" t="s">
        <v>521</v>
      </c>
      <c r="I32" s="332">
        <v>11.623333333333335</v>
      </c>
      <c r="J32" s="332">
        <v>120</v>
      </c>
      <c r="K32" s="333">
        <v>1395.4</v>
      </c>
    </row>
    <row r="33" spans="1:11" ht="14.4" customHeight="1" x14ac:dyDescent="0.3">
      <c r="A33" s="328" t="s">
        <v>359</v>
      </c>
      <c r="B33" s="329" t="s">
        <v>458</v>
      </c>
      <c r="C33" s="330" t="s">
        <v>364</v>
      </c>
      <c r="D33" s="331" t="s">
        <v>459</v>
      </c>
      <c r="E33" s="330" t="s">
        <v>868</v>
      </c>
      <c r="F33" s="331" t="s">
        <v>869</v>
      </c>
      <c r="G33" s="330" t="s">
        <v>522</v>
      </c>
      <c r="H33" s="330" t="s">
        <v>523</v>
      </c>
      <c r="I33" s="332">
        <v>16.39</v>
      </c>
      <c r="J33" s="332">
        <v>20</v>
      </c>
      <c r="K33" s="333">
        <v>327.8</v>
      </c>
    </row>
    <row r="34" spans="1:11" ht="14.4" customHeight="1" x14ac:dyDescent="0.3">
      <c r="A34" s="328" t="s">
        <v>359</v>
      </c>
      <c r="B34" s="329" t="s">
        <v>458</v>
      </c>
      <c r="C34" s="330" t="s">
        <v>364</v>
      </c>
      <c r="D34" s="331" t="s">
        <v>459</v>
      </c>
      <c r="E34" s="330" t="s">
        <v>868</v>
      </c>
      <c r="F34" s="331" t="s">
        <v>869</v>
      </c>
      <c r="G34" s="330" t="s">
        <v>524</v>
      </c>
      <c r="H34" s="330" t="s">
        <v>525</v>
      </c>
      <c r="I34" s="332">
        <v>2.9033333333333338</v>
      </c>
      <c r="J34" s="332">
        <v>1400</v>
      </c>
      <c r="K34" s="333">
        <v>4066</v>
      </c>
    </row>
    <row r="35" spans="1:11" ht="14.4" customHeight="1" x14ac:dyDescent="0.3">
      <c r="A35" s="328" t="s">
        <v>359</v>
      </c>
      <c r="B35" s="329" t="s">
        <v>458</v>
      </c>
      <c r="C35" s="330" t="s">
        <v>364</v>
      </c>
      <c r="D35" s="331" t="s">
        <v>459</v>
      </c>
      <c r="E35" s="330" t="s">
        <v>868</v>
      </c>
      <c r="F35" s="331" t="s">
        <v>869</v>
      </c>
      <c r="G35" s="330" t="s">
        <v>526</v>
      </c>
      <c r="H35" s="330" t="s">
        <v>527</v>
      </c>
      <c r="I35" s="332">
        <v>7.43</v>
      </c>
      <c r="J35" s="332">
        <v>110</v>
      </c>
      <c r="K35" s="333">
        <v>817.3</v>
      </c>
    </row>
    <row r="36" spans="1:11" ht="14.4" customHeight="1" x14ac:dyDescent="0.3">
      <c r="A36" s="328" t="s">
        <v>359</v>
      </c>
      <c r="B36" s="329" t="s">
        <v>458</v>
      </c>
      <c r="C36" s="330" t="s">
        <v>364</v>
      </c>
      <c r="D36" s="331" t="s">
        <v>459</v>
      </c>
      <c r="E36" s="330" t="s">
        <v>868</v>
      </c>
      <c r="F36" s="331" t="s">
        <v>869</v>
      </c>
      <c r="G36" s="330" t="s">
        <v>528</v>
      </c>
      <c r="H36" s="330" t="s">
        <v>529</v>
      </c>
      <c r="I36" s="332">
        <v>12.73</v>
      </c>
      <c r="J36" s="332">
        <v>100</v>
      </c>
      <c r="K36" s="333">
        <v>1273</v>
      </c>
    </row>
    <row r="37" spans="1:11" ht="14.4" customHeight="1" x14ac:dyDescent="0.3">
      <c r="A37" s="328" t="s">
        <v>359</v>
      </c>
      <c r="B37" s="329" t="s">
        <v>458</v>
      </c>
      <c r="C37" s="330" t="s">
        <v>364</v>
      </c>
      <c r="D37" s="331" t="s">
        <v>459</v>
      </c>
      <c r="E37" s="330" t="s">
        <v>868</v>
      </c>
      <c r="F37" s="331" t="s">
        <v>869</v>
      </c>
      <c r="G37" s="330" t="s">
        <v>530</v>
      </c>
      <c r="H37" s="330" t="s">
        <v>531</v>
      </c>
      <c r="I37" s="332">
        <v>12.72</v>
      </c>
      <c r="J37" s="332">
        <v>100</v>
      </c>
      <c r="K37" s="333">
        <v>1272</v>
      </c>
    </row>
    <row r="38" spans="1:11" ht="14.4" customHeight="1" x14ac:dyDescent="0.3">
      <c r="A38" s="328" t="s">
        <v>359</v>
      </c>
      <c r="B38" s="329" t="s">
        <v>458</v>
      </c>
      <c r="C38" s="330" t="s">
        <v>364</v>
      </c>
      <c r="D38" s="331" t="s">
        <v>459</v>
      </c>
      <c r="E38" s="330" t="s">
        <v>868</v>
      </c>
      <c r="F38" s="331" t="s">
        <v>869</v>
      </c>
      <c r="G38" s="330" t="s">
        <v>532</v>
      </c>
      <c r="H38" s="330" t="s">
        <v>533</v>
      </c>
      <c r="I38" s="332">
        <v>0.93500000000000005</v>
      </c>
      <c r="J38" s="332">
        <v>400</v>
      </c>
      <c r="K38" s="333">
        <v>374</v>
      </c>
    </row>
    <row r="39" spans="1:11" ht="14.4" customHeight="1" x14ac:dyDescent="0.3">
      <c r="A39" s="328" t="s">
        <v>359</v>
      </c>
      <c r="B39" s="329" t="s">
        <v>458</v>
      </c>
      <c r="C39" s="330" t="s">
        <v>364</v>
      </c>
      <c r="D39" s="331" t="s">
        <v>459</v>
      </c>
      <c r="E39" s="330" t="s">
        <v>868</v>
      </c>
      <c r="F39" s="331" t="s">
        <v>869</v>
      </c>
      <c r="G39" s="330" t="s">
        <v>534</v>
      </c>
      <c r="H39" s="330" t="s">
        <v>535</v>
      </c>
      <c r="I39" s="332">
        <v>1.4366666666666668</v>
      </c>
      <c r="J39" s="332">
        <v>1100</v>
      </c>
      <c r="K39" s="333">
        <v>1579</v>
      </c>
    </row>
    <row r="40" spans="1:11" ht="14.4" customHeight="1" x14ac:dyDescent="0.3">
      <c r="A40" s="328" t="s">
        <v>359</v>
      </c>
      <c r="B40" s="329" t="s">
        <v>458</v>
      </c>
      <c r="C40" s="330" t="s">
        <v>364</v>
      </c>
      <c r="D40" s="331" t="s">
        <v>459</v>
      </c>
      <c r="E40" s="330" t="s">
        <v>868</v>
      </c>
      <c r="F40" s="331" t="s">
        <v>869</v>
      </c>
      <c r="G40" s="330" t="s">
        <v>536</v>
      </c>
      <c r="H40" s="330" t="s">
        <v>537</v>
      </c>
      <c r="I40" s="332">
        <v>0.42</v>
      </c>
      <c r="J40" s="332">
        <v>100</v>
      </c>
      <c r="K40" s="333">
        <v>42</v>
      </c>
    </row>
    <row r="41" spans="1:11" ht="14.4" customHeight="1" x14ac:dyDescent="0.3">
      <c r="A41" s="328" t="s">
        <v>359</v>
      </c>
      <c r="B41" s="329" t="s">
        <v>458</v>
      </c>
      <c r="C41" s="330" t="s">
        <v>364</v>
      </c>
      <c r="D41" s="331" t="s">
        <v>459</v>
      </c>
      <c r="E41" s="330" t="s">
        <v>868</v>
      </c>
      <c r="F41" s="331" t="s">
        <v>869</v>
      </c>
      <c r="G41" s="330" t="s">
        <v>538</v>
      </c>
      <c r="H41" s="330" t="s">
        <v>539</v>
      </c>
      <c r="I41" s="332">
        <v>1.84</v>
      </c>
      <c r="J41" s="332">
        <v>200</v>
      </c>
      <c r="K41" s="333">
        <v>368</v>
      </c>
    </row>
    <row r="42" spans="1:11" ht="14.4" customHeight="1" x14ac:dyDescent="0.3">
      <c r="A42" s="328" t="s">
        <v>359</v>
      </c>
      <c r="B42" s="329" t="s">
        <v>458</v>
      </c>
      <c r="C42" s="330" t="s">
        <v>364</v>
      </c>
      <c r="D42" s="331" t="s">
        <v>459</v>
      </c>
      <c r="E42" s="330" t="s">
        <v>868</v>
      </c>
      <c r="F42" s="331" t="s">
        <v>869</v>
      </c>
      <c r="G42" s="330" t="s">
        <v>540</v>
      </c>
      <c r="H42" s="330" t="s">
        <v>541</v>
      </c>
      <c r="I42" s="332">
        <v>68.510000000000005</v>
      </c>
      <c r="J42" s="332">
        <v>150</v>
      </c>
      <c r="K42" s="333">
        <v>10276.530000000001</v>
      </c>
    </row>
    <row r="43" spans="1:11" ht="14.4" customHeight="1" x14ac:dyDescent="0.3">
      <c r="A43" s="328" t="s">
        <v>359</v>
      </c>
      <c r="B43" s="329" t="s">
        <v>458</v>
      </c>
      <c r="C43" s="330" t="s">
        <v>364</v>
      </c>
      <c r="D43" s="331" t="s">
        <v>459</v>
      </c>
      <c r="E43" s="330" t="s">
        <v>868</v>
      </c>
      <c r="F43" s="331" t="s">
        <v>869</v>
      </c>
      <c r="G43" s="330" t="s">
        <v>542</v>
      </c>
      <c r="H43" s="330" t="s">
        <v>543</v>
      </c>
      <c r="I43" s="332">
        <v>6.17</v>
      </c>
      <c r="J43" s="332">
        <v>50</v>
      </c>
      <c r="K43" s="333">
        <v>308.5</v>
      </c>
    </row>
    <row r="44" spans="1:11" ht="14.4" customHeight="1" x14ac:dyDescent="0.3">
      <c r="A44" s="328" t="s">
        <v>359</v>
      </c>
      <c r="B44" s="329" t="s">
        <v>458</v>
      </c>
      <c r="C44" s="330" t="s">
        <v>364</v>
      </c>
      <c r="D44" s="331" t="s">
        <v>459</v>
      </c>
      <c r="E44" s="330" t="s">
        <v>868</v>
      </c>
      <c r="F44" s="331" t="s">
        <v>869</v>
      </c>
      <c r="G44" s="330" t="s">
        <v>544</v>
      </c>
      <c r="H44" s="330" t="s">
        <v>545</v>
      </c>
      <c r="I44" s="332">
        <v>83.25</v>
      </c>
      <c r="J44" s="332">
        <v>110</v>
      </c>
      <c r="K44" s="333">
        <v>9157.2799999999988</v>
      </c>
    </row>
    <row r="45" spans="1:11" ht="14.4" customHeight="1" x14ac:dyDescent="0.3">
      <c r="A45" s="328" t="s">
        <v>359</v>
      </c>
      <c r="B45" s="329" t="s">
        <v>458</v>
      </c>
      <c r="C45" s="330" t="s">
        <v>364</v>
      </c>
      <c r="D45" s="331" t="s">
        <v>459</v>
      </c>
      <c r="E45" s="330" t="s">
        <v>868</v>
      </c>
      <c r="F45" s="331" t="s">
        <v>869</v>
      </c>
      <c r="G45" s="330" t="s">
        <v>546</v>
      </c>
      <c r="H45" s="330" t="s">
        <v>547</v>
      </c>
      <c r="I45" s="332">
        <v>80.58</v>
      </c>
      <c r="J45" s="332">
        <v>120</v>
      </c>
      <c r="K45" s="333">
        <v>9669.6</v>
      </c>
    </row>
    <row r="46" spans="1:11" ht="14.4" customHeight="1" x14ac:dyDescent="0.3">
      <c r="A46" s="328" t="s">
        <v>359</v>
      </c>
      <c r="B46" s="329" t="s">
        <v>458</v>
      </c>
      <c r="C46" s="330" t="s">
        <v>364</v>
      </c>
      <c r="D46" s="331" t="s">
        <v>459</v>
      </c>
      <c r="E46" s="330" t="s">
        <v>868</v>
      </c>
      <c r="F46" s="331" t="s">
        <v>869</v>
      </c>
      <c r="G46" s="330" t="s">
        <v>548</v>
      </c>
      <c r="H46" s="330" t="s">
        <v>549</v>
      </c>
      <c r="I46" s="332">
        <v>5.5666666666666664</v>
      </c>
      <c r="J46" s="332">
        <v>650</v>
      </c>
      <c r="K46" s="333">
        <v>3618</v>
      </c>
    </row>
    <row r="47" spans="1:11" ht="14.4" customHeight="1" x14ac:dyDescent="0.3">
      <c r="A47" s="328" t="s">
        <v>359</v>
      </c>
      <c r="B47" s="329" t="s">
        <v>458</v>
      </c>
      <c r="C47" s="330" t="s">
        <v>364</v>
      </c>
      <c r="D47" s="331" t="s">
        <v>459</v>
      </c>
      <c r="E47" s="330" t="s">
        <v>868</v>
      </c>
      <c r="F47" s="331" t="s">
        <v>869</v>
      </c>
      <c r="G47" s="330" t="s">
        <v>550</v>
      </c>
      <c r="H47" s="330" t="s">
        <v>551</v>
      </c>
      <c r="I47" s="332">
        <v>177.63</v>
      </c>
      <c r="J47" s="332">
        <v>15</v>
      </c>
      <c r="K47" s="333">
        <v>2664.42</v>
      </c>
    </row>
    <row r="48" spans="1:11" ht="14.4" customHeight="1" x14ac:dyDescent="0.3">
      <c r="A48" s="328" t="s">
        <v>359</v>
      </c>
      <c r="B48" s="329" t="s">
        <v>458</v>
      </c>
      <c r="C48" s="330" t="s">
        <v>364</v>
      </c>
      <c r="D48" s="331" t="s">
        <v>459</v>
      </c>
      <c r="E48" s="330" t="s">
        <v>868</v>
      </c>
      <c r="F48" s="331" t="s">
        <v>869</v>
      </c>
      <c r="G48" s="330" t="s">
        <v>552</v>
      </c>
      <c r="H48" s="330" t="s">
        <v>553</v>
      </c>
      <c r="I48" s="332">
        <v>8.9600000000000009</v>
      </c>
      <c r="J48" s="332">
        <v>60</v>
      </c>
      <c r="K48" s="333">
        <v>537.6</v>
      </c>
    </row>
    <row r="49" spans="1:11" ht="14.4" customHeight="1" x14ac:dyDescent="0.3">
      <c r="A49" s="328" t="s">
        <v>359</v>
      </c>
      <c r="B49" s="329" t="s">
        <v>458</v>
      </c>
      <c r="C49" s="330" t="s">
        <v>364</v>
      </c>
      <c r="D49" s="331" t="s">
        <v>459</v>
      </c>
      <c r="E49" s="330" t="s">
        <v>868</v>
      </c>
      <c r="F49" s="331" t="s">
        <v>869</v>
      </c>
      <c r="G49" s="330" t="s">
        <v>554</v>
      </c>
      <c r="H49" s="330" t="s">
        <v>555</v>
      </c>
      <c r="I49" s="332">
        <v>4.2300000000000004</v>
      </c>
      <c r="J49" s="332">
        <v>1500</v>
      </c>
      <c r="K49" s="333">
        <v>6345</v>
      </c>
    </row>
    <row r="50" spans="1:11" ht="14.4" customHeight="1" x14ac:dyDescent="0.3">
      <c r="A50" s="328" t="s">
        <v>359</v>
      </c>
      <c r="B50" s="329" t="s">
        <v>458</v>
      </c>
      <c r="C50" s="330" t="s">
        <v>364</v>
      </c>
      <c r="D50" s="331" t="s">
        <v>459</v>
      </c>
      <c r="E50" s="330" t="s">
        <v>868</v>
      </c>
      <c r="F50" s="331" t="s">
        <v>869</v>
      </c>
      <c r="G50" s="330" t="s">
        <v>556</v>
      </c>
      <c r="H50" s="330" t="s">
        <v>557</v>
      </c>
      <c r="I50" s="332">
        <v>11.13</v>
      </c>
      <c r="J50" s="332">
        <v>200</v>
      </c>
      <c r="K50" s="333">
        <v>2226.4</v>
      </c>
    </row>
    <row r="51" spans="1:11" ht="14.4" customHeight="1" x14ac:dyDescent="0.3">
      <c r="A51" s="328" t="s">
        <v>359</v>
      </c>
      <c r="B51" s="329" t="s">
        <v>458</v>
      </c>
      <c r="C51" s="330" t="s">
        <v>364</v>
      </c>
      <c r="D51" s="331" t="s">
        <v>459</v>
      </c>
      <c r="E51" s="330" t="s">
        <v>868</v>
      </c>
      <c r="F51" s="331" t="s">
        <v>869</v>
      </c>
      <c r="G51" s="330" t="s">
        <v>558</v>
      </c>
      <c r="H51" s="330" t="s">
        <v>559</v>
      </c>
      <c r="I51" s="332">
        <v>2.9</v>
      </c>
      <c r="J51" s="332">
        <v>300</v>
      </c>
      <c r="K51" s="333">
        <v>870</v>
      </c>
    </row>
    <row r="52" spans="1:11" ht="14.4" customHeight="1" x14ac:dyDescent="0.3">
      <c r="A52" s="328" t="s">
        <v>359</v>
      </c>
      <c r="B52" s="329" t="s">
        <v>458</v>
      </c>
      <c r="C52" s="330" t="s">
        <v>364</v>
      </c>
      <c r="D52" s="331" t="s">
        <v>459</v>
      </c>
      <c r="E52" s="330" t="s">
        <v>868</v>
      </c>
      <c r="F52" s="331" t="s">
        <v>869</v>
      </c>
      <c r="G52" s="330" t="s">
        <v>560</v>
      </c>
      <c r="H52" s="330" t="s">
        <v>561</v>
      </c>
      <c r="I52" s="332">
        <v>2.9</v>
      </c>
      <c r="J52" s="332">
        <v>500</v>
      </c>
      <c r="K52" s="333">
        <v>1450</v>
      </c>
    </row>
    <row r="53" spans="1:11" ht="14.4" customHeight="1" x14ac:dyDescent="0.3">
      <c r="A53" s="328" t="s">
        <v>359</v>
      </c>
      <c r="B53" s="329" t="s">
        <v>458</v>
      </c>
      <c r="C53" s="330" t="s">
        <v>364</v>
      </c>
      <c r="D53" s="331" t="s">
        <v>459</v>
      </c>
      <c r="E53" s="330" t="s">
        <v>868</v>
      </c>
      <c r="F53" s="331" t="s">
        <v>869</v>
      </c>
      <c r="G53" s="330" t="s">
        <v>562</v>
      </c>
      <c r="H53" s="330" t="s">
        <v>563</v>
      </c>
      <c r="I53" s="332">
        <v>2.9020000000000001</v>
      </c>
      <c r="J53" s="332">
        <v>940</v>
      </c>
      <c r="K53" s="333">
        <v>2726.8</v>
      </c>
    </row>
    <row r="54" spans="1:11" ht="14.4" customHeight="1" x14ac:dyDescent="0.3">
      <c r="A54" s="328" t="s">
        <v>359</v>
      </c>
      <c r="B54" s="329" t="s">
        <v>458</v>
      </c>
      <c r="C54" s="330" t="s">
        <v>364</v>
      </c>
      <c r="D54" s="331" t="s">
        <v>459</v>
      </c>
      <c r="E54" s="330" t="s">
        <v>868</v>
      </c>
      <c r="F54" s="331" t="s">
        <v>869</v>
      </c>
      <c r="G54" s="330" t="s">
        <v>564</v>
      </c>
      <c r="H54" s="330" t="s">
        <v>565</v>
      </c>
      <c r="I54" s="332">
        <v>2.9033333333333338</v>
      </c>
      <c r="J54" s="332">
        <v>1100</v>
      </c>
      <c r="K54" s="333">
        <v>3194</v>
      </c>
    </row>
    <row r="55" spans="1:11" ht="14.4" customHeight="1" x14ac:dyDescent="0.3">
      <c r="A55" s="328" t="s">
        <v>359</v>
      </c>
      <c r="B55" s="329" t="s">
        <v>458</v>
      </c>
      <c r="C55" s="330" t="s">
        <v>364</v>
      </c>
      <c r="D55" s="331" t="s">
        <v>459</v>
      </c>
      <c r="E55" s="330" t="s">
        <v>868</v>
      </c>
      <c r="F55" s="331" t="s">
        <v>869</v>
      </c>
      <c r="G55" s="330" t="s">
        <v>566</v>
      </c>
      <c r="H55" s="330" t="s">
        <v>567</v>
      </c>
      <c r="I55" s="332">
        <v>37.15</v>
      </c>
      <c r="J55" s="332">
        <v>60</v>
      </c>
      <c r="K55" s="333">
        <v>2228.8200000000002</v>
      </c>
    </row>
    <row r="56" spans="1:11" ht="14.4" customHeight="1" x14ac:dyDescent="0.3">
      <c r="A56" s="328" t="s">
        <v>359</v>
      </c>
      <c r="B56" s="329" t="s">
        <v>458</v>
      </c>
      <c r="C56" s="330" t="s">
        <v>364</v>
      </c>
      <c r="D56" s="331" t="s">
        <v>459</v>
      </c>
      <c r="E56" s="330" t="s">
        <v>868</v>
      </c>
      <c r="F56" s="331" t="s">
        <v>869</v>
      </c>
      <c r="G56" s="330" t="s">
        <v>568</v>
      </c>
      <c r="H56" s="330" t="s">
        <v>569</v>
      </c>
      <c r="I56" s="332">
        <v>91.719999999999985</v>
      </c>
      <c r="J56" s="332">
        <v>45</v>
      </c>
      <c r="K56" s="333">
        <v>4127.37</v>
      </c>
    </row>
    <row r="57" spans="1:11" ht="14.4" customHeight="1" x14ac:dyDescent="0.3">
      <c r="A57" s="328" t="s">
        <v>359</v>
      </c>
      <c r="B57" s="329" t="s">
        <v>458</v>
      </c>
      <c r="C57" s="330" t="s">
        <v>364</v>
      </c>
      <c r="D57" s="331" t="s">
        <v>459</v>
      </c>
      <c r="E57" s="330" t="s">
        <v>868</v>
      </c>
      <c r="F57" s="331" t="s">
        <v>869</v>
      </c>
      <c r="G57" s="330" t="s">
        <v>570</v>
      </c>
      <c r="H57" s="330" t="s">
        <v>571</v>
      </c>
      <c r="I57" s="332">
        <v>12.103333333333333</v>
      </c>
      <c r="J57" s="332">
        <v>250</v>
      </c>
      <c r="K57" s="333">
        <v>3026</v>
      </c>
    </row>
    <row r="58" spans="1:11" ht="14.4" customHeight="1" x14ac:dyDescent="0.3">
      <c r="A58" s="328" t="s">
        <v>359</v>
      </c>
      <c r="B58" s="329" t="s">
        <v>458</v>
      </c>
      <c r="C58" s="330" t="s">
        <v>364</v>
      </c>
      <c r="D58" s="331" t="s">
        <v>459</v>
      </c>
      <c r="E58" s="330" t="s">
        <v>868</v>
      </c>
      <c r="F58" s="331" t="s">
        <v>869</v>
      </c>
      <c r="G58" s="330" t="s">
        <v>572</v>
      </c>
      <c r="H58" s="330" t="s">
        <v>573</v>
      </c>
      <c r="I58" s="332">
        <v>18.39</v>
      </c>
      <c r="J58" s="332">
        <v>12</v>
      </c>
      <c r="K58" s="333">
        <v>220.7</v>
      </c>
    </row>
    <row r="59" spans="1:11" ht="14.4" customHeight="1" x14ac:dyDescent="0.3">
      <c r="A59" s="328" t="s">
        <v>359</v>
      </c>
      <c r="B59" s="329" t="s">
        <v>458</v>
      </c>
      <c r="C59" s="330" t="s">
        <v>364</v>
      </c>
      <c r="D59" s="331" t="s">
        <v>459</v>
      </c>
      <c r="E59" s="330" t="s">
        <v>868</v>
      </c>
      <c r="F59" s="331" t="s">
        <v>869</v>
      </c>
      <c r="G59" s="330" t="s">
        <v>574</v>
      </c>
      <c r="H59" s="330" t="s">
        <v>575</v>
      </c>
      <c r="I59" s="332">
        <v>56.390000000000008</v>
      </c>
      <c r="J59" s="332">
        <v>420</v>
      </c>
      <c r="K59" s="333">
        <v>23682.6</v>
      </c>
    </row>
    <row r="60" spans="1:11" ht="14.4" customHeight="1" x14ac:dyDescent="0.3">
      <c r="A60" s="328" t="s">
        <v>359</v>
      </c>
      <c r="B60" s="329" t="s">
        <v>458</v>
      </c>
      <c r="C60" s="330" t="s">
        <v>364</v>
      </c>
      <c r="D60" s="331" t="s">
        <v>459</v>
      </c>
      <c r="E60" s="330" t="s">
        <v>868</v>
      </c>
      <c r="F60" s="331" t="s">
        <v>869</v>
      </c>
      <c r="G60" s="330" t="s">
        <v>576</v>
      </c>
      <c r="H60" s="330" t="s">
        <v>577</v>
      </c>
      <c r="I60" s="332">
        <v>13.2</v>
      </c>
      <c r="J60" s="332">
        <v>40</v>
      </c>
      <c r="K60" s="333">
        <v>528</v>
      </c>
    </row>
    <row r="61" spans="1:11" ht="14.4" customHeight="1" x14ac:dyDescent="0.3">
      <c r="A61" s="328" t="s">
        <v>359</v>
      </c>
      <c r="B61" s="329" t="s">
        <v>458</v>
      </c>
      <c r="C61" s="330" t="s">
        <v>364</v>
      </c>
      <c r="D61" s="331" t="s">
        <v>459</v>
      </c>
      <c r="E61" s="330" t="s">
        <v>868</v>
      </c>
      <c r="F61" s="331" t="s">
        <v>869</v>
      </c>
      <c r="G61" s="330" t="s">
        <v>578</v>
      </c>
      <c r="H61" s="330" t="s">
        <v>579</v>
      </c>
      <c r="I61" s="332">
        <v>21.233333333333334</v>
      </c>
      <c r="J61" s="332">
        <v>480</v>
      </c>
      <c r="K61" s="333">
        <v>10191.6</v>
      </c>
    </row>
    <row r="62" spans="1:11" ht="14.4" customHeight="1" x14ac:dyDescent="0.3">
      <c r="A62" s="328" t="s">
        <v>359</v>
      </c>
      <c r="B62" s="329" t="s">
        <v>458</v>
      </c>
      <c r="C62" s="330" t="s">
        <v>364</v>
      </c>
      <c r="D62" s="331" t="s">
        <v>459</v>
      </c>
      <c r="E62" s="330" t="s">
        <v>868</v>
      </c>
      <c r="F62" s="331" t="s">
        <v>869</v>
      </c>
      <c r="G62" s="330" t="s">
        <v>580</v>
      </c>
      <c r="H62" s="330" t="s">
        <v>581</v>
      </c>
      <c r="I62" s="332">
        <v>6.66</v>
      </c>
      <c r="J62" s="332">
        <v>50</v>
      </c>
      <c r="K62" s="333">
        <v>333</v>
      </c>
    </row>
    <row r="63" spans="1:11" ht="14.4" customHeight="1" x14ac:dyDescent="0.3">
      <c r="A63" s="328" t="s">
        <v>359</v>
      </c>
      <c r="B63" s="329" t="s">
        <v>458</v>
      </c>
      <c r="C63" s="330" t="s">
        <v>364</v>
      </c>
      <c r="D63" s="331" t="s">
        <v>459</v>
      </c>
      <c r="E63" s="330" t="s">
        <v>868</v>
      </c>
      <c r="F63" s="331" t="s">
        <v>869</v>
      </c>
      <c r="G63" s="330" t="s">
        <v>582</v>
      </c>
      <c r="H63" s="330" t="s">
        <v>583</v>
      </c>
      <c r="I63" s="332">
        <v>6.65</v>
      </c>
      <c r="J63" s="332">
        <v>14</v>
      </c>
      <c r="K63" s="333">
        <v>93.13</v>
      </c>
    </row>
    <row r="64" spans="1:11" ht="14.4" customHeight="1" x14ac:dyDescent="0.3">
      <c r="A64" s="328" t="s">
        <v>359</v>
      </c>
      <c r="B64" s="329" t="s">
        <v>458</v>
      </c>
      <c r="C64" s="330" t="s">
        <v>364</v>
      </c>
      <c r="D64" s="331" t="s">
        <v>459</v>
      </c>
      <c r="E64" s="330" t="s">
        <v>868</v>
      </c>
      <c r="F64" s="331" t="s">
        <v>869</v>
      </c>
      <c r="G64" s="330" t="s">
        <v>584</v>
      </c>
      <c r="H64" s="330" t="s">
        <v>585</v>
      </c>
      <c r="I64" s="332">
        <v>6.7</v>
      </c>
      <c r="J64" s="332">
        <v>10</v>
      </c>
      <c r="K64" s="333">
        <v>67</v>
      </c>
    </row>
    <row r="65" spans="1:11" ht="14.4" customHeight="1" x14ac:dyDescent="0.3">
      <c r="A65" s="328" t="s">
        <v>359</v>
      </c>
      <c r="B65" s="329" t="s">
        <v>458</v>
      </c>
      <c r="C65" s="330" t="s">
        <v>364</v>
      </c>
      <c r="D65" s="331" t="s">
        <v>459</v>
      </c>
      <c r="E65" s="330" t="s">
        <v>868</v>
      </c>
      <c r="F65" s="331" t="s">
        <v>869</v>
      </c>
      <c r="G65" s="330" t="s">
        <v>586</v>
      </c>
      <c r="H65" s="330" t="s">
        <v>587</v>
      </c>
      <c r="I65" s="332">
        <v>190.07</v>
      </c>
      <c r="J65" s="332">
        <v>40</v>
      </c>
      <c r="K65" s="333">
        <v>7602.65</v>
      </c>
    </row>
    <row r="66" spans="1:11" ht="14.4" customHeight="1" x14ac:dyDescent="0.3">
      <c r="A66" s="328" t="s">
        <v>359</v>
      </c>
      <c r="B66" s="329" t="s">
        <v>458</v>
      </c>
      <c r="C66" s="330" t="s">
        <v>364</v>
      </c>
      <c r="D66" s="331" t="s">
        <v>459</v>
      </c>
      <c r="E66" s="330" t="s">
        <v>868</v>
      </c>
      <c r="F66" s="331" t="s">
        <v>869</v>
      </c>
      <c r="G66" s="330" t="s">
        <v>588</v>
      </c>
      <c r="H66" s="330" t="s">
        <v>589</v>
      </c>
      <c r="I66" s="332">
        <v>300.33999999999997</v>
      </c>
      <c r="J66" s="332">
        <v>40</v>
      </c>
      <c r="K66" s="333">
        <v>12013.68</v>
      </c>
    </row>
    <row r="67" spans="1:11" ht="14.4" customHeight="1" x14ac:dyDescent="0.3">
      <c r="A67" s="328" t="s">
        <v>359</v>
      </c>
      <c r="B67" s="329" t="s">
        <v>458</v>
      </c>
      <c r="C67" s="330" t="s">
        <v>364</v>
      </c>
      <c r="D67" s="331" t="s">
        <v>459</v>
      </c>
      <c r="E67" s="330" t="s">
        <v>868</v>
      </c>
      <c r="F67" s="331" t="s">
        <v>869</v>
      </c>
      <c r="G67" s="330" t="s">
        <v>590</v>
      </c>
      <c r="H67" s="330" t="s">
        <v>591</v>
      </c>
      <c r="I67" s="332">
        <v>13.79</v>
      </c>
      <c r="J67" s="332">
        <v>175</v>
      </c>
      <c r="K67" s="333">
        <v>2413.9499999999998</v>
      </c>
    </row>
    <row r="68" spans="1:11" ht="14.4" customHeight="1" x14ac:dyDescent="0.3">
      <c r="A68" s="328" t="s">
        <v>359</v>
      </c>
      <c r="B68" s="329" t="s">
        <v>458</v>
      </c>
      <c r="C68" s="330" t="s">
        <v>364</v>
      </c>
      <c r="D68" s="331" t="s">
        <v>459</v>
      </c>
      <c r="E68" s="330" t="s">
        <v>868</v>
      </c>
      <c r="F68" s="331" t="s">
        <v>869</v>
      </c>
      <c r="G68" s="330" t="s">
        <v>592</v>
      </c>
      <c r="H68" s="330" t="s">
        <v>593</v>
      </c>
      <c r="I68" s="332">
        <v>22.38</v>
      </c>
      <c r="J68" s="332">
        <v>80</v>
      </c>
      <c r="K68" s="333">
        <v>1790.18</v>
      </c>
    </row>
    <row r="69" spans="1:11" ht="14.4" customHeight="1" x14ac:dyDescent="0.3">
      <c r="A69" s="328" t="s">
        <v>359</v>
      </c>
      <c r="B69" s="329" t="s">
        <v>458</v>
      </c>
      <c r="C69" s="330" t="s">
        <v>364</v>
      </c>
      <c r="D69" s="331" t="s">
        <v>459</v>
      </c>
      <c r="E69" s="330" t="s">
        <v>868</v>
      </c>
      <c r="F69" s="331" t="s">
        <v>869</v>
      </c>
      <c r="G69" s="330" t="s">
        <v>594</v>
      </c>
      <c r="H69" s="330" t="s">
        <v>595</v>
      </c>
      <c r="I69" s="332">
        <v>68.86</v>
      </c>
      <c r="J69" s="332">
        <v>30</v>
      </c>
      <c r="K69" s="333">
        <v>2065.88</v>
      </c>
    </row>
    <row r="70" spans="1:11" ht="14.4" customHeight="1" x14ac:dyDescent="0.3">
      <c r="A70" s="328" t="s">
        <v>359</v>
      </c>
      <c r="B70" s="329" t="s">
        <v>458</v>
      </c>
      <c r="C70" s="330" t="s">
        <v>364</v>
      </c>
      <c r="D70" s="331" t="s">
        <v>459</v>
      </c>
      <c r="E70" s="330" t="s">
        <v>868</v>
      </c>
      <c r="F70" s="331" t="s">
        <v>869</v>
      </c>
      <c r="G70" s="330" t="s">
        <v>596</v>
      </c>
      <c r="H70" s="330" t="s">
        <v>597</v>
      </c>
      <c r="I70" s="332">
        <v>13.19</v>
      </c>
      <c r="J70" s="332">
        <v>100</v>
      </c>
      <c r="K70" s="333">
        <v>1318.9</v>
      </c>
    </row>
    <row r="71" spans="1:11" ht="14.4" customHeight="1" x14ac:dyDescent="0.3">
      <c r="A71" s="328" t="s">
        <v>359</v>
      </c>
      <c r="B71" s="329" t="s">
        <v>458</v>
      </c>
      <c r="C71" s="330" t="s">
        <v>364</v>
      </c>
      <c r="D71" s="331" t="s">
        <v>459</v>
      </c>
      <c r="E71" s="330" t="s">
        <v>868</v>
      </c>
      <c r="F71" s="331" t="s">
        <v>869</v>
      </c>
      <c r="G71" s="330" t="s">
        <v>598</v>
      </c>
      <c r="H71" s="330" t="s">
        <v>599</v>
      </c>
      <c r="I71" s="332">
        <v>71.39</v>
      </c>
      <c r="J71" s="332">
        <v>30</v>
      </c>
      <c r="K71" s="333">
        <v>2141.6999999999998</v>
      </c>
    </row>
    <row r="72" spans="1:11" ht="14.4" customHeight="1" x14ac:dyDescent="0.3">
      <c r="A72" s="328" t="s">
        <v>359</v>
      </c>
      <c r="B72" s="329" t="s">
        <v>458</v>
      </c>
      <c r="C72" s="330" t="s">
        <v>364</v>
      </c>
      <c r="D72" s="331" t="s">
        <v>459</v>
      </c>
      <c r="E72" s="330" t="s">
        <v>868</v>
      </c>
      <c r="F72" s="331" t="s">
        <v>869</v>
      </c>
      <c r="G72" s="330" t="s">
        <v>600</v>
      </c>
      <c r="H72" s="330" t="s">
        <v>601</v>
      </c>
      <c r="I72" s="332">
        <v>71.39</v>
      </c>
      <c r="J72" s="332">
        <v>60</v>
      </c>
      <c r="K72" s="333">
        <v>4283.3999999999996</v>
      </c>
    </row>
    <row r="73" spans="1:11" ht="14.4" customHeight="1" x14ac:dyDescent="0.3">
      <c r="A73" s="328" t="s">
        <v>359</v>
      </c>
      <c r="B73" s="329" t="s">
        <v>458</v>
      </c>
      <c r="C73" s="330" t="s">
        <v>364</v>
      </c>
      <c r="D73" s="331" t="s">
        <v>459</v>
      </c>
      <c r="E73" s="330" t="s">
        <v>868</v>
      </c>
      <c r="F73" s="331" t="s">
        <v>869</v>
      </c>
      <c r="G73" s="330" t="s">
        <v>602</v>
      </c>
      <c r="H73" s="330" t="s">
        <v>603</v>
      </c>
      <c r="I73" s="332">
        <v>28.05</v>
      </c>
      <c r="J73" s="332">
        <v>172</v>
      </c>
      <c r="K73" s="333">
        <v>4824.6399999999994</v>
      </c>
    </row>
    <row r="74" spans="1:11" ht="14.4" customHeight="1" x14ac:dyDescent="0.3">
      <c r="A74" s="328" t="s">
        <v>359</v>
      </c>
      <c r="B74" s="329" t="s">
        <v>458</v>
      </c>
      <c r="C74" s="330" t="s">
        <v>364</v>
      </c>
      <c r="D74" s="331" t="s">
        <v>459</v>
      </c>
      <c r="E74" s="330" t="s">
        <v>868</v>
      </c>
      <c r="F74" s="331" t="s">
        <v>869</v>
      </c>
      <c r="G74" s="330" t="s">
        <v>604</v>
      </c>
      <c r="H74" s="330" t="s">
        <v>605</v>
      </c>
      <c r="I74" s="332">
        <v>31.337499999999999</v>
      </c>
      <c r="J74" s="332">
        <v>270</v>
      </c>
      <c r="K74" s="333">
        <v>8461.5399999999991</v>
      </c>
    </row>
    <row r="75" spans="1:11" ht="14.4" customHeight="1" x14ac:dyDescent="0.3">
      <c r="A75" s="328" t="s">
        <v>359</v>
      </c>
      <c r="B75" s="329" t="s">
        <v>458</v>
      </c>
      <c r="C75" s="330" t="s">
        <v>364</v>
      </c>
      <c r="D75" s="331" t="s">
        <v>459</v>
      </c>
      <c r="E75" s="330" t="s">
        <v>868</v>
      </c>
      <c r="F75" s="331" t="s">
        <v>869</v>
      </c>
      <c r="G75" s="330" t="s">
        <v>606</v>
      </c>
      <c r="H75" s="330" t="s">
        <v>607</v>
      </c>
      <c r="I75" s="332">
        <v>50.65</v>
      </c>
      <c r="J75" s="332">
        <v>250</v>
      </c>
      <c r="K75" s="333">
        <v>12662.65</v>
      </c>
    </row>
    <row r="76" spans="1:11" ht="14.4" customHeight="1" x14ac:dyDescent="0.3">
      <c r="A76" s="328" t="s">
        <v>359</v>
      </c>
      <c r="B76" s="329" t="s">
        <v>458</v>
      </c>
      <c r="C76" s="330" t="s">
        <v>364</v>
      </c>
      <c r="D76" s="331" t="s">
        <v>459</v>
      </c>
      <c r="E76" s="330" t="s">
        <v>868</v>
      </c>
      <c r="F76" s="331" t="s">
        <v>869</v>
      </c>
      <c r="G76" s="330" t="s">
        <v>608</v>
      </c>
      <c r="H76" s="330" t="s">
        <v>609</v>
      </c>
      <c r="I76" s="332">
        <v>10.74</v>
      </c>
      <c r="J76" s="332">
        <v>200</v>
      </c>
      <c r="K76" s="333">
        <v>2148.96</v>
      </c>
    </row>
    <row r="77" spans="1:11" ht="14.4" customHeight="1" x14ac:dyDescent="0.3">
      <c r="A77" s="328" t="s">
        <v>359</v>
      </c>
      <c r="B77" s="329" t="s">
        <v>458</v>
      </c>
      <c r="C77" s="330" t="s">
        <v>364</v>
      </c>
      <c r="D77" s="331" t="s">
        <v>459</v>
      </c>
      <c r="E77" s="330" t="s">
        <v>868</v>
      </c>
      <c r="F77" s="331" t="s">
        <v>869</v>
      </c>
      <c r="G77" s="330" t="s">
        <v>610</v>
      </c>
      <c r="H77" s="330" t="s">
        <v>611</v>
      </c>
      <c r="I77" s="332">
        <v>181.5</v>
      </c>
      <c r="J77" s="332">
        <v>40</v>
      </c>
      <c r="K77" s="333">
        <v>7260</v>
      </c>
    </row>
    <row r="78" spans="1:11" ht="14.4" customHeight="1" x14ac:dyDescent="0.3">
      <c r="A78" s="328" t="s">
        <v>359</v>
      </c>
      <c r="B78" s="329" t="s">
        <v>458</v>
      </c>
      <c r="C78" s="330" t="s">
        <v>364</v>
      </c>
      <c r="D78" s="331" t="s">
        <v>459</v>
      </c>
      <c r="E78" s="330" t="s">
        <v>868</v>
      </c>
      <c r="F78" s="331" t="s">
        <v>869</v>
      </c>
      <c r="G78" s="330" t="s">
        <v>612</v>
      </c>
      <c r="H78" s="330" t="s">
        <v>613</v>
      </c>
      <c r="I78" s="332">
        <v>280.77999999999997</v>
      </c>
      <c r="J78" s="332">
        <v>50</v>
      </c>
      <c r="K78" s="333">
        <v>14039.03</v>
      </c>
    </row>
    <row r="79" spans="1:11" ht="14.4" customHeight="1" x14ac:dyDescent="0.3">
      <c r="A79" s="328" t="s">
        <v>359</v>
      </c>
      <c r="B79" s="329" t="s">
        <v>458</v>
      </c>
      <c r="C79" s="330" t="s">
        <v>364</v>
      </c>
      <c r="D79" s="331" t="s">
        <v>459</v>
      </c>
      <c r="E79" s="330" t="s">
        <v>868</v>
      </c>
      <c r="F79" s="331" t="s">
        <v>869</v>
      </c>
      <c r="G79" s="330" t="s">
        <v>614</v>
      </c>
      <c r="H79" s="330" t="s">
        <v>615</v>
      </c>
      <c r="I79" s="332">
        <v>68.510000000000005</v>
      </c>
      <c r="J79" s="332">
        <v>150</v>
      </c>
      <c r="K79" s="333">
        <v>10276.530000000001</v>
      </c>
    </row>
    <row r="80" spans="1:11" ht="14.4" customHeight="1" x14ac:dyDescent="0.3">
      <c r="A80" s="328" t="s">
        <v>359</v>
      </c>
      <c r="B80" s="329" t="s">
        <v>458</v>
      </c>
      <c r="C80" s="330" t="s">
        <v>364</v>
      </c>
      <c r="D80" s="331" t="s">
        <v>459</v>
      </c>
      <c r="E80" s="330" t="s">
        <v>868</v>
      </c>
      <c r="F80" s="331" t="s">
        <v>869</v>
      </c>
      <c r="G80" s="330" t="s">
        <v>616</v>
      </c>
      <c r="H80" s="330" t="s">
        <v>617</v>
      </c>
      <c r="I80" s="332">
        <v>31.94</v>
      </c>
      <c r="J80" s="332">
        <v>50</v>
      </c>
      <c r="K80" s="333">
        <v>1597.2</v>
      </c>
    </row>
    <row r="81" spans="1:11" ht="14.4" customHeight="1" x14ac:dyDescent="0.3">
      <c r="A81" s="328" t="s">
        <v>359</v>
      </c>
      <c r="B81" s="329" t="s">
        <v>458</v>
      </c>
      <c r="C81" s="330" t="s">
        <v>364</v>
      </c>
      <c r="D81" s="331" t="s">
        <v>459</v>
      </c>
      <c r="E81" s="330" t="s">
        <v>868</v>
      </c>
      <c r="F81" s="331" t="s">
        <v>869</v>
      </c>
      <c r="G81" s="330" t="s">
        <v>618</v>
      </c>
      <c r="H81" s="330" t="s">
        <v>619</v>
      </c>
      <c r="I81" s="332">
        <v>201.25</v>
      </c>
      <c r="J81" s="332">
        <v>4</v>
      </c>
      <c r="K81" s="333">
        <v>804.99</v>
      </c>
    </row>
    <row r="82" spans="1:11" ht="14.4" customHeight="1" x14ac:dyDescent="0.3">
      <c r="A82" s="328" t="s">
        <v>359</v>
      </c>
      <c r="B82" s="329" t="s">
        <v>458</v>
      </c>
      <c r="C82" s="330" t="s">
        <v>364</v>
      </c>
      <c r="D82" s="331" t="s">
        <v>459</v>
      </c>
      <c r="E82" s="330" t="s">
        <v>868</v>
      </c>
      <c r="F82" s="331" t="s">
        <v>869</v>
      </c>
      <c r="G82" s="330" t="s">
        <v>620</v>
      </c>
      <c r="H82" s="330" t="s">
        <v>621</v>
      </c>
      <c r="I82" s="332">
        <v>8.5299999999999994</v>
      </c>
      <c r="J82" s="332">
        <v>50</v>
      </c>
      <c r="K82" s="333">
        <v>426.53</v>
      </c>
    </row>
    <row r="83" spans="1:11" ht="14.4" customHeight="1" x14ac:dyDescent="0.3">
      <c r="A83" s="328" t="s">
        <v>359</v>
      </c>
      <c r="B83" s="329" t="s">
        <v>458</v>
      </c>
      <c r="C83" s="330" t="s">
        <v>364</v>
      </c>
      <c r="D83" s="331" t="s">
        <v>459</v>
      </c>
      <c r="E83" s="330" t="s">
        <v>868</v>
      </c>
      <c r="F83" s="331" t="s">
        <v>869</v>
      </c>
      <c r="G83" s="330" t="s">
        <v>622</v>
      </c>
      <c r="H83" s="330" t="s">
        <v>623</v>
      </c>
      <c r="I83" s="332">
        <v>19.97</v>
      </c>
      <c r="J83" s="332">
        <v>50</v>
      </c>
      <c r="K83" s="333">
        <v>998.25</v>
      </c>
    </row>
    <row r="84" spans="1:11" ht="14.4" customHeight="1" x14ac:dyDescent="0.3">
      <c r="A84" s="328" t="s">
        <v>359</v>
      </c>
      <c r="B84" s="329" t="s">
        <v>458</v>
      </c>
      <c r="C84" s="330" t="s">
        <v>364</v>
      </c>
      <c r="D84" s="331" t="s">
        <v>459</v>
      </c>
      <c r="E84" s="330" t="s">
        <v>870</v>
      </c>
      <c r="F84" s="331" t="s">
        <v>871</v>
      </c>
      <c r="G84" s="330" t="s">
        <v>624</v>
      </c>
      <c r="H84" s="330" t="s">
        <v>625</v>
      </c>
      <c r="I84" s="332">
        <v>471.96</v>
      </c>
      <c r="J84" s="332">
        <v>1</v>
      </c>
      <c r="K84" s="333">
        <v>471.96</v>
      </c>
    </row>
    <row r="85" spans="1:11" ht="14.4" customHeight="1" x14ac:dyDescent="0.3">
      <c r="A85" s="328" t="s">
        <v>359</v>
      </c>
      <c r="B85" s="329" t="s">
        <v>458</v>
      </c>
      <c r="C85" s="330" t="s">
        <v>364</v>
      </c>
      <c r="D85" s="331" t="s">
        <v>459</v>
      </c>
      <c r="E85" s="330" t="s">
        <v>870</v>
      </c>
      <c r="F85" s="331" t="s">
        <v>871</v>
      </c>
      <c r="G85" s="330" t="s">
        <v>626</v>
      </c>
      <c r="H85" s="330" t="s">
        <v>627</v>
      </c>
      <c r="I85" s="332">
        <v>471.96</v>
      </c>
      <c r="J85" s="332">
        <v>1</v>
      </c>
      <c r="K85" s="333">
        <v>471.96</v>
      </c>
    </row>
    <row r="86" spans="1:11" ht="14.4" customHeight="1" x14ac:dyDescent="0.3">
      <c r="A86" s="328" t="s">
        <v>359</v>
      </c>
      <c r="B86" s="329" t="s">
        <v>458</v>
      </c>
      <c r="C86" s="330" t="s">
        <v>364</v>
      </c>
      <c r="D86" s="331" t="s">
        <v>459</v>
      </c>
      <c r="E86" s="330" t="s">
        <v>870</v>
      </c>
      <c r="F86" s="331" t="s">
        <v>871</v>
      </c>
      <c r="G86" s="330" t="s">
        <v>628</v>
      </c>
      <c r="H86" s="330" t="s">
        <v>629</v>
      </c>
      <c r="I86" s="332">
        <v>471.96</v>
      </c>
      <c r="J86" s="332">
        <v>1</v>
      </c>
      <c r="K86" s="333">
        <v>471.96</v>
      </c>
    </row>
    <row r="87" spans="1:11" ht="14.4" customHeight="1" x14ac:dyDescent="0.3">
      <c r="A87" s="328" t="s">
        <v>359</v>
      </c>
      <c r="B87" s="329" t="s">
        <v>458</v>
      </c>
      <c r="C87" s="330" t="s">
        <v>364</v>
      </c>
      <c r="D87" s="331" t="s">
        <v>459</v>
      </c>
      <c r="E87" s="330" t="s">
        <v>872</v>
      </c>
      <c r="F87" s="331" t="s">
        <v>873</v>
      </c>
      <c r="G87" s="330" t="s">
        <v>630</v>
      </c>
      <c r="H87" s="330" t="s">
        <v>631</v>
      </c>
      <c r="I87" s="332">
        <v>997.89</v>
      </c>
      <c r="J87" s="332">
        <v>48</v>
      </c>
      <c r="K87" s="333">
        <v>47898.58</v>
      </c>
    </row>
    <row r="88" spans="1:11" ht="14.4" customHeight="1" x14ac:dyDescent="0.3">
      <c r="A88" s="328" t="s">
        <v>359</v>
      </c>
      <c r="B88" s="329" t="s">
        <v>458</v>
      </c>
      <c r="C88" s="330" t="s">
        <v>364</v>
      </c>
      <c r="D88" s="331" t="s">
        <v>459</v>
      </c>
      <c r="E88" s="330" t="s">
        <v>872</v>
      </c>
      <c r="F88" s="331" t="s">
        <v>873</v>
      </c>
      <c r="G88" s="330" t="s">
        <v>632</v>
      </c>
      <c r="H88" s="330" t="s">
        <v>633</v>
      </c>
      <c r="I88" s="332">
        <v>1789.1166666666668</v>
      </c>
      <c r="J88" s="332">
        <v>180</v>
      </c>
      <c r="K88" s="333">
        <v>322041.26</v>
      </c>
    </row>
    <row r="89" spans="1:11" ht="14.4" customHeight="1" x14ac:dyDescent="0.3">
      <c r="A89" s="328" t="s">
        <v>359</v>
      </c>
      <c r="B89" s="329" t="s">
        <v>458</v>
      </c>
      <c r="C89" s="330" t="s">
        <v>364</v>
      </c>
      <c r="D89" s="331" t="s">
        <v>459</v>
      </c>
      <c r="E89" s="330" t="s">
        <v>872</v>
      </c>
      <c r="F89" s="331" t="s">
        <v>873</v>
      </c>
      <c r="G89" s="330" t="s">
        <v>634</v>
      </c>
      <c r="H89" s="330" t="s">
        <v>635</v>
      </c>
      <c r="I89" s="332">
        <v>85908.063333333324</v>
      </c>
      <c r="J89" s="332">
        <v>4.5999999999999996</v>
      </c>
      <c r="K89" s="333">
        <v>405311.87</v>
      </c>
    </row>
    <row r="90" spans="1:11" ht="14.4" customHeight="1" x14ac:dyDescent="0.3">
      <c r="A90" s="328" t="s">
        <v>359</v>
      </c>
      <c r="B90" s="329" t="s">
        <v>458</v>
      </c>
      <c r="C90" s="330" t="s">
        <v>364</v>
      </c>
      <c r="D90" s="331" t="s">
        <v>459</v>
      </c>
      <c r="E90" s="330" t="s">
        <v>872</v>
      </c>
      <c r="F90" s="331" t="s">
        <v>873</v>
      </c>
      <c r="G90" s="330" t="s">
        <v>636</v>
      </c>
      <c r="H90" s="330" t="s">
        <v>637</v>
      </c>
      <c r="I90" s="332">
        <v>87686.28</v>
      </c>
      <c r="J90" s="332">
        <v>4</v>
      </c>
      <c r="K90" s="333">
        <v>350745.12</v>
      </c>
    </row>
    <row r="91" spans="1:11" ht="14.4" customHeight="1" x14ac:dyDescent="0.3">
      <c r="A91" s="328" t="s">
        <v>359</v>
      </c>
      <c r="B91" s="329" t="s">
        <v>458</v>
      </c>
      <c r="C91" s="330" t="s">
        <v>364</v>
      </c>
      <c r="D91" s="331" t="s">
        <v>459</v>
      </c>
      <c r="E91" s="330" t="s">
        <v>872</v>
      </c>
      <c r="F91" s="331" t="s">
        <v>873</v>
      </c>
      <c r="G91" s="330" t="s">
        <v>638</v>
      </c>
      <c r="H91" s="330" t="s">
        <v>639</v>
      </c>
      <c r="I91" s="332">
        <v>795.16333333333341</v>
      </c>
      <c r="J91" s="332">
        <v>60</v>
      </c>
      <c r="K91" s="333">
        <v>47709.81</v>
      </c>
    </row>
    <row r="92" spans="1:11" ht="14.4" customHeight="1" x14ac:dyDescent="0.3">
      <c r="A92" s="328" t="s">
        <v>359</v>
      </c>
      <c r="B92" s="329" t="s">
        <v>458</v>
      </c>
      <c r="C92" s="330" t="s">
        <v>364</v>
      </c>
      <c r="D92" s="331" t="s">
        <v>459</v>
      </c>
      <c r="E92" s="330" t="s">
        <v>872</v>
      </c>
      <c r="F92" s="331" t="s">
        <v>873</v>
      </c>
      <c r="G92" s="330" t="s">
        <v>640</v>
      </c>
      <c r="H92" s="330" t="s">
        <v>641</v>
      </c>
      <c r="I92" s="332">
        <v>994.98333333333323</v>
      </c>
      <c r="J92" s="332">
        <v>80</v>
      </c>
      <c r="K92" s="333">
        <v>79540.560000000012</v>
      </c>
    </row>
    <row r="93" spans="1:11" ht="14.4" customHeight="1" x14ac:dyDescent="0.3">
      <c r="A93" s="328" t="s">
        <v>359</v>
      </c>
      <c r="B93" s="329" t="s">
        <v>458</v>
      </c>
      <c r="C93" s="330" t="s">
        <v>364</v>
      </c>
      <c r="D93" s="331" t="s">
        <v>459</v>
      </c>
      <c r="E93" s="330" t="s">
        <v>872</v>
      </c>
      <c r="F93" s="331" t="s">
        <v>873</v>
      </c>
      <c r="G93" s="330" t="s">
        <v>642</v>
      </c>
      <c r="H93" s="330" t="s">
        <v>643</v>
      </c>
      <c r="I93" s="332">
        <v>1172.26</v>
      </c>
      <c r="J93" s="332">
        <v>80</v>
      </c>
      <c r="K93" s="333">
        <v>93780.76</v>
      </c>
    </row>
    <row r="94" spans="1:11" ht="14.4" customHeight="1" x14ac:dyDescent="0.3">
      <c r="A94" s="328" t="s">
        <v>359</v>
      </c>
      <c r="B94" s="329" t="s">
        <v>458</v>
      </c>
      <c r="C94" s="330" t="s">
        <v>364</v>
      </c>
      <c r="D94" s="331" t="s">
        <v>459</v>
      </c>
      <c r="E94" s="330" t="s">
        <v>872</v>
      </c>
      <c r="F94" s="331" t="s">
        <v>873</v>
      </c>
      <c r="G94" s="330" t="s">
        <v>644</v>
      </c>
      <c r="H94" s="330" t="s">
        <v>645</v>
      </c>
      <c r="I94" s="332">
        <v>127543.67999999999</v>
      </c>
      <c r="J94" s="332">
        <v>4</v>
      </c>
      <c r="K94" s="333">
        <v>510174.71999999997</v>
      </c>
    </row>
    <row r="95" spans="1:11" ht="14.4" customHeight="1" x14ac:dyDescent="0.3">
      <c r="A95" s="328" t="s">
        <v>359</v>
      </c>
      <c r="B95" s="329" t="s">
        <v>458</v>
      </c>
      <c r="C95" s="330" t="s">
        <v>364</v>
      </c>
      <c r="D95" s="331" t="s">
        <v>459</v>
      </c>
      <c r="E95" s="330" t="s">
        <v>872</v>
      </c>
      <c r="F95" s="331" t="s">
        <v>873</v>
      </c>
      <c r="G95" s="330" t="s">
        <v>646</v>
      </c>
      <c r="H95" s="330" t="s">
        <v>647</v>
      </c>
      <c r="I95" s="332">
        <v>107614.97500000001</v>
      </c>
      <c r="J95" s="332">
        <v>4</v>
      </c>
      <c r="K95" s="333">
        <v>430459.92</v>
      </c>
    </row>
    <row r="96" spans="1:11" ht="14.4" customHeight="1" x14ac:dyDescent="0.3">
      <c r="A96" s="328" t="s">
        <v>359</v>
      </c>
      <c r="B96" s="329" t="s">
        <v>458</v>
      </c>
      <c r="C96" s="330" t="s">
        <v>364</v>
      </c>
      <c r="D96" s="331" t="s">
        <v>459</v>
      </c>
      <c r="E96" s="330" t="s">
        <v>874</v>
      </c>
      <c r="F96" s="331" t="s">
        <v>875</v>
      </c>
      <c r="G96" s="330" t="s">
        <v>648</v>
      </c>
      <c r="H96" s="330" t="s">
        <v>649</v>
      </c>
      <c r="I96" s="332">
        <v>46.57</v>
      </c>
      <c r="J96" s="332">
        <v>205</v>
      </c>
      <c r="K96" s="333">
        <v>9546.4599999999991</v>
      </c>
    </row>
    <row r="97" spans="1:11" ht="14.4" customHeight="1" x14ac:dyDescent="0.3">
      <c r="A97" s="328" t="s">
        <v>359</v>
      </c>
      <c r="B97" s="329" t="s">
        <v>458</v>
      </c>
      <c r="C97" s="330" t="s">
        <v>364</v>
      </c>
      <c r="D97" s="331" t="s">
        <v>459</v>
      </c>
      <c r="E97" s="330" t="s">
        <v>876</v>
      </c>
      <c r="F97" s="331" t="s">
        <v>877</v>
      </c>
      <c r="G97" s="330" t="s">
        <v>650</v>
      </c>
      <c r="H97" s="330" t="s">
        <v>651</v>
      </c>
      <c r="I97" s="332">
        <v>205.37</v>
      </c>
      <c r="J97" s="332">
        <v>84</v>
      </c>
      <c r="K97" s="333">
        <v>17251.309999999998</v>
      </c>
    </row>
    <row r="98" spans="1:11" ht="14.4" customHeight="1" x14ac:dyDescent="0.3">
      <c r="A98" s="328" t="s">
        <v>359</v>
      </c>
      <c r="B98" s="329" t="s">
        <v>458</v>
      </c>
      <c r="C98" s="330" t="s">
        <v>364</v>
      </c>
      <c r="D98" s="331" t="s">
        <v>459</v>
      </c>
      <c r="E98" s="330" t="s">
        <v>876</v>
      </c>
      <c r="F98" s="331" t="s">
        <v>877</v>
      </c>
      <c r="G98" s="330" t="s">
        <v>652</v>
      </c>
      <c r="H98" s="330" t="s">
        <v>653</v>
      </c>
      <c r="I98" s="332">
        <v>149.25</v>
      </c>
      <c r="J98" s="332">
        <v>120</v>
      </c>
      <c r="K98" s="333">
        <v>17909.53</v>
      </c>
    </row>
    <row r="99" spans="1:11" ht="14.4" customHeight="1" x14ac:dyDescent="0.3">
      <c r="A99" s="328" t="s">
        <v>359</v>
      </c>
      <c r="B99" s="329" t="s">
        <v>458</v>
      </c>
      <c r="C99" s="330" t="s">
        <v>364</v>
      </c>
      <c r="D99" s="331" t="s">
        <v>459</v>
      </c>
      <c r="E99" s="330" t="s">
        <v>876</v>
      </c>
      <c r="F99" s="331" t="s">
        <v>877</v>
      </c>
      <c r="G99" s="330" t="s">
        <v>654</v>
      </c>
      <c r="H99" s="330" t="s">
        <v>655</v>
      </c>
      <c r="I99" s="332">
        <v>266.13</v>
      </c>
      <c r="J99" s="332">
        <v>300</v>
      </c>
      <c r="K99" s="333">
        <v>79838.45</v>
      </c>
    </row>
    <row r="100" spans="1:11" ht="14.4" customHeight="1" x14ac:dyDescent="0.3">
      <c r="A100" s="328" t="s">
        <v>359</v>
      </c>
      <c r="B100" s="329" t="s">
        <v>458</v>
      </c>
      <c r="C100" s="330" t="s">
        <v>364</v>
      </c>
      <c r="D100" s="331" t="s">
        <v>459</v>
      </c>
      <c r="E100" s="330" t="s">
        <v>876</v>
      </c>
      <c r="F100" s="331" t="s">
        <v>877</v>
      </c>
      <c r="G100" s="330" t="s">
        <v>656</v>
      </c>
      <c r="H100" s="330" t="s">
        <v>657</v>
      </c>
      <c r="I100" s="332">
        <v>59.77</v>
      </c>
      <c r="J100" s="332">
        <v>180</v>
      </c>
      <c r="K100" s="333">
        <v>10759.4</v>
      </c>
    </row>
    <row r="101" spans="1:11" ht="14.4" customHeight="1" x14ac:dyDescent="0.3">
      <c r="A101" s="328" t="s">
        <v>359</v>
      </c>
      <c r="B101" s="329" t="s">
        <v>458</v>
      </c>
      <c r="C101" s="330" t="s">
        <v>364</v>
      </c>
      <c r="D101" s="331" t="s">
        <v>459</v>
      </c>
      <c r="E101" s="330" t="s">
        <v>876</v>
      </c>
      <c r="F101" s="331" t="s">
        <v>877</v>
      </c>
      <c r="G101" s="330" t="s">
        <v>658</v>
      </c>
      <c r="H101" s="330" t="s">
        <v>659</v>
      </c>
      <c r="I101" s="332">
        <v>34.5</v>
      </c>
      <c r="J101" s="332">
        <v>720</v>
      </c>
      <c r="K101" s="333">
        <v>24840</v>
      </c>
    </row>
    <row r="102" spans="1:11" ht="14.4" customHeight="1" x14ac:dyDescent="0.3">
      <c r="A102" s="328" t="s">
        <v>359</v>
      </c>
      <c r="B102" s="329" t="s">
        <v>458</v>
      </c>
      <c r="C102" s="330" t="s">
        <v>364</v>
      </c>
      <c r="D102" s="331" t="s">
        <v>459</v>
      </c>
      <c r="E102" s="330" t="s">
        <v>876</v>
      </c>
      <c r="F102" s="331" t="s">
        <v>877</v>
      </c>
      <c r="G102" s="330" t="s">
        <v>660</v>
      </c>
      <c r="H102" s="330" t="s">
        <v>661</v>
      </c>
      <c r="I102" s="332">
        <v>35.619999999999997</v>
      </c>
      <c r="J102" s="332">
        <v>72</v>
      </c>
      <c r="K102" s="333">
        <v>2564.3200000000002</v>
      </c>
    </row>
    <row r="103" spans="1:11" ht="14.4" customHeight="1" x14ac:dyDescent="0.3">
      <c r="A103" s="328" t="s">
        <v>359</v>
      </c>
      <c r="B103" s="329" t="s">
        <v>458</v>
      </c>
      <c r="C103" s="330" t="s">
        <v>364</v>
      </c>
      <c r="D103" s="331" t="s">
        <v>459</v>
      </c>
      <c r="E103" s="330" t="s">
        <v>876</v>
      </c>
      <c r="F103" s="331" t="s">
        <v>877</v>
      </c>
      <c r="G103" s="330" t="s">
        <v>662</v>
      </c>
      <c r="H103" s="330" t="s">
        <v>663</v>
      </c>
      <c r="I103" s="332">
        <v>414.29</v>
      </c>
      <c r="J103" s="332">
        <v>16</v>
      </c>
      <c r="K103" s="333">
        <v>6628.6</v>
      </c>
    </row>
    <row r="104" spans="1:11" ht="14.4" customHeight="1" x14ac:dyDescent="0.3">
      <c r="A104" s="328" t="s">
        <v>359</v>
      </c>
      <c r="B104" s="329" t="s">
        <v>458</v>
      </c>
      <c r="C104" s="330" t="s">
        <v>364</v>
      </c>
      <c r="D104" s="331" t="s">
        <v>459</v>
      </c>
      <c r="E104" s="330" t="s">
        <v>876</v>
      </c>
      <c r="F104" s="331" t="s">
        <v>877</v>
      </c>
      <c r="G104" s="330" t="s">
        <v>664</v>
      </c>
      <c r="H104" s="330" t="s">
        <v>665</v>
      </c>
      <c r="I104" s="332">
        <v>50.12</v>
      </c>
      <c r="J104" s="332">
        <v>792</v>
      </c>
      <c r="K104" s="333">
        <v>39692.660000000003</v>
      </c>
    </row>
    <row r="105" spans="1:11" ht="14.4" customHeight="1" x14ac:dyDescent="0.3">
      <c r="A105" s="328" t="s">
        <v>359</v>
      </c>
      <c r="B105" s="329" t="s">
        <v>458</v>
      </c>
      <c r="C105" s="330" t="s">
        <v>364</v>
      </c>
      <c r="D105" s="331" t="s">
        <v>459</v>
      </c>
      <c r="E105" s="330" t="s">
        <v>876</v>
      </c>
      <c r="F105" s="331" t="s">
        <v>877</v>
      </c>
      <c r="G105" s="330" t="s">
        <v>666</v>
      </c>
      <c r="H105" s="330" t="s">
        <v>667</v>
      </c>
      <c r="I105" s="332">
        <v>50.12</v>
      </c>
      <c r="J105" s="332">
        <v>432</v>
      </c>
      <c r="K105" s="333">
        <v>21650.54</v>
      </c>
    </row>
    <row r="106" spans="1:11" ht="14.4" customHeight="1" x14ac:dyDescent="0.3">
      <c r="A106" s="328" t="s">
        <v>359</v>
      </c>
      <c r="B106" s="329" t="s">
        <v>458</v>
      </c>
      <c r="C106" s="330" t="s">
        <v>364</v>
      </c>
      <c r="D106" s="331" t="s">
        <v>459</v>
      </c>
      <c r="E106" s="330" t="s">
        <v>876</v>
      </c>
      <c r="F106" s="331" t="s">
        <v>877</v>
      </c>
      <c r="G106" s="330" t="s">
        <v>668</v>
      </c>
      <c r="H106" s="330" t="s">
        <v>669</v>
      </c>
      <c r="I106" s="332">
        <v>50.12</v>
      </c>
      <c r="J106" s="332">
        <v>72</v>
      </c>
      <c r="K106" s="333">
        <v>3608.42</v>
      </c>
    </row>
    <row r="107" spans="1:11" ht="14.4" customHeight="1" x14ac:dyDescent="0.3">
      <c r="A107" s="328" t="s">
        <v>359</v>
      </c>
      <c r="B107" s="329" t="s">
        <v>458</v>
      </c>
      <c r="C107" s="330" t="s">
        <v>364</v>
      </c>
      <c r="D107" s="331" t="s">
        <v>459</v>
      </c>
      <c r="E107" s="330" t="s">
        <v>876</v>
      </c>
      <c r="F107" s="331" t="s">
        <v>877</v>
      </c>
      <c r="G107" s="330" t="s">
        <v>670</v>
      </c>
      <c r="H107" s="330" t="s">
        <v>671</v>
      </c>
      <c r="I107" s="332">
        <v>34.880000000000003</v>
      </c>
      <c r="J107" s="332">
        <v>1080</v>
      </c>
      <c r="K107" s="333">
        <v>37669.86</v>
      </c>
    </row>
    <row r="108" spans="1:11" ht="14.4" customHeight="1" x14ac:dyDescent="0.3">
      <c r="A108" s="328" t="s">
        <v>359</v>
      </c>
      <c r="B108" s="329" t="s">
        <v>458</v>
      </c>
      <c r="C108" s="330" t="s">
        <v>364</v>
      </c>
      <c r="D108" s="331" t="s">
        <v>459</v>
      </c>
      <c r="E108" s="330" t="s">
        <v>876</v>
      </c>
      <c r="F108" s="331" t="s">
        <v>877</v>
      </c>
      <c r="G108" s="330" t="s">
        <v>672</v>
      </c>
      <c r="H108" s="330" t="s">
        <v>673</v>
      </c>
      <c r="I108" s="332">
        <v>50.12</v>
      </c>
      <c r="J108" s="332">
        <v>648</v>
      </c>
      <c r="K108" s="333">
        <v>32475.82</v>
      </c>
    </row>
    <row r="109" spans="1:11" ht="14.4" customHeight="1" x14ac:dyDescent="0.3">
      <c r="A109" s="328" t="s">
        <v>359</v>
      </c>
      <c r="B109" s="329" t="s">
        <v>458</v>
      </c>
      <c r="C109" s="330" t="s">
        <v>364</v>
      </c>
      <c r="D109" s="331" t="s">
        <v>459</v>
      </c>
      <c r="E109" s="330" t="s">
        <v>876</v>
      </c>
      <c r="F109" s="331" t="s">
        <v>877</v>
      </c>
      <c r="G109" s="330" t="s">
        <v>674</v>
      </c>
      <c r="H109" s="330" t="s">
        <v>675</v>
      </c>
      <c r="I109" s="332">
        <v>36.19</v>
      </c>
      <c r="J109" s="332">
        <v>168</v>
      </c>
      <c r="K109" s="333">
        <v>6080.01</v>
      </c>
    </row>
    <row r="110" spans="1:11" ht="14.4" customHeight="1" x14ac:dyDescent="0.3">
      <c r="A110" s="328" t="s">
        <v>359</v>
      </c>
      <c r="B110" s="329" t="s">
        <v>458</v>
      </c>
      <c r="C110" s="330" t="s">
        <v>364</v>
      </c>
      <c r="D110" s="331" t="s">
        <v>459</v>
      </c>
      <c r="E110" s="330" t="s">
        <v>876</v>
      </c>
      <c r="F110" s="331" t="s">
        <v>877</v>
      </c>
      <c r="G110" s="330" t="s">
        <v>676</v>
      </c>
      <c r="H110" s="330" t="s">
        <v>677</v>
      </c>
      <c r="I110" s="332">
        <v>34.119999999999997</v>
      </c>
      <c r="J110" s="332">
        <v>72</v>
      </c>
      <c r="K110" s="333">
        <v>2456.64</v>
      </c>
    </row>
    <row r="111" spans="1:11" ht="14.4" customHeight="1" x14ac:dyDescent="0.3">
      <c r="A111" s="328" t="s">
        <v>359</v>
      </c>
      <c r="B111" s="329" t="s">
        <v>458</v>
      </c>
      <c r="C111" s="330" t="s">
        <v>364</v>
      </c>
      <c r="D111" s="331" t="s">
        <v>459</v>
      </c>
      <c r="E111" s="330" t="s">
        <v>876</v>
      </c>
      <c r="F111" s="331" t="s">
        <v>877</v>
      </c>
      <c r="G111" s="330" t="s">
        <v>678</v>
      </c>
      <c r="H111" s="330" t="s">
        <v>679</v>
      </c>
      <c r="I111" s="332">
        <v>216.29</v>
      </c>
      <c r="J111" s="332">
        <v>60</v>
      </c>
      <c r="K111" s="333">
        <v>12977.18</v>
      </c>
    </row>
    <row r="112" spans="1:11" ht="14.4" customHeight="1" x14ac:dyDescent="0.3">
      <c r="A112" s="328" t="s">
        <v>359</v>
      </c>
      <c r="B112" s="329" t="s">
        <v>458</v>
      </c>
      <c r="C112" s="330" t="s">
        <v>364</v>
      </c>
      <c r="D112" s="331" t="s">
        <v>459</v>
      </c>
      <c r="E112" s="330" t="s">
        <v>876</v>
      </c>
      <c r="F112" s="331" t="s">
        <v>877</v>
      </c>
      <c r="G112" s="330" t="s">
        <v>680</v>
      </c>
      <c r="H112" s="330" t="s">
        <v>681</v>
      </c>
      <c r="I112" s="332">
        <v>31.36</v>
      </c>
      <c r="J112" s="332">
        <v>1440</v>
      </c>
      <c r="K112" s="333">
        <v>45161.229999999996</v>
      </c>
    </row>
    <row r="113" spans="1:11" ht="14.4" customHeight="1" x14ac:dyDescent="0.3">
      <c r="A113" s="328" t="s">
        <v>359</v>
      </c>
      <c r="B113" s="329" t="s">
        <v>458</v>
      </c>
      <c r="C113" s="330" t="s">
        <v>364</v>
      </c>
      <c r="D113" s="331" t="s">
        <v>459</v>
      </c>
      <c r="E113" s="330" t="s">
        <v>876</v>
      </c>
      <c r="F113" s="331" t="s">
        <v>877</v>
      </c>
      <c r="G113" s="330" t="s">
        <v>682</v>
      </c>
      <c r="H113" s="330" t="s">
        <v>683</v>
      </c>
      <c r="I113" s="332">
        <v>99.35</v>
      </c>
      <c r="J113" s="332">
        <v>144</v>
      </c>
      <c r="K113" s="333">
        <v>14306.32</v>
      </c>
    </row>
    <row r="114" spans="1:11" ht="14.4" customHeight="1" x14ac:dyDescent="0.3">
      <c r="A114" s="328" t="s">
        <v>359</v>
      </c>
      <c r="B114" s="329" t="s">
        <v>458</v>
      </c>
      <c r="C114" s="330" t="s">
        <v>364</v>
      </c>
      <c r="D114" s="331" t="s">
        <v>459</v>
      </c>
      <c r="E114" s="330" t="s">
        <v>876</v>
      </c>
      <c r="F114" s="331" t="s">
        <v>877</v>
      </c>
      <c r="G114" s="330" t="s">
        <v>684</v>
      </c>
      <c r="H114" s="330" t="s">
        <v>685</v>
      </c>
      <c r="I114" s="332">
        <v>30.320000000000004</v>
      </c>
      <c r="J114" s="332">
        <v>2160</v>
      </c>
      <c r="K114" s="333">
        <v>65486.53</v>
      </c>
    </row>
    <row r="115" spans="1:11" ht="14.4" customHeight="1" x14ac:dyDescent="0.3">
      <c r="A115" s="328" t="s">
        <v>359</v>
      </c>
      <c r="B115" s="329" t="s">
        <v>458</v>
      </c>
      <c r="C115" s="330" t="s">
        <v>364</v>
      </c>
      <c r="D115" s="331" t="s">
        <v>459</v>
      </c>
      <c r="E115" s="330" t="s">
        <v>876</v>
      </c>
      <c r="F115" s="331" t="s">
        <v>877</v>
      </c>
      <c r="G115" s="330" t="s">
        <v>686</v>
      </c>
      <c r="H115" s="330" t="s">
        <v>687</v>
      </c>
      <c r="I115" s="332">
        <v>32.409999999999997</v>
      </c>
      <c r="J115" s="332">
        <v>600</v>
      </c>
      <c r="K115" s="333">
        <v>19445.349999999999</v>
      </c>
    </row>
    <row r="116" spans="1:11" ht="14.4" customHeight="1" x14ac:dyDescent="0.3">
      <c r="A116" s="328" t="s">
        <v>359</v>
      </c>
      <c r="B116" s="329" t="s">
        <v>458</v>
      </c>
      <c r="C116" s="330" t="s">
        <v>364</v>
      </c>
      <c r="D116" s="331" t="s">
        <v>459</v>
      </c>
      <c r="E116" s="330" t="s">
        <v>876</v>
      </c>
      <c r="F116" s="331" t="s">
        <v>877</v>
      </c>
      <c r="G116" s="330" t="s">
        <v>688</v>
      </c>
      <c r="H116" s="330" t="s">
        <v>689</v>
      </c>
      <c r="I116" s="332">
        <v>151.28</v>
      </c>
      <c r="J116" s="332">
        <v>36</v>
      </c>
      <c r="K116" s="333">
        <v>5446.11</v>
      </c>
    </row>
    <row r="117" spans="1:11" ht="14.4" customHeight="1" x14ac:dyDescent="0.3">
      <c r="A117" s="328" t="s">
        <v>359</v>
      </c>
      <c r="B117" s="329" t="s">
        <v>458</v>
      </c>
      <c r="C117" s="330" t="s">
        <v>364</v>
      </c>
      <c r="D117" s="331" t="s">
        <v>459</v>
      </c>
      <c r="E117" s="330" t="s">
        <v>876</v>
      </c>
      <c r="F117" s="331" t="s">
        <v>877</v>
      </c>
      <c r="G117" s="330" t="s">
        <v>690</v>
      </c>
      <c r="H117" s="330" t="s">
        <v>691</v>
      </c>
      <c r="I117" s="332">
        <v>45.38</v>
      </c>
      <c r="J117" s="332">
        <v>144</v>
      </c>
      <c r="K117" s="333">
        <v>6534.58</v>
      </c>
    </row>
    <row r="118" spans="1:11" ht="14.4" customHeight="1" x14ac:dyDescent="0.3">
      <c r="A118" s="328" t="s">
        <v>359</v>
      </c>
      <c r="B118" s="329" t="s">
        <v>458</v>
      </c>
      <c r="C118" s="330" t="s">
        <v>364</v>
      </c>
      <c r="D118" s="331" t="s">
        <v>459</v>
      </c>
      <c r="E118" s="330" t="s">
        <v>876</v>
      </c>
      <c r="F118" s="331" t="s">
        <v>877</v>
      </c>
      <c r="G118" s="330" t="s">
        <v>692</v>
      </c>
      <c r="H118" s="330" t="s">
        <v>693</v>
      </c>
      <c r="I118" s="332">
        <v>97.83</v>
      </c>
      <c r="J118" s="332">
        <v>60</v>
      </c>
      <c r="K118" s="333">
        <v>5869.95</v>
      </c>
    </row>
    <row r="119" spans="1:11" ht="14.4" customHeight="1" x14ac:dyDescent="0.3">
      <c r="A119" s="328" t="s">
        <v>359</v>
      </c>
      <c r="B119" s="329" t="s">
        <v>458</v>
      </c>
      <c r="C119" s="330" t="s">
        <v>364</v>
      </c>
      <c r="D119" s="331" t="s">
        <v>459</v>
      </c>
      <c r="E119" s="330" t="s">
        <v>876</v>
      </c>
      <c r="F119" s="331" t="s">
        <v>877</v>
      </c>
      <c r="G119" s="330" t="s">
        <v>694</v>
      </c>
      <c r="H119" s="330" t="s">
        <v>695</v>
      </c>
      <c r="I119" s="332">
        <v>54.11</v>
      </c>
      <c r="J119" s="332">
        <v>36</v>
      </c>
      <c r="K119" s="333">
        <v>1947.87</v>
      </c>
    </row>
    <row r="120" spans="1:11" ht="14.4" customHeight="1" x14ac:dyDescent="0.3">
      <c r="A120" s="328" t="s">
        <v>359</v>
      </c>
      <c r="B120" s="329" t="s">
        <v>458</v>
      </c>
      <c r="C120" s="330" t="s">
        <v>364</v>
      </c>
      <c r="D120" s="331" t="s">
        <v>459</v>
      </c>
      <c r="E120" s="330" t="s">
        <v>876</v>
      </c>
      <c r="F120" s="331" t="s">
        <v>877</v>
      </c>
      <c r="G120" s="330" t="s">
        <v>696</v>
      </c>
      <c r="H120" s="330" t="s">
        <v>697</v>
      </c>
      <c r="I120" s="332">
        <v>357.95</v>
      </c>
      <c r="J120" s="332">
        <v>300</v>
      </c>
      <c r="K120" s="333">
        <v>107385</v>
      </c>
    </row>
    <row r="121" spans="1:11" ht="14.4" customHeight="1" x14ac:dyDescent="0.3">
      <c r="A121" s="328" t="s">
        <v>359</v>
      </c>
      <c r="B121" s="329" t="s">
        <v>458</v>
      </c>
      <c r="C121" s="330" t="s">
        <v>364</v>
      </c>
      <c r="D121" s="331" t="s">
        <v>459</v>
      </c>
      <c r="E121" s="330" t="s">
        <v>876</v>
      </c>
      <c r="F121" s="331" t="s">
        <v>877</v>
      </c>
      <c r="G121" s="330" t="s">
        <v>698</v>
      </c>
      <c r="H121" s="330" t="s">
        <v>699</v>
      </c>
      <c r="I121" s="332">
        <v>141.19999999999999</v>
      </c>
      <c r="J121" s="332">
        <v>48</v>
      </c>
      <c r="K121" s="333">
        <v>6777.64</v>
      </c>
    </row>
    <row r="122" spans="1:11" ht="14.4" customHeight="1" x14ac:dyDescent="0.3">
      <c r="A122" s="328" t="s">
        <v>359</v>
      </c>
      <c r="B122" s="329" t="s">
        <v>458</v>
      </c>
      <c r="C122" s="330" t="s">
        <v>364</v>
      </c>
      <c r="D122" s="331" t="s">
        <v>459</v>
      </c>
      <c r="E122" s="330" t="s">
        <v>876</v>
      </c>
      <c r="F122" s="331" t="s">
        <v>877</v>
      </c>
      <c r="G122" s="330" t="s">
        <v>700</v>
      </c>
      <c r="H122" s="330" t="s">
        <v>701</v>
      </c>
      <c r="I122" s="332">
        <v>263.54000000000002</v>
      </c>
      <c r="J122" s="332">
        <v>12</v>
      </c>
      <c r="K122" s="333">
        <v>3162.47</v>
      </c>
    </row>
    <row r="123" spans="1:11" ht="14.4" customHeight="1" x14ac:dyDescent="0.3">
      <c r="A123" s="328" t="s">
        <v>359</v>
      </c>
      <c r="B123" s="329" t="s">
        <v>458</v>
      </c>
      <c r="C123" s="330" t="s">
        <v>364</v>
      </c>
      <c r="D123" s="331" t="s">
        <v>459</v>
      </c>
      <c r="E123" s="330" t="s">
        <v>876</v>
      </c>
      <c r="F123" s="331" t="s">
        <v>877</v>
      </c>
      <c r="G123" s="330" t="s">
        <v>702</v>
      </c>
      <c r="H123" s="330" t="s">
        <v>703</v>
      </c>
      <c r="I123" s="332">
        <v>77.02</v>
      </c>
      <c r="J123" s="332">
        <v>144</v>
      </c>
      <c r="K123" s="333">
        <v>11090.23</v>
      </c>
    </row>
    <row r="124" spans="1:11" ht="14.4" customHeight="1" x14ac:dyDescent="0.3">
      <c r="A124" s="328" t="s">
        <v>359</v>
      </c>
      <c r="B124" s="329" t="s">
        <v>458</v>
      </c>
      <c r="C124" s="330" t="s">
        <v>364</v>
      </c>
      <c r="D124" s="331" t="s">
        <v>459</v>
      </c>
      <c r="E124" s="330" t="s">
        <v>876</v>
      </c>
      <c r="F124" s="331" t="s">
        <v>877</v>
      </c>
      <c r="G124" s="330" t="s">
        <v>704</v>
      </c>
      <c r="H124" s="330" t="s">
        <v>705</v>
      </c>
      <c r="I124" s="332">
        <v>42.67</v>
      </c>
      <c r="J124" s="332">
        <v>48</v>
      </c>
      <c r="K124" s="333">
        <v>2047.92</v>
      </c>
    </row>
    <row r="125" spans="1:11" ht="14.4" customHeight="1" x14ac:dyDescent="0.3">
      <c r="A125" s="328" t="s">
        <v>359</v>
      </c>
      <c r="B125" s="329" t="s">
        <v>458</v>
      </c>
      <c r="C125" s="330" t="s">
        <v>364</v>
      </c>
      <c r="D125" s="331" t="s">
        <v>459</v>
      </c>
      <c r="E125" s="330" t="s">
        <v>876</v>
      </c>
      <c r="F125" s="331" t="s">
        <v>877</v>
      </c>
      <c r="G125" s="330" t="s">
        <v>706</v>
      </c>
      <c r="H125" s="330" t="s">
        <v>707</v>
      </c>
      <c r="I125" s="332">
        <v>50.12</v>
      </c>
      <c r="J125" s="332">
        <v>108</v>
      </c>
      <c r="K125" s="333">
        <v>5412.64</v>
      </c>
    </row>
    <row r="126" spans="1:11" ht="14.4" customHeight="1" x14ac:dyDescent="0.3">
      <c r="A126" s="328" t="s">
        <v>359</v>
      </c>
      <c r="B126" s="329" t="s">
        <v>458</v>
      </c>
      <c r="C126" s="330" t="s">
        <v>364</v>
      </c>
      <c r="D126" s="331" t="s">
        <v>459</v>
      </c>
      <c r="E126" s="330" t="s">
        <v>876</v>
      </c>
      <c r="F126" s="331" t="s">
        <v>877</v>
      </c>
      <c r="G126" s="330" t="s">
        <v>708</v>
      </c>
      <c r="H126" s="330" t="s">
        <v>709</v>
      </c>
      <c r="I126" s="332">
        <v>31.36</v>
      </c>
      <c r="J126" s="332">
        <v>1440</v>
      </c>
      <c r="K126" s="333">
        <v>45163.270000000004</v>
      </c>
    </row>
    <row r="127" spans="1:11" ht="14.4" customHeight="1" x14ac:dyDescent="0.3">
      <c r="A127" s="328" t="s">
        <v>359</v>
      </c>
      <c r="B127" s="329" t="s">
        <v>458</v>
      </c>
      <c r="C127" s="330" t="s">
        <v>364</v>
      </c>
      <c r="D127" s="331" t="s">
        <v>459</v>
      </c>
      <c r="E127" s="330" t="s">
        <v>876</v>
      </c>
      <c r="F127" s="331" t="s">
        <v>877</v>
      </c>
      <c r="G127" s="330" t="s">
        <v>710</v>
      </c>
      <c r="H127" s="330" t="s">
        <v>711</v>
      </c>
      <c r="I127" s="332">
        <v>161.16999999999999</v>
      </c>
      <c r="J127" s="332">
        <v>144</v>
      </c>
      <c r="K127" s="333">
        <v>23208.5</v>
      </c>
    </row>
    <row r="128" spans="1:11" ht="14.4" customHeight="1" x14ac:dyDescent="0.3">
      <c r="A128" s="328" t="s">
        <v>359</v>
      </c>
      <c r="B128" s="329" t="s">
        <v>458</v>
      </c>
      <c r="C128" s="330" t="s">
        <v>364</v>
      </c>
      <c r="D128" s="331" t="s">
        <v>459</v>
      </c>
      <c r="E128" s="330" t="s">
        <v>876</v>
      </c>
      <c r="F128" s="331" t="s">
        <v>877</v>
      </c>
      <c r="G128" s="330" t="s">
        <v>712</v>
      </c>
      <c r="H128" s="330" t="s">
        <v>713</v>
      </c>
      <c r="I128" s="332">
        <v>129.63999999999999</v>
      </c>
      <c r="J128" s="332">
        <v>288</v>
      </c>
      <c r="K128" s="333">
        <v>37337.019999999997</v>
      </c>
    </row>
    <row r="129" spans="1:11" ht="14.4" customHeight="1" x14ac:dyDescent="0.3">
      <c r="A129" s="328" t="s">
        <v>359</v>
      </c>
      <c r="B129" s="329" t="s">
        <v>458</v>
      </c>
      <c r="C129" s="330" t="s">
        <v>364</v>
      </c>
      <c r="D129" s="331" t="s">
        <v>459</v>
      </c>
      <c r="E129" s="330" t="s">
        <v>876</v>
      </c>
      <c r="F129" s="331" t="s">
        <v>877</v>
      </c>
      <c r="G129" s="330" t="s">
        <v>714</v>
      </c>
      <c r="H129" s="330" t="s">
        <v>715</v>
      </c>
      <c r="I129" s="332">
        <v>146.93</v>
      </c>
      <c r="J129" s="332">
        <v>72</v>
      </c>
      <c r="K129" s="333">
        <v>10579.29</v>
      </c>
    </row>
    <row r="130" spans="1:11" ht="14.4" customHeight="1" x14ac:dyDescent="0.3">
      <c r="A130" s="328" t="s">
        <v>359</v>
      </c>
      <c r="B130" s="329" t="s">
        <v>458</v>
      </c>
      <c r="C130" s="330" t="s">
        <v>364</v>
      </c>
      <c r="D130" s="331" t="s">
        <v>459</v>
      </c>
      <c r="E130" s="330" t="s">
        <v>876</v>
      </c>
      <c r="F130" s="331" t="s">
        <v>877</v>
      </c>
      <c r="G130" s="330" t="s">
        <v>716</v>
      </c>
      <c r="H130" s="330" t="s">
        <v>717</v>
      </c>
      <c r="I130" s="332">
        <v>131.68</v>
      </c>
      <c r="J130" s="332">
        <v>72</v>
      </c>
      <c r="K130" s="333">
        <v>9480.74</v>
      </c>
    </row>
    <row r="131" spans="1:11" ht="14.4" customHeight="1" x14ac:dyDescent="0.3">
      <c r="A131" s="328" t="s">
        <v>359</v>
      </c>
      <c r="B131" s="329" t="s">
        <v>458</v>
      </c>
      <c r="C131" s="330" t="s">
        <v>364</v>
      </c>
      <c r="D131" s="331" t="s">
        <v>459</v>
      </c>
      <c r="E131" s="330" t="s">
        <v>876</v>
      </c>
      <c r="F131" s="331" t="s">
        <v>877</v>
      </c>
      <c r="G131" s="330" t="s">
        <v>718</v>
      </c>
      <c r="H131" s="330" t="s">
        <v>719</v>
      </c>
      <c r="I131" s="332">
        <v>189.47</v>
      </c>
      <c r="J131" s="332">
        <v>48</v>
      </c>
      <c r="K131" s="333">
        <v>9094.57</v>
      </c>
    </row>
    <row r="132" spans="1:11" ht="14.4" customHeight="1" x14ac:dyDescent="0.3">
      <c r="A132" s="328" t="s">
        <v>359</v>
      </c>
      <c r="B132" s="329" t="s">
        <v>458</v>
      </c>
      <c r="C132" s="330" t="s">
        <v>364</v>
      </c>
      <c r="D132" s="331" t="s">
        <v>459</v>
      </c>
      <c r="E132" s="330" t="s">
        <v>876</v>
      </c>
      <c r="F132" s="331" t="s">
        <v>877</v>
      </c>
      <c r="G132" s="330" t="s">
        <v>720</v>
      </c>
      <c r="H132" s="330" t="s">
        <v>721</v>
      </c>
      <c r="I132" s="332">
        <v>44.53</v>
      </c>
      <c r="J132" s="332">
        <v>288</v>
      </c>
      <c r="K132" s="333">
        <v>12824.06</v>
      </c>
    </row>
    <row r="133" spans="1:11" ht="14.4" customHeight="1" x14ac:dyDescent="0.3">
      <c r="A133" s="328" t="s">
        <v>359</v>
      </c>
      <c r="B133" s="329" t="s">
        <v>458</v>
      </c>
      <c r="C133" s="330" t="s">
        <v>364</v>
      </c>
      <c r="D133" s="331" t="s">
        <v>459</v>
      </c>
      <c r="E133" s="330" t="s">
        <v>876</v>
      </c>
      <c r="F133" s="331" t="s">
        <v>877</v>
      </c>
      <c r="G133" s="330" t="s">
        <v>722</v>
      </c>
      <c r="H133" s="330" t="s">
        <v>723</v>
      </c>
      <c r="I133" s="332">
        <v>263.54000000000002</v>
      </c>
      <c r="J133" s="332">
        <v>36</v>
      </c>
      <c r="K133" s="333">
        <v>9487.4</v>
      </c>
    </row>
    <row r="134" spans="1:11" ht="14.4" customHeight="1" x14ac:dyDescent="0.3">
      <c r="A134" s="328" t="s">
        <v>359</v>
      </c>
      <c r="B134" s="329" t="s">
        <v>458</v>
      </c>
      <c r="C134" s="330" t="s">
        <v>364</v>
      </c>
      <c r="D134" s="331" t="s">
        <v>459</v>
      </c>
      <c r="E134" s="330" t="s">
        <v>876</v>
      </c>
      <c r="F134" s="331" t="s">
        <v>877</v>
      </c>
      <c r="G134" s="330" t="s">
        <v>724</v>
      </c>
      <c r="H134" s="330" t="s">
        <v>725</v>
      </c>
      <c r="I134" s="332">
        <v>86.25</v>
      </c>
      <c r="J134" s="332">
        <v>216</v>
      </c>
      <c r="K134" s="333">
        <v>18630</v>
      </c>
    </row>
    <row r="135" spans="1:11" ht="14.4" customHeight="1" x14ac:dyDescent="0.3">
      <c r="A135" s="328" t="s">
        <v>359</v>
      </c>
      <c r="B135" s="329" t="s">
        <v>458</v>
      </c>
      <c r="C135" s="330" t="s">
        <v>364</v>
      </c>
      <c r="D135" s="331" t="s">
        <v>459</v>
      </c>
      <c r="E135" s="330" t="s">
        <v>876</v>
      </c>
      <c r="F135" s="331" t="s">
        <v>877</v>
      </c>
      <c r="G135" s="330" t="s">
        <v>726</v>
      </c>
      <c r="H135" s="330" t="s">
        <v>727</v>
      </c>
      <c r="I135" s="332">
        <v>75.040000000000006</v>
      </c>
      <c r="J135" s="332">
        <v>216</v>
      </c>
      <c r="K135" s="333">
        <v>16208.1</v>
      </c>
    </row>
    <row r="136" spans="1:11" ht="14.4" customHeight="1" x14ac:dyDescent="0.3">
      <c r="A136" s="328" t="s">
        <v>359</v>
      </c>
      <c r="B136" s="329" t="s">
        <v>458</v>
      </c>
      <c r="C136" s="330" t="s">
        <v>364</v>
      </c>
      <c r="D136" s="331" t="s">
        <v>459</v>
      </c>
      <c r="E136" s="330" t="s">
        <v>876</v>
      </c>
      <c r="F136" s="331" t="s">
        <v>877</v>
      </c>
      <c r="G136" s="330" t="s">
        <v>728</v>
      </c>
      <c r="H136" s="330" t="s">
        <v>729</v>
      </c>
      <c r="I136" s="332">
        <v>177.26</v>
      </c>
      <c r="J136" s="332">
        <v>72</v>
      </c>
      <c r="K136" s="333">
        <v>12763</v>
      </c>
    </row>
    <row r="137" spans="1:11" ht="14.4" customHeight="1" x14ac:dyDescent="0.3">
      <c r="A137" s="328" t="s">
        <v>359</v>
      </c>
      <c r="B137" s="329" t="s">
        <v>458</v>
      </c>
      <c r="C137" s="330" t="s">
        <v>364</v>
      </c>
      <c r="D137" s="331" t="s">
        <v>459</v>
      </c>
      <c r="E137" s="330" t="s">
        <v>878</v>
      </c>
      <c r="F137" s="331" t="s">
        <v>879</v>
      </c>
      <c r="G137" s="330" t="s">
        <v>730</v>
      </c>
      <c r="H137" s="330" t="s">
        <v>731</v>
      </c>
      <c r="I137" s="332">
        <v>0.3</v>
      </c>
      <c r="J137" s="332">
        <v>100</v>
      </c>
      <c r="K137" s="333">
        <v>30</v>
      </c>
    </row>
    <row r="138" spans="1:11" ht="14.4" customHeight="1" x14ac:dyDescent="0.3">
      <c r="A138" s="328" t="s">
        <v>359</v>
      </c>
      <c r="B138" s="329" t="s">
        <v>458</v>
      </c>
      <c r="C138" s="330" t="s">
        <v>364</v>
      </c>
      <c r="D138" s="331" t="s">
        <v>459</v>
      </c>
      <c r="E138" s="330" t="s">
        <v>878</v>
      </c>
      <c r="F138" s="331" t="s">
        <v>879</v>
      </c>
      <c r="G138" s="330" t="s">
        <v>732</v>
      </c>
      <c r="H138" s="330" t="s">
        <v>733</v>
      </c>
      <c r="I138" s="332">
        <v>0.31</v>
      </c>
      <c r="J138" s="332">
        <v>100</v>
      </c>
      <c r="K138" s="333">
        <v>31</v>
      </c>
    </row>
    <row r="139" spans="1:11" ht="14.4" customHeight="1" x14ac:dyDescent="0.3">
      <c r="A139" s="328" t="s">
        <v>359</v>
      </c>
      <c r="B139" s="329" t="s">
        <v>458</v>
      </c>
      <c r="C139" s="330" t="s">
        <v>364</v>
      </c>
      <c r="D139" s="331" t="s">
        <v>459</v>
      </c>
      <c r="E139" s="330" t="s">
        <v>878</v>
      </c>
      <c r="F139" s="331" t="s">
        <v>879</v>
      </c>
      <c r="G139" s="330" t="s">
        <v>734</v>
      </c>
      <c r="H139" s="330" t="s">
        <v>735</v>
      </c>
      <c r="I139" s="332">
        <v>10.984999999999999</v>
      </c>
      <c r="J139" s="332">
        <v>130</v>
      </c>
      <c r="K139" s="333">
        <v>1427.92</v>
      </c>
    </row>
    <row r="140" spans="1:11" ht="14.4" customHeight="1" x14ac:dyDescent="0.3">
      <c r="A140" s="328" t="s">
        <v>359</v>
      </c>
      <c r="B140" s="329" t="s">
        <v>458</v>
      </c>
      <c r="C140" s="330" t="s">
        <v>364</v>
      </c>
      <c r="D140" s="331" t="s">
        <v>459</v>
      </c>
      <c r="E140" s="330" t="s">
        <v>878</v>
      </c>
      <c r="F140" s="331" t="s">
        <v>879</v>
      </c>
      <c r="G140" s="330" t="s">
        <v>736</v>
      </c>
      <c r="H140" s="330" t="s">
        <v>737</v>
      </c>
      <c r="I140" s="332">
        <v>10.984999999999999</v>
      </c>
      <c r="J140" s="332">
        <v>110</v>
      </c>
      <c r="K140" s="333">
        <v>1208.5999999999999</v>
      </c>
    </row>
    <row r="141" spans="1:11" ht="14.4" customHeight="1" x14ac:dyDescent="0.3">
      <c r="A141" s="328" t="s">
        <v>359</v>
      </c>
      <c r="B141" s="329" t="s">
        <v>458</v>
      </c>
      <c r="C141" s="330" t="s">
        <v>364</v>
      </c>
      <c r="D141" s="331" t="s">
        <v>459</v>
      </c>
      <c r="E141" s="330" t="s">
        <v>878</v>
      </c>
      <c r="F141" s="331" t="s">
        <v>879</v>
      </c>
      <c r="G141" s="330" t="s">
        <v>738</v>
      </c>
      <c r="H141" s="330" t="s">
        <v>739</v>
      </c>
      <c r="I141" s="332">
        <v>10.99</v>
      </c>
      <c r="J141" s="332">
        <v>120</v>
      </c>
      <c r="K141" s="333">
        <v>1318.41</v>
      </c>
    </row>
    <row r="142" spans="1:11" ht="14.4" customHeight="1" x14ac:dyDescent="0.3">
      <c r="A142" s="328" t="s">
        <v>359</v>
      </c>
      <c r="B142" s="329" t="s">
        <v>458</v>
      </c>
      <c r="C142" s="330" t="s">
        <v>364</v>
      </c>
      <c r="D142" s="331" t="s">
        <v>459</v>
      </c>
      <c r="E142" s="330" t="s">
        <v>878</v>
      </c>
      <c r="F142" s="331" t="s">
        <v>879</v>
      </c>
      <c r="G142" s="330" t="s">
        <v>740</v>
      </c>
      <c r="H142" s="330" t="s">
        <v>741</v>
      </c>
      <c r="I142" s="332">
        <v>10.99</v>
      </c>
      <c r="J142" s="332">
        <v>120</v>
      </c>
      <c r="K142" s="333">
        <v>1318.41</v>
      </c>
    </row>
    <row r="143" spans="1:11" ht="14.4" customHeight="1" x14ac:dyDescent="0.3">
      <c r="A143" s="328" t="s">
        <v>359</v>
      </c>
      <c r="B143" s="329" t="s">
        <v>458</v>
      </c>
      <c r="C143" s="330" t="s">
        <v>364</v>
      </c>
      <c r="D143" s="331" t="s">
        <v>459</v>
      </c>
      <c r="E143" s="330" t="s">
        <v>878</v>
      </c>
      <c r="F143" s="331" t="s">
        <v>879</v>
      </c>
      <c r="G143" s="330" t="s">
        <v>742</v>
      </c>
      <c r="H143" s="330" t="s">
        <v>743</v>
      </c>
      <c r="I143" s="332">
        <v>10.16</v>
      </c>
      <c r="J143" s="332">
        <v>30</v>
      </c>
      <c r="K143" s="333">
        <v>304.89999999999998</v>
      </c>
    </row>
    <row r="144" spans="1:11" ht="14.4" customHeight="1" x14ac:dyDescent="0.3">
      <c r="A144" s="328" t="s">
        <v>359</v>
      </c>
      <c r="B144" s="329" t="s">
        <v>458</v>
      </c>
      <c r="C144" s="330" t="s">
        <v>364</v>
      </c>
      <c r="D144" s="331" t="s">
        <v>459</v>
      </c>
      <c r="E144" s="330" t="s">
        <v>878</v>
      </c>
      <c r="F144" s="331" t="s">
        <v>879</v>
      </c>
      <c r="G144" s="330" t="s">
        <v>744</v>
      </c>
      <c r="H144" s="330" t="s">
        <v>745</v>
      </c>
      <c r="I144" s="332">
        <v>10.455</v>
      </c>
      <c r="J144" s="332">
        <v>130</v>
      </c>
      <c r="K144" s="333">
        <v>1359.56</v>
      </c>
    </row>
    <row r="145" spans="1:11" ht="14.4" customHeight="1" x14ac:dyDescent="0.3">
      <c r="A145" s="328" t="s">
        <v>359</v>
      </c>
      <c r="B145" s="329" t="s">
        <v>458</v>
      </c>
      <c r="C145" s="330" t="s">
        <v>364</v>
      </c>
      <c r="D145" s="331" t="s">
        <v>459</v>
      </c>
      <c r="E145" s="330" t="s">
        <v>878</v>
      </c>
      <c r="F145" s="331" t="s">
        <v>879</v>
      </c>
      <c r="G145" s="330" t="s">
        <v>746</v>
      </c>
      <c r="H145" s="330" t="s">
        <v>747</v>
      </c>
      <c r="I145" s="332">
        <v>10.983333333333334</v>
      </c>
      <c r="J145" s="332">
        <v>170</v>
      </c>
      <c r="K145" s="333">
        <v>1867.29</v>
      </c>
    </row>
    <row r="146" spans="1:11" ht="14.4" customHeight="1" x14ac:dyDescent="0.3">
      <c r="A146" s="328" t="s">
        <v>359</v>
      </c>
      <c r="B146" s="329" t="s">
        <v>458</v>
      </c>
      <c r="C146" s="330" t="s">
        <v>364</v>
      </c>
      <c r="D146" s="331" t="s">
        <v>459</v>
      </c>
      <c r="E146" s="330" t="s">
        <v>878</v>
      </c>
      <c r="F146" s="331" t="s">
        <v>879</v>
      </c>
      <c r="G146" s="330" t="s">
        <v>748</v>
      </c>
      <c r="H146" s="330" t="s">
        <v>749</v>
      </c>
      <c r="I146" s="332">
        <v>0.31</v>
      </c>
      <c r="J146" s="332">
        <v>100</v>
      </c>
      <c r="K146" s="333">
        <v>31</v>
      </c>
    </row>
    <row r="147" spans="1:11" ht="14.4" customHeight="1" x14ac:dyDescent="0.3">
      <c r="A147" s="328" t="s">
        <v>359</v>
      </c>
      <c r="B147" s="329" t="s">
        <v>458</v>
      </c>
      <c r="C147" s="330" t="s">
        <v>364</v>
      </c>
      <c r="D147" s="331" t="s">
        <v>459</v>
      </c>
      <c r="E147" s="330" t="s">
        <v>878</v>
      </c>
      <c r="F147" s="331" t="s">
        <v>879</v>
      </c>
      <c r="G147" s="330" t="s">
        <v>750</v>
      </c>
      <c r="H147" s="330" t="s">
        <v>751</v>
      </c>
      <c r="I147" s="332">
        <v>25.51</v>
      </c>
      <c r="J147" s="332">
        <v>48</v>
      </c>
      <c r="K147" s="333">
        <v>1224.52</v>
      </c>
    </row>
    <row r="148" spans="1:11" ht="14.4" customHeight="1" x14ac:dyDescent="0.3">
      <c r="A148" s="328" t="s">
        <v>359</v>
      </c>
      <c r="B148" s="329" t="s">
        <v>458</v>
      </c>
      <c r="C148" s="330" t="s">
        <v>364</v>
      </c>
      <c r="D148" s="331" t="s">
        <v>459</v>
      </c>
      <c r="E148" s="330" t="s">
        <v>878</v>
      </c>
      <c r="F148" s="331" t="s">
        <v>879</v>
      </c>
      <c r="G148" s="330" t="s">
        <v>752</v>
      </c>
      <c r="H148" s="330" t="s">
        <v>753</v>
      </c>
      <c r="I148" s="332">
        <v>21.68</v>
      </c>
      <c r="J148" s="332">
        <v>48</v>
      </c>
      <c r="K148" s="333">
        <v>1040.5999999999999</v>
      </c>
    </row>
    <row r="149" spans="1:11" ht="14.4" customHeight="1" x14ac:dyDescent="0.3">
      <c r="A149" s="328" t="s">
        <v>359</v>
      </c>
      <c r="B149" s="329" t="s">
        <v>458</v>
      </c>
      <c r="C149" s="330" t="s">
        <v>364</v>
      </c>
      <c r="D149" s="331" t="s">
        <v>459</v>
      </c>
      <c r="E149" s="330" t="s">
        <v>878</v>
      </c>
      <c r="F149" s="331" t="s">
        <v>879</v>
      </c>
      <c r="G149" s="330" t="s">
        <v>754</v>
      </c>
      <c r="H149" s="330" t="s">
        <v>755</v>
      </c>
      <c r="I149" s="332">
        <v>13.21</v>
      </c>
      <c r="J149" s="332">
        <v>50</v>
      </c>
      <c r="K149" s="333">
        <v>660.66</v>
      </c>
    </row>
    <row r="150" spans="1:11" ht="14.4" customHeight="1" x14ac:dyDescent="0.3">
      <c r="A150" s="328" t="s">
        <v>359</v>
      </c>
      <c r="B150" s="329" t="s">
        <v>458</v>
      </c>
      <c r="C150" s="330" t="s">
        <v>364</v>
      </c>
      <c r="D150" s="331" t="s">
        <v>459</v>
      </c>
      <c r="E150" s="330" t="s">
        <v>878</v>
      </c>
      <c r="F150" s="331" t="s">
        <v>879</v>
      </c>
      <c r="G150" s="330" t="s">
        <v>756</v>
      </c>
      <c r="H150" s="330" t="s">
        <v>757</v>
      </c>
      <c r="I150" s="332">
        <v>10.98</v>
      </c>
      <c r="J150" s="332">
        <v>120</v>
      </c>
      <c r="K150" s="333">
        <v>1317.79</v>
      </c>
    </row>
    <row r="151" spans="1:11" ht="14.4" customHeight="1" x14ac:dyDescent="0.3">
      <c r="A151" s="328" t="s">
        <v>359</v>
      </c>
      <c r="B151" s="329" t="s">
        <v>458</v>
      </c>
      <c r="C151" s="330" t="s">
        <v>364</v>
      </c>
      <c r="D151" s="331" t="s">
        <v>459</v>
      </c>
      <c r="E151" s="330" t="s">
        <v>878</v>
      </c>
      <c r="F151" s="331" t="s">
        <v>879</v>
      </c>
      <c r="G151" s="330" t="s">
        <v>758</v>
      </c>
      <c r="H151" s="330" t="s">
        <v>759</v>
      </c>
      <c r="I151" s="332">
        <v>25.51</v>
      </c>
      <c r="J151" s="332">
        <v>48</v>
      </c>
      <c r="K151" s="333">
        <v>1224.52</v>
      </c>
    </row>
    <row r="152" spans="1:11" ht="14.4" customHeight="1" x14ac:dyDescent="0.3">
      <c r="A152" s="328" t="s">
        <v>359</v>
      </c>
      <c r="B152" s="329" t="s">
        <v>458</v>
      </c>
      <c r="C152" s="330" t="s">
        <v>364</v>
      </c>
      <c r="D152" s="331" t="s">
        <v>459</v>
      </c>
      <c r="E152" s="330" t="s">
        <v>878</v>
      </c>
      <c r="F152" s="331" t="s">
        <v>879</v>
      </c>
      <c r="G152" s="330" t="s">
        <v>760</v>
      </c>
      <c r="H152" s="330" t="s">
        <v>761</v>
      </c>
      <c r="I152" s="332">
        <v>25.51</v>
      </c>
      <c r="J152" s="332">
        <v>48</v>
      </c>
      <c r="K152" s="333">
        <v>1224.52</v>
      </c>
    </row>
    <row r="153" spans="1:11" ht="14.4" customHeight="1" x14ac:dyDescent="0.3">
      <c r="A153" s="328" t="s">
        <v>359</v>
      </c>
      <c r="B153" s="329" t="s">
        <v>458</v>
      </c>
      <c r="C153" s="330" t="s">
        <v>364</v>
      </c>
      <c r="D153" s="331" t="s">
        <v>459</v>
      </c>
      <c r="E153" s="330" t="s">
        <v>878</v>
      </c>
      <c r="F153" s="331" t="s">
        <v>879</v>
      </c>
      <c r="G153" s="330" t="s">
        <v>762</v>
      </c>
      <c r="H153" s="330" t="s">
        <v>763</v>
      </c>
      <c r="I153" s="332">
        <v>10.16</v>
      </c>
      <c r="J153" s="332">
        <v>30</v>
      </c>
      <c r="K153" s="333">
        <v>304.89999999999998</v>
      </c>
    </row>
    <row r="154" spans="1:11" ht="14.4" customHeight="1" x14ac:dyDescent="0.3">
      <c r="A154" s="328" t="s">
        <v>359</v>
      </c>
      <c r="B154" s="329" t="s">
        <v>458</v>
      </c>
      <c r="C154" s="330" t="s">
        <v>364</v>
      </c>
      <c r="D154" s="331" t="s">
        <v>459</v>
      </c>
      <c r="E154" s="330" t="s">
        <v>878</v>
      </c>
      <c r="F154" s="331" t="s">
        <v>879</v>
      </c>
      <c r="G154" s="330" t="s">
        <v>764</v>
      </c>
      <c r="H154" s="330" t="s">
        <v>765</v>
      </c>
      <c r="I154" s="332">
        <v>11.36</v>
      </c>
      <c r="J154" s="332">
        <v>50</v>
      </c>
      <c r="K154" s="333">
        <v>568.09</v>
      </c>
    </row>
    <row r="155" spans="1:11" ht="14.4" customHeight="1" x14ac:dyDescent="0.3">
      <c r="A155" s="328" t="s">
        <v>359</v>
      </c>
      <c r="B155" s="329" t="s">
        <v>458</v>
      </c>
      <c r="C155" s="330" t="s">
        <v>364</v>
      </c>
      <c r="D155" s="331" t="s">
        <v>459</v>
      </c>
      <c r="E155" s="330" t="s">
        <v>878</v>
      </c>
      <c r="F155" s="331" t="s">
        <v>879</v>
      </c>
      <c r="G155" s="330" t="s">
        <v>766</v>
      </c>
      <c r="H155" s="330" t="s">
        <v>767</v>
      </c>
      <c r="I155" s="332">
        <v>10.16</v>
      </c>
      <c r="J155" s="332">
        <v>30</v>
      </c>
      <c r="K155" s="333">
        <v>304.89999999999998</v>
      </c>
    </row>
    <row r="156" spans="1:11" ht="14.4" customHeight="1" x14ac:dyDescent="0.3">
      <c r="A156" s="328" t="s">
        <v>359</v>
      </c>
      <c r="B156" s="329" t="s">
        <v>458</v>
      </c>
      <c r="C156" s="330" t="s">
        <v>364</v>
      </c>
      <c r="D156" s="331" t="s">
        <v>459</v>
      </c>
      <c r="E156" s="330" t="s">
        <v>878</v>
      </c>
      <c r="F156" s="331" t="s">
        <v>879</v>
      </c>
      <c r="G156" s="330" t="s">
        <v>768</v>
      </c>
      <c r="H156" s="330" t="s">
        <v>769</v>
      </c>
      <c r="I156" s="332">
        <v>25.51</v>
      </c>
      <c r="J156" s="332">
        <v>48</v>
      </c>
      <c r="K156" s="333">
        <v>1224.52</v>
      </c>
    </row>
    <row r="157" spans="1:11" ht="14.4" customHeight="1" x14ac:dyDescent="0.3">
      <c r="A157" s="328" t="s">
        <v>359</v>
      </c>
      <c r="B157" s="329" t="s">
        <v>458</v>
      </c>
      <c r="C157" s="330" t="s">
        <v>364</v>
      </c>
      <c r="D157" s="331" t="s">
        <v>459</v>
      </c>
      <c r="E157" s="330" t="s">
        <v>880</v>
      </c>
      <c r="F157" s="331" t="s">
        <v>881</v>
      </c>
      <c r="G157" s="330" t="s">
        <v>770</v>
      </c>
      <c r="H157" s="330" t="s">
        <v>771</v>
      </c>
      <c r="I157" s="332">
        <v>11.01</v>
      </c>
      <c r="J157" s="332">
        <v>720</v>
      </c>
      <c r="K157" s="333">
        <v>7927.2000000000007</v>
      </c>
    </row>
    <row r="158" spans="1:11" ht="14.4" customHeight="1" x14ac:dyDescent="0.3">
      <c r="A158" s="328" t="s">
        <v>359</v>
      </c>
      <c r="B158" s="329" t="s">
        <v>458</v>
      </c>
      <c r="C158" s="330" t="s">
        <v>364</v>
      </c>
      <c r="D158" s="331" t="s">
        <v>459</v>
      </c>
      <c r="E158" s="330" t="s">
        <v>880</v>
      </c>
      <c r="F158" s="331" t="s">
        <v>881</v>
      </c>
      <c r="G158" s="330" t="s">
        <v>772</v>
      </c>
      <c r="H158" s="330" t="s">
        <v>773</v>
      </c>
      <c r="I158" s="332">
        <v>11.01</v>
      </c>
      <c r="J158" s="332">
        <v>1920</v>
      </c>
      <c r="K158" s="333">
        <v>21139.200000000001</v>
      </c>
    </row>
    <row r="159" spans="1:11" ht="14.4" customHeight="1" x14ac:dyDescent="0.3">
      <c r="A159" s="328" t="s">
        <v>359</v>
      </c>
      <c r="B159" s="329" t="s">
        <v>458</v>
      </c>
      <c r="C159" s="330" t="s">
        <v>364</v>
      </c>
      <c r="D159" s="331" t="s">
        <v>459</v>
      </c>
      <c r="E159" s="330" t="s">
        <v>880</v>
      </c>
      <c r="F159" s="331" t="s">
        <v>881</v>
      </c>
      <c r="G159" s="330" t="s">
        <v>774</v>
      </c>
      <c r="H159" s="330" t="s">
        <v>775</v>
      </c>
      <c r="I159" s="332">
        <v>11.01</v>
      </c>
      <c r="J159" s="332">
        <v>1200</v>
      </c>
      <c r="K159" s="333">
        <v>13212</v>
      </c>
    </row>
    <row r="160" spans="1:11" ht="14.4" customHeight="1" x14ac:dyDescent="0.3">
      <c r="A160" s="328" t="s">
        <v>359</v>
      </c>
      <c r="B160" s="329" t="s">
        <v>458</v>
      </c>
      <c r="C160" s="330" t="s">
        <v>364</v>
      </c>
      <c r="D160" s="331" t="s">
        <v>459</v>
      </c>
      <c r="E160" s="330" t="s">
        <v>880</v>
      </c>
      <c r="F160" s="331" t="s">
        <v>881</v>
      </c>
      <c r="G160" s="330" t="s">
        <v>776</v>
      </c>
      <c r="H160" s="330" t="s">
        <v>777</v>
      </c>
      <c r="I160" s="332">
        <v>11.011999999999999</v>
      </c>
      <c r="J160" s="332">
        <v>1710</v>
      </c>
      <c r="K160" s="333">
        <v>18828.170000000002</v>
      </c>
    </row>
    <row r="161" spans="1:11" ht="14.4" customHeight="1" x14ac:dyDescent="0.3">
      <c r="A161" s="328" t="s">
        <v>359</v>
      </c>
      <c r="B161" s="329" t="s">
        <v>458</v>
      </c>
      <c r="C161" s="330" t="s">
        <v>364</v>
      </c>
      <c r="D161" s="331" t="s">
        <v>459</v>
      </c>
      <c r="E161" s="330" t="s">
        <v>880</v>
      </c>
      <c r="F161" s="331" t="s">
        <v>881</v>
      </c>
      <c r="G161" s="330" t="s">
        <v>778</v>
      </c>
      <c r="H161" s="330" t="s">
        <v>779</v>
      </c>
      <c r="I161" s="332">
        <v>11.01</v>
      </c>
      <c r="J161" s="332">
        <v>680</v>
      </c>
      <c r="K161" s="333">
        <v>7486.8</v>
      </c>
    </row>
    <row r="162" spans="1:11" ht="14.4" customHeight="1" x14ac:dyDescent="0.3">
      <c r="A162" s="328" t="s">
        <v>359</v>
      </c>
      <c r="B162" s="329" t="s">
        <v>458</v>
      </c>
      <c r="C162" s="330" t="s">
        <v>364</v>
      </c>
      <c r="D162" s="331" t="s">
        <v>459</v>
      </c>
      <c r="E162" s="330" t="s">
        <v>880</v>
      </c>
      <c r="F162" s="331" t="s">
        <v>881</v>
      </c>
      <c r="G162" s="330" t="s">
        <v>780</v>
      </c>
      <c r="H162" s="330" t="s">
        <v>781</v>
      </c>
      <c r="I162" s="332">
        <v>10.55</v>
      </c>
      <c r="J162" s="332">
        <v>320</v>
      </c>
      <c r="K162" s="333">
        <v>3376.5299999999997</v>
      </c>
    </row>
    <row r="163" spans="1:11" ht="14.4" customHeight="1" x14ac:dyDescent="0.3">
      <c r="A163" s="328" t="s">
        <v>359</v>
      </c>
      <c r="B163" s="329" t="s">
        <v>458</v>
      </c>
      <c r="C163" s="330" t="s">
        <v>364</v>
      </c>
      <c r="D163" s="331" t="s">
        <v>459</v>
      </c>
      <c r="E163" s="330" t="s">
        <v>880</v>
      </c>
      <c r="F163" s="331" t="s">
        <v>881</v>
      </c>
      <c r="G163" s="330" t="s">
        <v>782</v>
      </c>
      <c r="H163" s="330" t="s">
        <v>783</v>
      </c>
      <c r="I163" s="332">
        <v>11.01</v>
      </c>
      <c r="J163" s="332">
        <v>80</v>
      </c>
      <c r="K163" s="333">
        <v>880.88</v>
      </c>
    </row>
    <row r="164" spans="1:11" ht="14.4" customHeight="1" x14ac:dyDescent="0.3">
      <c r="A164" s="328" t="s">
        <v>359</v>
      </c>
      <c r="B164" s="329" t="s">
        <v>458</v>
      </c>
      <c r="C164" s="330" t="s">
        <v>364</v>
      </c>
      <c r="D164" s="331" t="s">
        <v>459</v>
      </c>
      <c r="E164" s="330" t="s">
        <v>880</v>
      </c>
      <c r="F164" s="331" t="s">
        <v>881</v>
      </c>
      <c r="G164" s="330" t="s">
        <v>784</v>
      </c>
      <c r="H164" s="330" t="s">
        <v>785</v>
      </c>
      <c r="I164" s="332">
        <v>0.77666666666666673</v>
      </c>
      <c r="J164" s="332">
        <v>11000</v>
      </c>
      <c r="K164" s="333">
        <v>8550</v>
      </c>
    </row>
    <row r="165" spans="1:11" ht="14.4" customHeight="1" x14ac:dyDescent="0.3">
      <c r="A165" s="328" t="s">
        <v>359</v>
      </c>
      <c r="B165" s="329" t="s">
        <v>458</v>
      </c>
      <c r="C165" s="330" t="s">
        <v>369</v>
      </c>
      <c r="D165" s="331" t="s">
        <v>460</v>
      </c>
      <c r="E165" s="330" t="s">
        <v>866</v>
      </c>
      <c r="F165" s="331" t="s">
        <v>867</v>
      </c>
      <c r="G165" s="330" t="s">
        <v>786</v>
      </c>
      <c r="H165" s="330" t="s">
        <v>787</v>
      </c>
      <c r="I165" s="332">
        <v>2.88</v>
      </c>
      <c r="J165" s="332">
        <v>2000</v>
      </c>
      <c r="K165" s="333">
        <v>5750</v>
      </c>
    </row>
    <row r="166" spans="1:11" ht="14.4" customHeight="1" x14ac:dyDescent="0.3">
      <c r="A166" s="328" t="s">
        <v>359</v>
      </c>
      <c r="B166" s="329" t="s">
        <v>458</v>
      </c>
      <c r="C166" s="330" t="s">
        <v>369</v>
      </c>
      <c r="D166" s="331" t="s">
        <v>460</v>
      </c>
      <c r="E166" s="330" t="s">
        <v>866</v>
      </c>
      <c r="F166" s="331" t="s">
        <v>867</v>
      </c>
      <c r="G166" s="330" t="s">
        <v>466</v>
      </c>
      <c r="H166" s="330" t="s">
        <v>467</v>
      </c>
      <c r="I166" s="332">
        <v>5.72</v>
      </c>
      <c r="J166" s="332">
        <v>30</v>
      </c>
      <c r="K166" s="333">
        <v>171.7</v>
      </c>
    </row>
    <row r="167" spans="1:11" ht="14.4" customHeight="1" x14ac:dyDescent="0.3">
      <c r="A167" s="328" t="s">
        <v>359</v>
      </c>
      <c r="B167" s="329" t="s">
        <v>458</v>
      </c>
      <c r="C167" s="330" t="s">
        <v>369</v>
      </c>
      <c r="D167" s="331" t="s">
        <v>460</v>
      </c>
      <c r="E167" s="330" t="s">
        <v>866</v>
      </c>
      <c r="F167" s="331" t="s">
        <v>867</v>
      </c>
      <c r="G167" s="330" t="s">
        <v>788</v>
      </c>
      <c r="H167" s="330" t="s">
        <v>789</v>
      </c>
      <c r="I167" s="332">
        <v>2.39</v>
      </c>
      <c r="J167" s="332">
        <v>20</v>
      </c>
      <c r="K167" s="333">
        <v>47.8</v>
      </c>
    </row>
    <row r="168" spans="1:11" ht="14.4" customHeight="1" x14ac:dyDescent="0.3">
      <c r="A168" s="328" t="s">
        <v>359</v>
      </c>
      <c r="B168" s="329" t="s">
        <v>458</v>
      </c>
      <c r="C168" s="330" t="s">
        <v>369</v>
      </c>
      <c r="D168" s="331" t="s">
        <v>460</v>
      </c>
      <c r="E168" s="330" t="s">
        <v>866</v>
      </c>
      <c r="F168" s="331" t="s">
        <v>867</v>
      </c>
      <c r="G168" s="330" t="s">
        <v>790</v>
      </c>
      <c r="H168" s="330" t="s">
        <v>791</v>
      </c>
      <c r="I168" s="332">
        <v>3.11</v>
      </c>
      <c r="J168" s="332">
        <v>20</v>
      </c>
      <c r="K168" s="333">
        <v>62.2</v>
      </c>
    </row>
    <row r="169" spans="1:11" ht="14.4" customHeight="1" x14ac:dyDescent="0.3">
      <c r="A169" s="328" t="s">
        <v>359</v>
      </c>
      <c r="B169" s="329" t="s">
        <v>458</v>
      </c>
      <c r="C169" s="330" t="s">
        <v>369</v>
      </c>
      <c r="D169" s="331" t="s">
        <v>460</v>
      </c>
      <c r="E169" s="330" t="s">
        <v>866</v>
      </c>
      <c r="F169" s="331" t="s">
        <v>867</v>
      </c>
      <c r="G169" s="330" t="s">
        <v>468</v>
      </c>
      <c r="H169" s="330" t="s">
        <v>469</v>
      </c>
      <c r="I169" s="332">
        <v>3.78</v>
      </c>
      <c r="J169" s="332">
        <v>20</v>
      </c>
      <c r="K169" s="333">
        <v>75.599999999999994</v>
      </c>
    </row>
    <row r="170" spans="1:11" ht="14.4" customHeight="1" x14ac:dyDescent="0.3">
      <c r="A170" s="328" t="s">
        <v>359</v>
      </c>
      <c r="B170" s="329" t="s">
        <v>458</v>
      </c>
      <c r="C170" s="330" t="s">
        <v>369</v>
      </c>
      <c r="D170" s="331" t="s">
        <v>460</v>
      </c>
      <c r="E170" s="330" t="s">
        <v>866</v>
      </c>
      <c r="F170" s="331" t="s">
        <v>867</v>
      </c>
      <c r="G170" s="330" t="s">
        <v>792</v>
      </c>
      <c r="H170" s="330" t="s">
        <v>793</v>
      </c>
      <c r="I170" s="332">
        <v>3.59</v>
      </c>
      <c r="J170" s="332">
        <v>40</v>
      </c>
      <c r="K170" s="333">
        <v>143.6</v>
      </c>
    </row>
    <row r="171" spans="1:11" ht="14.4" customHeight="1" x14ac:dyDescent="0.3">
      <c r="A171" s="328" t="s">
        <v>359</v>
      </c>
      <c r="B171" s="329" t="s">
        <v>458</v>
      </c>
      <c r="C171" s="330" t="s">
        <v>369</v>
      </c>
      <c r="D171" s="331" t="s">
        <v>460</v>
      </c>
      <c r="E171" s="330" t="s">
        <v>866</v>
      </c>
      <c r="F171" s="331" t="s">
        <v>867</v>
      </c>
      <c r="G171" s="330" t="s">
        <v>478</v>
      </c>
      <c r="H171" s="330" t="s">
        <v>479</v>
      </c>
      <c r="I171" s="332">
        <v>27.36</v>
      </c>
      <c r="J171" s="332">
        <v>10</v>
      </c>
      <c r="K171" s="333">
        <v>273.60000000000002</v>
      </c>
    </row>
    <row r="172" spans="1:11" ht="14.4" customHeight="1" x14ac:dyDescent="0.3">
      <c r="A172" s="328" t="s">
        <v>359</v>
      </c>
      <c r="B172" s="329" t="s">
        <v>458</v>
      </c>
      <c r="C172" s="330" t="s">
        <v>369</v>
      </c>
      <c r="D172" s="331" t="s">
        <v>460</v>
      </c>
      <c r="E172" s="330" t="s">
        <v>866</v>
      </c>
      <c r="F172" s="331" t="s">
        <v>867</v>
      </c>
      <c r="G172" s="330" t="s">
        <v>794</v>
      </c>
      <c r="H172" s="330" t="s">
        <v>795</v>
      </c>
      <c r="I172" s="332">
        <v>65.2</v>
      </c>
      <c r="J172" s="332">
        <v>10</v>
      </c>
      <c r="K172" s="333">
        <v>652</v>
      </c>
    </row>
    <row r="173" spans="1:11" ht="14.4" customHeight="1" x14ac:dyDescent="0.3">
      <c r="A173" s="328" t="s">
        <v>359</v>
      </c>
      <c r="B173" s="329" t="s">
        <v>458</v>
      </c>
      <c r="C173" s="330" t="s">
        <v>369</v>
      </c>
      <c r="D173" s="331" t="s">
        <v>460</v>
      </c>
      <c r="E173" s="330" t="s">
        <v>866</v>
      </c>
      <c r="F173" s="331" t="s">
        <v>867</v>
      </c>
      <c r="G173" s="330" t="s">
        <v>796</v>
      </c>
      <c r="H173" s="330" t="s">
        <v>797</v>
      </c>
      <c r="I173" s="332">
        <v>15.53</v>
      </c>
      <c r="J173" s="332">
        <v>10</v>
      </c>
      <c r="K173" s="333">
        <v>155.30000000000001</v>
      </c>
    </row>
    <row r="174" spans="1:11" ht="14.4" customHeight="1" x14ac:dyDescent="0.3">
      <c r="A174" s="328" t="s">
        <v>359</v>
      </c>
      <c r="B174" s="329" t="s">
        <v>458</v>
      </c>
      <c r="C174" s="330" t="s">
        <v>369</v>
      </c>
      <c r="D174" s="331" t="s">
        <v>460</v>
      </c>
      <c r="E174" s="330" t="s">
        <v>866</v>
      </c>
      <c r="F174" s="331" t="s">
        <v>867</v>
      </c>
      <c r="G174" s="330" t="s">
        <v>482</v>
      </c>
      <c r="H174" s="330" t="s">
        <v>483</v>
      </c>
      <c r="I174" s="332">
        <v>26.45</v>
      </c>
      <c r="J174" s="332">
        <v>1600</v>
      </c>
      <c r="K174" s="333">
        <v>42320</v>
      </c>
    </row>
    <row r="175" spans="1:11" ht="14.4" customHeight="1" x14ac:dyDescent="0.3">
      <c r="A175" s="328" t="s">
        <v>359</v>
      </c>
      <c r="B175" s="329" t="s">
        <v>458</v>
      </c>
      <c r="C175" s="330" t="s">
        <v>369</v>
      </c>
      <c r="D175" s="331" t="s">
        <v>460</v>
      </c>
      <c r="E175" s="330" t="s">
        <v>866</v>
      </c>
      <c r="F175" s="331" t="s">
        <v>867</v>
      </c>
      <c r="G175" s="330" t="s">
        <v>798</v>
      </c>
      <c r="H175" s="330" t="s">
        <v>799</v>
      </c>
      <c r="I175" s="332">
        <v>0.3</v>
      </c>
      <c r="J175" s="332">
        <v>900</v>
      </c>
      <c r="K175" s="333">
        <v>274.27999999999997</v>
      </c>
    </row>
    <row r="176" spans="1:11" ht="14.4" customHeight="1" x14ac:dyDescent="0.3">
      <c r="A176" s="328" t="s">
        <v>359</v>
      </c>
      <c r="B176" s="329" t="s">
        <v>458</v>
      </c>
      <c r="C176" s="330" t="s">
        <v>369</v>
      </c>
      <c r="D176" s="331" t="s">
        <v>460</v>
      </c>
      <c r="E176" s="330" t="s">
        <v>866</v>
      </c>
      <c r="F176" s="331" t="s">
        <v>867</v>
      </c>
      <c r="G176" s="330" t="s">
        <v>484</v>
      </c>
      <c r="H176" s="330" t="s">
        <v>485</v>
      </c>
      <c r="I176" s="332">
        <v>0.31</v>
      </c>
      <c r="J176" s="332">
        <v>2000</v>
      </c>
      <c r="K176" s="333">
        <v>620</v>
      </c>
    </row>
    <row r="177" spans="1:11" ht="14.4" customHeight="1" x14ac:dyDescent="0.3">
      <c r="A177" s="328" t="s">
        <v>359</v>
      </c>
      <c r="B177" s="329" t="s">
        <v>458</v>
      </c>
      <c r="C177" s="330" t="s">
        <v>369</v>
      </c>
      <c r="D177" s="331" t="s">
        <v>460</v>
      </c>
      <c r="E177" s="330" t="s">
        <v>866</v>
      </c>
      <c r="F177" s="331" t="s">
        <v>867</v>
      </c>
      <c r="G177" s="330" t="s">
        <v>800</v>
      </c>
      <c r="H177" s="330" t="s">
        <v>801</v>
      </c>
      <c r="I177" s="332">
        <v>61.225000000000001</v>
      </c>
      <c r="J177" s="332">
        <v>6</v>
      </c>
      <c r="K177" s="333">
        <v>367.32</v>
      </c>
    </row>
    <row r="178" spans="1:11" ht="14.4" customHeight="1" x14ac:dyDescent="0.3">
      <c r="A178" s="328" t="s">
        <v>359</v>
      </c>
      <c r="B178" s="329" t="s">
        <v>458</v>
      </c>
      <c r="C178" s="330" t="s">
        <v>369</v>
      </c>
      <c r="D178" s="331" t="s">
        <v>460</v>
      </c>
      <c r="E178" s="330" t="s">
        <v>866</v>
      </c>
      <c r="F178" s="331" t="s">
        <v>867</v>
      </c>
      <c r="G178" s="330" t="s">
        <v>802</v>
      </c>
      <c r="H178" s="330" t="s">
        <v>803</v>
      </c>
      <c r="I178" s="332">
        <v>30.17</v>
      </c>
      <c r="J178" s="332">
        <v>40</v>
      </c>
      <c r="K178" s="333">
        <v>1206.8</v>
      </c>
    </row>
    <row r="179" spans="1:11" ht="14.4" customHeight="1" x14ac:dyDescent="0.3">
      <c r="A179" s="328" t="s">
        <v>359</v>
      </c>
      <c r="B179" s="329" t="s">
        <v>458</v>
      </c>
      <c r="C179" s="330" t="s">
        <v>369</v>
      </c>
      <c r="D179" s="331" t="s">
        <v>460</v>
      </c>
      <c r="E179" s="330" t="s">
        <v>866</v>
      </c>
      <c r="F179" s="331" t="s">
        <v>867</v>
      </c>
      <c r="G179" s="330" t="s">
        <v>804</v>
      </c>
      <c r="H179" s="330" t="s">
        <v>805</v>
      </c>
      <c r="I179" s="332">
        <v>16.100000000000001</v>
      </c>
      <c r="J179" s="332">
        <v>40</v>
      </c>
      <c r="K179" s="333">
        <v>644</v>
      </c>
    </row>
    <row r="180" spans="1:11" ht="14.4" customHeight="1" x14ac:dyDescent="0.3">
      <c r="A180" s="328" t="s">
        <v>359</v>
      </c>
      <c r="B180" s="329" t="s">
        <v>458</v>
      </c>
      <c r="C180" s="330" t="s">
        <v>369</v>
      </c>
      <c r="D180" s="331" t="s">
        <v>460</v>
      </c>
      <c r="E180" s="330" t="s">
        <v>866</v>
      </c>
      <c r="F180" s="331" t="s">
        <v>867</v>
      </c>
      <c r="G180" s="330" t="s">
        <v>492</v>
      </c>
      <c r="H180" s="330" t="s">
        <v>493</v>
      </c>
      <c r="I180" s="332">
        <v>357.46</v>
      </c>
      <c r="J180" s="332">
        <v>24</v>
      </c>
      <c r="K180" s="333">
        <v>8579</v>
      </c>
    </row>
    <row r="181" spans="1:11" ht="14.4" customHeight="1" x14ac:dyDescent="0.3">
      <c r="A181" s="328" t="s">
        <v>359</v>
      </c>
      <c r="B181" s="329" t="s">
        <v>458</v>
      </c>
      <c r="C181" s="330" t="s">
        <v>369</v>
      </c>
      <c r="D181" s="331" t="s">
        <v>460</v>
      </c>
      <c r="E181" s="330" t="s">
        <v>866</v>
      </c>
      <c r="F181" s="331" t="s">
        <v>867</v>
      </c>
      <c r="G181" s="330" t="s">
        <v>498</v>
      </c>
      <c r="H181" s="330" t="s">
        <v>499</v>
      </c>
      <c r="I181" s="332">
        <v>214.05</v>
      </c>
      <c r="J181" s="332">
        <v>8</v>
      </c>
      <c r="K181" s="333">
        <v>1712.4</v>
      </c>
    </row>
    <row r="182" spans="1:11" ht="14.4" customHeight="1" x14ac:dyDescent="0.3">
      <c r="A182" s="328" t="s">
        <v>359</v>
      </c>
      <c r="B182" s="329" t="s">
        <v>458</v>
      </c>
      <c r="C182" s="330" t="s">
        <v>369</v>
      </c>
      <c r="D182" s="331" t="s">
        <v>460</v>
      </c>
      <c r="E182" s="330" t="s">
        <v>866</v>
      </c>
      <c r="F182" s="331" t="s">
        <v>867</v>
      </c>
      <c r="G182" s="330" t="s">
        <v>500</v>
      </c>
      <c r="H182" s="330" t="s">
        <v>501</v>
      </c>
      <c r="I182" s="332">
        <v>0.85</v>
      </c>
      <c r="J182" s="332">
        <v>200</v>
      </c>
      <c r="K182" s="333">
        <v>170</v>
      </c>
    </row>
    <row r="183" spans="1:11" ht="14.4" customHeight="1" x14ac:dyDescent="0.3">
      <c r="A183" s="328" t="s">
        <v>359</v>
      </c>
      <c r="B183" s="329" t="s">
        <v>458</v>
      </c>
      <c r="C183" s="330" t="s">
        <v>369</v>
      </c>
      <c r="D183" s="331" t="s">
        <v>460</v>
      </c>
      <c r="E183" s="330" t="s">
        <v>866</v>
      </c>
      <c r="F183" s="331" t="s">
        <v>867</v>
      </c>
      <c r="G183" s="330" t="s">
        <v>504</v>
      </c>
      <c r="H183" s="330" t="s">
        <v>505</v>
      </c>
      <c r="I183" s="332">
        <v>2.06</v>
      </c>
      <c r="J183" s="332">
        <v>200</v>
      </c>
      <c r="K183" s="333">
        <v>412</v>
      </c>
    </row>
    <row r="184" spans="1:11" ht="14.4" customHeight="1" x14ac:dyDescent="0.3">
      <c r="A184" s="328" t="s">
        <v>359</v>
      </c>
      <c r="B184" s="329" t="s">
        <v>458</v>
      </c>
      <c r="C184" s="330" t="s">
        <v>369</v>
      </c>
      <c r="D184" s="331" t="s">
        <v>460</v>
      </c>
      <c r="E184" s="330" t="s">
        <v>866</v>
      </c>
      <c r="F184" s="331" t="s">
        <v>867</v>
      </c>
      <c r="G184" s="330" t="s">
        <v>506</v>
      </c>
      <c r="H184" s="330" t="s">
        <v>507</v>
      </c>
      <c r="I184" s="332">
        <v>3.36</v>
      </c>
      <c r="J184" s="332">
        <v>200</v>
      </c>
      <c r="K184" s="333">
        <v>672</v>
      </c>
    </row>
    <row r="185" spans="1:11" ht="14.4" customHeight="1" x14ac:dyDescent="0.3">
      <c r="A185" s="328" t="s">
        <v>359</v>
      </c>
      <c r="B185" s="329" t="s">
        <v>458</v>
      </c>
      <c r="C185" s="330" t="s">
        <v>369</v>
      </c>
      <c r="D185" s="331" t="s">
        <v>460</v>
      </c>
      <c r="E185" s="330" t="s">
        <v>866</v>
      </c>
      <c r="F185" s="331" t="s">
        <v>867</v>
      </c>
      <c r="G185" s="330" t="s">
        <v>806</v>
      </c>
      <c r="H185" s="330" t="s">
        <v>807</v>
      </c>
      <c r="I185" s="332">
        <v>110.82</v>
      </c>
      <c r="J185" s="332">
        <v>20</v>
      </c>
      <c r="K185" s="333">
        <v>2216.46</v>
      </c>
    </row>
    <row r="186" spans="1:11" ht="14.4" customHeight="1" x14ac:dyDescent="0.3">
      <c r="A186" s="328" t="s">
        <v>359</v>
      </c>
      <c r="B186" s="329" t="s">
        <v>458</v>
      </c>
      <c r="C186" s="330" t="s">
        <v>369</v>
      </c>
      <c r="D186" s="331" t="s">
        <v>460</v>
      </c>
      <c r="E186" s="330" t="s">
        <v>866</v>
      </c>
      <c r="F186" s="331" t="s">
        <v>867</v>
      </c>
      <c r="G186" s="330" t="s">
        <v>808</v>
      </c>
      <c r="H186" s="330" t="s">
        <v>809</v>
      </c>
      <c r="I186" s="332">
        <v>64.069999999999993</v>
      </c>
      <c r="J186" s="332">
        <v>100</v>
      </c>
      <c r="K186" s="333">
        <v>6403.74</v>
      </c>
    </row>
    <row r="187" spans="1:11" ht="14.4" customHeight="1" x14ac:dyDescent="0.3">
      <c r="A187" s="328" t="s">
        <v>359</v>
      </c>
      <c r="B187" s="329" t="s">
        <v>458</v>
      </c>
      <c r="C187" s="330" t="s">
        <v>369</v>
      </c>
      <c r="D187" s="331" t="s">
        <v>460</v>
      </c>
      <c r="E187" s="330" t="s">
        <v>866</v>
      </c>
      <c r="F187" s="331" t="s">
        <v>867</v>
      </c>
      <c r="G187" s="330" t="s">
        <v>810</v>
      </c>
      <c r="H187" s="330" t="s">
        <v>811</v>
      </c>
      <c r="I187" s="332">
        <v>18.75</v>
      </c>
      <c r="J187" s="332">
        <v>20</v>
      </c>
      <c r="K187" s="333">
        <v>375.06</v>
      </c>
    </row>
    <row r="188" spans="1:11" ht="14.4" customHeight="1" x14ac:dyDescent="0.3">
      <c r="A188" s="328" t="s">
        <v>359</v>
      </c>
      <c r="B188" s="329" t="s">
        <v>458</v>
      </c>
      <c r="C188" s="330" t="s">
        <v>369</v>
      </c>
      <c r="D188" s="331" t="s">
        <v>460</v>
      </c>
      <c r="E188" s="330" t="s">
        <v>866</v>
      </c>
      <c r="F188" s="331" t="s">
        <v>867</v>
      </c>
      <c r="G188" s="330" t="s">
        <v>812</v>
      </c>
      <c r="H188" s="330" t="s">
        <v>813</v>
      </c>
      <c r="I188" s="332">
        <v>1</v>
      </c>
      <c r="J188" s="332">
        <v>1000</v>
      </c>
      <c r="K188" s="333">
        <v>1003.14</v>
      </c>
    </row>
    <row r="189" spans="1:11" ht="14.4" customHeight="1" x14ac:dyDescent="0.3">
      <c r="A189" s="328" t="s">
        <v>359</v>
      </c>
      <c r="B189" s="329" t="s">
        <v>458</v>
      </c>
      <c r="C189" s="330" t="s">
        <v>369</v>
      </c>
      <c r="D189" s="331" t="s">
        <v>460</v>
      </c>
      <c r="E189" s="330" t="s">
        <v>866</v>
      </c>
      <c r="F189" s="331" t="s">
        <v>867</v>
      </c>
      <c r="G189" s="330" t="s">
        <v>814</v>
      </c>
      <c r="H189" s="330" t="s">
        <v>815</v>
      </c>
      <c r="I189" s="332">
        <v>38.4</v>
      </c>
      <c r="J189" s="332">
        <v>40</v>
      </c>
      <c r="K189" s="333">
        <v>1536</v>
      </c>
    </row>
    <row r="190" spans="1:11" ht="14.4" customHeight="1" x14ac:dyDescent="0.3">
      <c r="A190" s="328" t="s">
        <v>359</v>
      </c>
      <c r="B190" s="329" t="s">
        <v>458</v>
      </c>
      <c r="C190" s="330" t="s">
        <v>369</v>
      </c>
      <c r="D190" s="331" t="s">
        <v>460</v>
      </c>
      <c r="E190" s="330" t="s">
        <v>866</v>
      </c>
      <c r="F190" s="331" t="s">
        <v>867</v>
      </c>
      <c r="G190" s="330" t="s">
        <v>516</v>
      </c>
      <c r="H190" s="330" t="s">
        <v>517</v>
      </c>
      <c r="I190" s="332">
        <v>167.83</v>
      </c>
      <c r="J190" s="332">
        <v>15</v>
      </c>
      <c r="K190" s="333">
        <v>2517.4499999999998</v>
      </c>
    </row>
    <row r="191" spans="1:11" ht="14.4" customHeight="1" x14ac:dyDescent="0.3">
      <c r="A191" s="328" t="s">
        <v>359</v>
      </c>
      <c r="B191" s="329" t="s">
        <v>458</v>
      </c>
      <c r="C191" s="330" t="s">
        <v>369</v>
      </c>
      <c r="D191" s="331" t="s">
        <v>460</v>
      </c>
      <c r="E191" s="330" t="s">
        <v>866</v>
      </c>
      <c r="F191" s="331" t="s">
        <v>867</v>
      </c>
      <c r="G191" s="330" t="s">
        <v>816</v>
      </c>
      <c r="H191" s="330" t="s">
        <v>817</v>
      </c>
      <c r="I191" s="332">
        <v>52.92</v>
      </c>
      <c r="J191" s="332">
        <v>50</v>
      </c>
      <c r="K191" s="333">
        <v>2646</v>
      </c>
    </row>
    <row r="192" spans="1:11" ht="14.4" customHeight="1" x14ac:dyDescent="0.3">
      <c r="A192" s="328" t="s">
        <v>359</v>
      </c>
      <c r="B192" s="329" t="s">
        <v>458</v>
      </c>
      <c r="C192" s="330" t="s">
        <v>369</v>
      </c>
      <c r="D192" s="331" t="s">
        <v>460</v>
      </c>
      <c r="E192" s="330" t="s">
        <v>866</v>
      </c>
      <c r="F192" s="331" t="s">
        <v>867</v>
      </c>
      <c r="G192" s="330" t="s">
        <v>818</v>
      </c>
      <c r="H192" s="330" t="s">
        <v>819</v>
      </c>
      <c r="I192" s="332">
        <v>661.25</v>
      </c>
      <c r="J192" s="332">
        <v>10</v>
      </c>
      <c r="K192" s="333">
        <v>6612.5</v>
      </c>
    </row>
    <row r="193" spans="1:11" ht="14.4" customHeight="1" x14ac:dyDescent="0.3">
      <c r="A193" s="328" t="s">
        <v>359</v>
      </c>
      <c r="B193" s="329" t="s">
        <v>458</v>
      </c>
      <c r="C193" s="330" t="s">
        <v>369</v>
      </c>
      <c r="D193" s="331" t="s">
        <v>460</v>
      </c>
      <c r="E193" s="330" t="s">
        <v>866</v>
      </c>
      <c r="F193" s="331" t="s">
        <v>867</v>
      </c>
      <c r="G193" s="330" t="s">
        <v>820</v>
      </c>
      <c r="H193" s="330" t="s">
        <v>821</v>
      </c>
      <c r="I193" s="332">
        <v>138</v>
      </c>
      <c r="J193" s="332">
        <v>15</v>
      </c>
      <c r="K193" s="333">
        <v>2070</v>
      </c>
    </row>
    <row r="194" spans="1:11" ht="14.4" customHeight="1" x14ac:dyDescent="0.3">
      <c r="A194" s="328" t="s">
        <v>359</v>
      </c>
      <c r="B194" s="329" t="s">
        <v>458</v>
      </c>
      <c r="C194" s="330" t="s">
        <v>369</v>
      </c>
      <c r="D194" s="331" t="s">
        <v>460</v>
      </c>
      <c r="E194" s="330" t="s">
        <v>868</v>
      </c>
      <c r="F194" s="331" t="s">
        <v>869</v>
      </c>
      <c r="G194" s="330" t="s">
        <v>822</v>
      </c>
      <c r="H194" s="330" t="s">
        <v>823</v>
      </c>
      <c r="I194" s="332">
        <v>12.72</v>
      </c>
      <c r="J194" s="332">
        <v>200</v>
      </c>
      <c r="K194" s="333">
        <v>2544</v>
      </c>
    </row>
    <row r="195" spans="1:11" ht="14.4" customHeight="1" x14ac:dyDescent="0.3">
      <c r="A195" s="328" t="s">
        <v>359</v>
      </c>
      <c r="B195" s="329" t="s">
        <v>458</v>
      </c>
      <c r="C195" s="330" t="s">
        <v>369</v>
      </c>
      <c r="D195" s="331" t="s">
        <v>460</v>
      </c>
      <c r="E195" s="330" t="s">
        <v>868</v>
      </c>
      <c r="F195" s="331" t="s">
        <v>869</v>
      </c>
      <c r="G195" s="330" t="s">
        <v>528</v>
      </c>
      <c r="H195" s="330" t="s">
        <v>529</v>
      </c>
      <c r="I195" s="332">
        <v>12.73</v>
      </c>
      <c r="J195" s="332">
        <v>300</v>
      </c>
      <c r="K195" s="333">
        <v>3819</v>
      </c>
    </row>
    <row r="196" spans="1:11" ht="14.4" customHeight="1" x14ac:dyDescent="0.3">
      <c r="A196" s="328" t="s">
        <v>359</v>
      </c>
      <c r="B196" s="329" t="s">
        <v>458</v>
      </c>
      <c r="C196" s="330" t="s">
        <v>369</v>
      </c>
      <c r="D196" s="331" t="s">
        <v>460</v>
      </c>
      <c r="E196" s="330" t="s">
        <v>868</v>
      </c>
      <c r="F196" s="331" t="s">
        <v>869</v>
      </c>
      <c r="G196" s="330" t="s">
        <v>824</v>
      </c>
      <c r="H196" s="330" t="s">
        <v>825</v>
      </c>
      <c r="I196" s="332">
        <v>0.57999999999999996</v>
      </c>
      <c r="J196" s="332">
        <v>300</v>
      </c>
      <c r="K196" s="333">
        <v>174</v>
      </c>
    </row>
    <row r="197" spans="1:11" ht="14.4" customHeight="1" x14ac:dyDescent="0.3">
      <c r="A197" s="328" t="s">
        <v>359</v>
      </c>
      <c r="B197" s="329" t="s">
        <v>458</v>
      </c>
      <c r="C197" s="330" t="s">
        <v>369</v>
      </c>
      <c r="D197" s="331" t="s">
        <v>460</v>
      </c>
      <c r="E197" s="330" t="s">
        <v>868</v>
      </c>
      <c r="F197" s="331" t="s">
        <v>869</v>
      </c>
      <c r="G197" s="330" t="s">
        <v>826</v>
      </c>
      <c r="H197" s="330" t="s">
        <v>827</v>
      </c>
      <c r="I197" s="332">
        <v>12.52</v>
      </c>
      <c r="J197" s="332">
        <v>200</v>
      </c>
      <c r="K197" s="333">
        <v>2503.8000000000002</v>
      </c>
    </row>
    <row r="198" spans="1:11" ht="14.4" customHeight="1" x14ac:dyDescent="0.3">
      <c r="A198" s="328" t="s">
        <v>359</v>
      </c>
      <c r="B198" s="329" t="s">
        <v>458</v>
      </c>
      <c r="C198" s="330" t="s">
        <v>369</v>
      </c>
      <c r="D198" s="331" t="s">
        <v>460</v>
      </c>
      <c r="E198" s="330" t="s">
        <v>868</v>
      </c>
      <c r="F198" s="331" t="s">
        <v>869</v>
      </c>
      <c r="G198" s="330" t="s">
        <v>542</v>
      </c>
      <c r="H198" s="330" t="s">
        <v>543</v>
      </c>
      <c r="I198" s="332">
        <v>6.0649999999999995</v>
      </c>
      <c r="J198" s="332">
        <v>60</v>
      </c>
      <c r="K198" s="333">
        <v>363.9</v>
      </c>
    </row>
    <row r="199" spans="1:11" ht="14.4" customHeight="1" x14ac:dyDescent="0.3">
      <c r="A199" s="328" t="s">
        <v>359</v>
      </c>
      <c r="B199" s="329" t="s">
        <v>458</v>
      </c>
      <c r="C199" s="330" t="s">
        <v>369</v>
      </c>
      <c r="D199" s="331" t="s">
        <v>460</v>
      </c>
      <c r="E199" s="330" t="s">
        <v>868</v>
      </c>
      <c r="F199" s="331" t="s">
        <v>869</v>
      </c>
      <c r="G199" s="330" t="s">
        <v>554</v>
      </c>
      <c r="H199" s="330" t="s">
        <v>555</v>
      </c>
      <c r="I199" s="332">
        <v>4.24</v>
      </c>
      <c r="J199" s="332">
        <v>200</v>
      </c>
      <c r="K199" s="333">
        <v>848</v>
      </c>
    </row>
    <row r="200" spans="1:11" ht="14.4" customHeight="1" x14ac:dyDescent="0.3">
      <c r="A200" s="328" t="s">
        <v>359</v>
      </c>
      <c r="B200" s="329" t="s">
        <v>458</v>
      </c>
      <c r="C200" s="330" t="s">
        <v>369</v>
      </c>
      <c r="D200" s="331" t="s">
        <v>460</v>
      </c>
      <c r="E200" s="330" t="s">
        <v>868</v>
      </c>
      <c r="F200" s="331" t="s">
        <v>869</v>
      </c>
      <c r="G200" s="330" t="s">
        <v>568</v>
      </c>
      <c r="H200" s="330" t="s">
        <v>569</v>
      </c>
      <c r="I200" s="332">
        <v>91.71</v>
      </c>
      <c r="J200" s="332">
        <v>10</v>
      </c>
      <c r="K200" s="333">
        <v>917.14</v>
      </c>
    </row>
    <row r="201" spans="1:11" ht="14.4" customHeight="1" x14ac:dyDescent="0.3">
      <c r="A201" s="328" t="s">
        <v>359</v>
      </c>
      <c r="B201" s="329" t="s">
        <v>458</v>
      </c>
      <c r="C201" s="330" t="s">
        <v>369</v>
      </c>
      <c r="D201" s="331" t="s">
        <v>460</v>
      </c>
      <c r="E201" s="330" t="s">
        <v>868</v>
      </c>
      <c r="F201" s="331" t="s">
        <v>869</v>
      </c>
      <c r="G201" s="330" t="s">
        <v>570</v>
      </c>
      <c r="H201" s="330" t="s">
        <v>571</v>
      </c>
      <c r="I201" s="332">
        <v>12.11</v>
      </c>
      <c r="J201" s="332">
        <v>100</v>
      </c>
      <c r="K201" s="333">
        <v>1211</v>
      </c>
    </row>
    <row r="202" spans="1:11" ht="14.4" customHeight="1" x14ac:dyDescent="0.3">
      <c r="A202" s="328" t="s">
        <v>359</v>
      </c>
      <c r="B202" s="329" t="s">
        <v>458</v>
      </c>
      <c r="C202" s="330" t="s">
        <v>369</v>
      </c>
      <c r="D202" s="331" t="s">
        <v>460</v>
      </c>
      <c r="E202" s="330" t="s">
        <v>868</v>
      </c>
      <c r="F202" s="331" t="s">
        <v>869</v>
      </c>
      <c r="G202" s="330" t="s">
        <v>574</v>
      </c>
      <c r="H202" s="330" t="s">
        <v>575</v>
      </c>
      <c r="I202" s="332">
        <v>56.38</v>
      </c>
      <c r="J202" s="332">
        <v>60</v>
      </c>
      <c r="K202" s="333">
        <v>3382.68</v>
      </c>
    </row>
    <row r="203" spans="1:11" ht="14.4" customHeight="1" x14ac:dyDescent="0.3">
      <c r="A203" s="328" t="s">
        <v>359</v>
      </c>
      <c r="B203" s="329" t="s">
        <v>458</v>
      </c>
      <c r="C203" s="330" t="s">
        <v>369</v>
      </c>
      <c r="D203" s="331" t="s">
        <v>460</v>
      </c>
      <c r="E203" s="330" t="s">
        <v>868</v>
      </c>
      <c r="F203" s="331" t="s">
        <v>869</v>
      </c>
      <c r="G203" s="330" t="s">
        <v>576</v>
      </c>
      <c r="H203" s="330" t="s">
        <v>577</v>
      </c>
      <c r="I203" s="332">
        <v>13.2</v>
      </c>
      <c r="J203" s="332">
        <v>12</v>
      </c>
      <c r="K203" s="333">
        <v>158.4</v>
      </c>
    </row>
    <row r="204" spans="1:11" ht="14.4" customHeight="1" x14ac:dyDescent="0.3">
      <c r="A204" s="328" t="s">
        <v>359</v>
      </c>
      <c r="B204" s="329" t="s">
        <v>458</v>
      </c>
      <c r="C204" s="330" t="s">
        <v>369</v>
      </c>
      <c r="D204" s="331" t="s">
        <v>460</v>
      </c>
      <c r="E204" s="330" t="s">
        <v>868</v>
      </c>
      <c r="F204" s="331" t="s">
        <v>869</v>
      </c>
      <c r="G204" s="330" t="s">
        <v>828</v>
      </c>
      <c r="H204" s="330" t="s">
        <v>829</v>
      </c>
      <c r="I204" s="332">
        <v>4.7</v>
      </c>
      <c r="J204" s="332">
        <v>58</v>
      </c>
      <c r="K204" s="333">
        <v>272.79000000000002</v>
      </c>
    </row>
    <row r="205" spans="1:11" ht="14.4" customHeight="1" x14ac:dyDescent="0.3">
      <c r="A205" s="328" t="s">
        <v>359</v>
      </c>
      <c r="B205" s="329" t="s">
        <v>458</v>
      </c>
      <c r="C205" s="330" t="s">
        <v>369</v>
      </c>
      <c r="D205" s="331" t="s">
        <v>460</v>
      </c>
      <c r="E205" s="330" t="s">
        <v>868</v>
      </c>
      <c r="F205" s="331" t="s">
        <v>869</v>
      </c>
      <c r="G205" s="330" t="s">
        <v>830</v>
      </c>
      <c r="H205" s="330" t="s">
        <v>831</v>
      </c>
      <c r="I205" s="332">
        <v>134</v>
      </c>
      <c r="J205" s="332">
        <v>10</v>
      </c>
      <c r="K205" s="333">
        <v>1339.95</v>
      </c>
    </row>
    <row r="206" spans="1:11" ht="14.4" customHeight="1" x14ac:dyDescent="0.3">
      <c r="A206" s="328" t="s">
        <v>359</v>
      </c>
      <c r="B206" s="329" t="s">
        <v>458</v>
      </c>
      <c r="C206" s="330" t="s">
        <v>369</v>
      </c>
      <c r="D206" s="331" t="s">
        <v>460</v>
      </c>
      <c r="E206" s="330" t="s">
        <v>868</v>
      </c>
      <c r="F206" s="331" t="s">
        <v>869</v>
      </c>
      <c r="G206" s="330" t="s">
        <v>832</v>
      </c>
      <c r="H206" s="330" t="s">
        <v>833</v>
      </c>
      <c r="I206" s="332">
        <v>486</v>
      </c>
      <c r="J206" s="332">
        <v>5</v>
      </c>
      <c r="K206" s="333">
        <v>2429.98</v>
      </c>
    </row>
    <row r="207" spans="1:11" ht="14.4" customHeight="1" x14ac:dyDescent="0.3">
      <c r="A207" s="328" t="s">
        <v>359</v>
      </c>
      <c r="B207" s="329" t="s">
        <v>458</v>
      </c>
      <c r="C207" s="330" t="s">
        <v>369</v>
      </c>
      <c r="D207" s="331" t="s">
        <v>460</v>
      </c>
      <c r="E207" s="330" t="s">
        <v>868</v>
      </c>
      <c r="F207" s="331" t="s">
        <v>869</v>
      </c>
      <c r="G207" s="330" t="s">
        <v>606</v>
      </c>
      <c r="H207" s="330" t="s">
        <v>607</v>
      </c>
      <c r="I207" s="332">
        <v>50.65</v>
      </c>
      <c r="J207" s="332">
        <v>1500</v>
      </c>
      <c r="K207" s="333">
        <v>75975.899999999994</v>
      </c>
    </row>
    <row r="208" spans="1:11" ht="14.4" customHeight="1" x14ac:dyDescent="0.3">
      <c r="A208" s="328" t="s">
        <v>359</v>
      </c>
      <c r="B208" s="329" t="s">
        <v>458</v>
      </c>
      <c r="C208" s="330" t="s">
        <v>369</v>
      </c>
      <c r="D208" s="331" t="s">
        <v>460</v>
      </c>
      <c r="E208" s="330" t="s">
        <v>868</v>
      </c>
      <c r="F208" s="331" t="s">
        <v>869</v>
      </c>
      <c r="G208" s="330" t="s">
        <v>834</v>
      </c>
      <c r="H208" s="330" t="s">
        <v>835</v>
      </c>
      <c r="I208" s="332">
        <v>852.51</v>
      </c>
      <c r="J208" s="332">
        <v>10</v>
      </c>
      <c r="K208" s="333">
        <v>8525.06</v>
      </c>
    </row>
    <row r="209" spans="1:11" ht="14.4" customHeight="1" x14ac:dyDescent="0.3">
      <c r="A209" s="328" t="s">
        <v>359</v>
      </c>
      <c r="B209" s="329" t="s">
        <v>458</v>
      </c>
      <c r="C209" s="330" t="s">
        <v>369</v>
      </c>
      <c r="D209" s="331" t="s">
        <v>460</v>
      </c>
      <c r="E209" s="330" t="s">
        <v>868</v>
      </c>
      <c r="F209" s="331" t="s">
        <v>869</v>
      </c>
      <c r="G209" s="330" t="s">
        <v>836</v>
      </c>
      <c r="H209" s="330" t="s">
        <v>837</v>
      </c>
      <c r="I209" s="332">
        <v>994.8</v>
      </c>
      <c r="J209" s="332">
        <v>20</v>
      </c>
      <c r="K209" s="333">
        <v>19896.03</v>
      </c>
    </row>
    <row r="210" spans="1:11" ht="14.4" customHeight="1" x14ac:dyDescent="0.3">
      <c r="A210" s="328" t="s">
        <v>359</v>
      </c>
      <c r="B210" s="329" t="s">
        <v>458</v>
      </c>
      <c r="C210" s="330" t="s">
        <v>369</v>
      </c>
      <c r="D210" s="331" t="s">
        <v>460</v>
      </c>
      <c r="E210" s="330" t="s">
        <v>868</v>
      </c>
      <c r="F210" s="331" t="s">
        <v>869</v>
      </c>
      <c r="G210" s="330" t="s">
        <v>838</v>
      </c>
      <c r="H210" s="330" t="s">
        <v>839</v>
      </c>
      <c r="I210" s="332">
        <v>124</v>
      </c>
      <c r="J210" s="332">
        <v>5</v>
      </c>
      <c r="K210" s="333">
        <v>620</v>
      </c>
    </row>
    <row r="211" spans="1:11" ht="14.4" customHeight="1" x14ac:dyDescent="0.3">
      <c r="A211" s="328" t="s">
        <v>359</v>
      </c>
      <c r="B211" s="329" t="s">
        <v>458</v>
      </c>
      <c r="C211" s="330" t="s">
        <v>369</v>
      </c>
      <c r="D211" s="331" t="s">
        <v>460</v>
      </c>
      <c r="E211" s="330" t="s">
        <v>868</v>
      </c>
      <c r="F211" s="331" t="s">
        <v>869</v>
      </c>
      <c r="G211" s="330" t="s">
        <v>840</v>
      </c>
      <c r="H211" s="330" t="s">
        <v>841</v>
      </c>
      <c r="I211" s="332">
        <v>2387</v>
      </c>
      <c r="J211" s="332">
        <v>5</v>
      </c>
      <c r="K211" s="333">
        <v>11935.02</v>
      </c>
    </row>
    <row r="212" spans="1:11" ht="14.4" customHeight="1" x14ac:dyDescent="0.3">
      <c r="A212" s="328" t="s">
        <v>359</v>
      </c>
      <c r="B212" s="329" t="s">
        <v>458</v>
      </c>
      <c r="C212" s="330" t="s">
        <v>369</v>
      </c>
      <c r="D212" s="331" t="s">
        <v>460</v>
      </c>
      <c r="E212" s="330" t="s">
        <v>882</v>
      </c>
      <c r="F212" s="331" t="s">
        <v>883</v>
      </c>
      <c r="G212" s="330" t="s">
        <v>842</v>
      </c>
      <c r="H212" s="330" t="s">
        <v>843</v>
      </c>
      <c r="I212" s="332">
        <v>3749.5</v>
      </c>
      <c r="J212" s="332">
        <v>20</v>
      </c>
      <c r="K212" s="333">
        <v>74989.990000000005</v>
      </c>
    </row>
    <row r="213" spans="1:11" ht="14.4" customHeight="1" x14ac:dyDescent="0.3">
      <c r="A213" s="328" t="s">
        <v>359</v>
      </c>
      <c r="B213" s="329" t="s">
        <v>458</v>
      </c>
      <c r="C213" s="330" t="s">
        <v>369</v>
      </c>
      <c r="D213" s="331" t="s">
        <v>460</v>
      </c>
      <c r="E213" s="330" t="s">
        <v>876</v>
      </c>
      <c r="F213" s="331" t="s">
        <v>877</v>
      </c>
      <c r="G213" s="330" t="s">
        <v>678</v>
      </c>
      <c r="H213" s="330" t="s">
        <v>679</v>
      </c>
      <c r="I213" s="332">
        <v>216.29</v>
      </c>
      <c r="J213" s="332">
        <v>96</v>
      </c>
      <c r="K213" s="333">
        <v>20763.48</v>
      </c>
    </row>
    <row r="214" spans="1:11" ht="14.4" customHeight="1" x14ac:dyDescent="0.3">
      <c r="A214" s="328" t="s">
        <v>359</v>
      </c>
      <c r="B214" s="329" t="s">
        <v>458</v>
      </c>
      <c r="C214" s="330" t="s">
        <v>369</v>
      </c>
      <c r="D214" s="331" t="s">
        <v>460</v>
      </c>
      <c r="E214" s="330" t="s">
        <v>876</v>
      </c>
      <c r="F214" s="331" t="s">
        <v>877</v>
      </c>
      <c r="G214" s="330" t="s">
        <v>680</v>
      </c>
      <c r="H214" s="330" t="s">
        <v>681</v>
      </c>
      <c r="I214" s="332">
        <v>31.37</v>
      </c>
      <c r="J214" s="332">
        <v>360</v>
      </c>
      <c r="K214" s="333">
        <v>11292.83</v>
      </c>
    </row>
    <row r="215" spans="1:11" ht="14.4" customHeight="1" x14ac:dyDescent="0.3">
      <c r="A215" s="328" t="s">
        <v>359</v>
      </c>
      <c r="B215" s="329" t="s">
        <v>458</v>
      </c>
      <c r="C215" s="330" t="s">
        <v>369</v>
      </c>
      <c r="D215" s="331" t="s">
        <v>460</v>
      </c>
      <c r="E215" s="330" t="s">
        <v>876</v>
      </c>
      <c r="F215" s="331" t="s">
        <v>877</v>
      </c>
      <c r="G215" s="330" t="s">
        <v>844</v>
      </c>
      <c r="H215" s="330" t="s">
        <v>845</v>
      </c>
      <c r="I215" s="332">
        <v>26.9</v>
      </c>
      <c r="J215" s="332">
        <v>100</v>
      </c>
      <c r="K215" s="333">
        <v>2690.2</v>
      </c>
    </row>
    <row r="216" spans="1:11" ht="14.4" customHeight="1" x14ac:dyDescent="0.3">
      <c r="A216" s="328" t="s">
        <v>359</v>
      </c>
      <c r="B216" s="329" t="s">
        <v>458</v>
      </c>
      <c r="C216" s="330" t="s">
        <v>369</v>
      </c>
      <c r="D216" s="331" t="s">
        <v>460</v>
      </c>
      <c r="E216" s="330" t="s">
        <v>876</v>
      </c>
      <c r="F216" s="331" t="s">
        <v>877</v>
      </c>
      <c r="G216" s="330" t="s">
        <v>712</v>
      </c>
      <c r="H216" s="330" t="s">
        <v>713</v>
      </c>
      <c r="I216" s="332">
        <v>129.63999999999999</v>
      </c>
      <c r="J216" s="332">
        <v>216</v>
      </c>
      <c r="K216" s="333">
        <v>28002.76</v>
      </c>
    </row>
    <row r="217" spans="1:11" ht="14.4" customHeight="1" x14ac:dyDescent="0.3">
      <c r="A217" s="328" t="s">
        <v>359</v>
      </c>
      <c r="B217" s="329" t="s">
        <v>458</v>
      </c>
      <c r="C217" s="330" t="s">
        <v>369</v>
      </c>
      <c r="D217" s="331" t="s">
        <v>460</v>
      </c>
      <c r="E217" s="330" t="s">
        <v>878</v>
      </c>
      <c r="F217" s="331" t="s">
        <v>879</v>
      </c>
      <c r="G217" s="330" t="s">
        <v>730</v>
      </c>
      <c r="H217" s="330" t="s">
        <v>731</v>
      </c>
      <c r="I217" s="332">
        <v>0.3</v>
      </c>
      <c r="J217" s="332">
        <v>200</v>
      </c>
      <c r="K217" s="333">
        <v>60</v>
      </c>
    </row>
    <row r="218" spans="1:11" ht="14.4" customHeight="1" x14ac:dyDescent="0.3">
      <c r="A218" s="328" t="s">
        <v>359</v>
      </c>
      <c r="B218" s="329" t="s">
        <v>458</v>
      </c>
      <c r="C218" s="330" t="s">
        <v>369</v>
      </c>
      <c r="D218" s="331" t="s">
        <v>460</v>
      </c>
      <c r="E218" s="330" t="s">
        <v>878</v>
      </c>
      <c r="F218" s="331" t="s">
        <v>879</v>
      </c>
      <c r="G218" s="330" t="s">
        <v>748</v>
      </c>
      <c r="H218" s="330" t="s">
        <v>749</v>
      </c>
      <c r="I218" s="332">
        <v>0.31</v>
      </c>
      <c r="J218" s="332">
        <v>400</v>
      </c>
      <c r="K218" s="333">
        <v>124</v>
      </c>
    </row>
    <row r="219" spans="1:11" ht="14.4" customHeight="1" x14ac:dyDescent="0.3">
      <c r="A219" s="328" t="s">
        <v>359</v>
      </c>
      <c r="B219" s="329" t="s">
        <v>458</v>
      </c>
      <c r="C219" s="330" t="s">
        <v>369</v>
      </c>
      <c r="D219" s="331" t="s">
        <v>460</v>
      </c>
      <c r="E219" s="330" t="s">
        <v>880</v>
      </c>
      <c r="F219" s="331" t="s">
        <v>881</v>
      </c>
      <c r="G219" s="330" t="s">
        <v>846</v>
      </c>
      <c r="H219" s="330" t="s">
        <v>847</v>
      </c>
      <c r="I219" s="332">
        <v>20.69</v>
      </c>
      <c r="J219" s="332">
        <v>100</v>
      </c>
      <c r="K219" s="333">
        <v>2069.1</v>
      </c>
    </row>
    <row r="220" spans="1:11" ht="14.4" customHeight="1" x14ac:dyDescent="0.3">
      <c r="A220" s="328" t="s">
        <v>359</v>
      </c>
      <c r="B220" s="329" t="s">
        <v>458</v>
      </c>
      <c r="C220" s="330" t="s">
        <v>369</v>
      </c>
      <c r="D220" s="331" t="s">
        <v>460</v>
      </c>
      <c r="E220" s="330" t="s">
        <v>880</v>
      </c>
      <c r="F220" s="331" t="s">
        <v>881</v>
      </c>
      <c r="G220" s="330" t="s">
        <v>848</v>
      </c>
      <c r="H220" s="330" t="s">
        <v>849</v>
      </c>
      <c r="I220" s="332">
        <v>16.21</v>
      </c>
      <c r="J220" s="332">
        <v>500</v>
      </c>
      <c r="K220" s="333">
        <v>8107</v>
      </c>
    </row>
    <row r="221" spans="1:11" ht="14.4" customHeight="1" x14ac:dyDescent="0.3">
      <c r="A221" s="328" t="s">
        <v>359</v>
      </c>
      <c r="B221" s="329" t="s">
        <v>458</v>
      </c>
      <c r="C221" s="330" t="s">
        <v>369</v>
      </c>
      <c r="D221" s="331" t="s">
        <v>460</v>
      </c>
      <c r="E221" s="330" t="s">
        <v>880</v>
      </c>
      <c r="F221" s="331" t="s">
        <v>881</v>
      </c>
      <c r="G221" s="330" t="s">
        <v>850</v>
      </c>
      <c r="H221" s="330" t="s">
        <v>851</v>
      </c>
      <c r="I221" s="332">
        <v>7.5</v>
      </c>
      <c r="J221" s="332">
        <v>100</v>
      </c>
      <c r="K221" s="333">
        <v>750</v>
      </c>
    </row>
    <row r="222" spans="1:11" ht="14.4" customHeight="1" x14ac:dyDescent="0.3">
      <c r="A222" s="328" t="s">
        <v>359</v>
      </c>
      <c r="B222" s="329" t="s">
        <v>458</v>
      </c>
      <c r="C222" s="330" t="s">
        <v>369</v>
      </c>
      <c r="D222" s="331" t="s">
        <v>460</v>
      </c>
      <c r="E222" s="330" t="s">
        <v>880</v>
      </c>
      <c r="F222" s="331" t="s">
        <v>881</v>
      </c>
      <c r="G222" s="330" t="s">
        <v>852</v>
      </c>
      <c r="H222" s="330" t="s">
        <v>853</v>
      </c>
      <c r="I222" s="332">
        <v>20.69</v>
      </c>
      <c r="J222" s="332">
        <v>100</v>
      </c>
      <c r="K222" s="333">
        <v>2069</v>
      </c>
    </row>
    <row r="223" spans="1:11" ht="14.4" customHeight="1" x14ac:dyDescent="0.3">
      <c r="A223" s="328" t="s">
        <v>359</v>
      </c>
      <c r="B223" s="329" t="s">
        <v>458</v>
      </c>
      <c r="C223" s="330" t="s">
        <v>369</v>
      </c>
      <c r="D223" s="331" t="s">
        <v>460</v>
      </c>
      <c r="E223" s="330" t="s">
        <v>880</v>
      </c>
      <c r="F223" s="331" t="s">
        <v>881</v>
      </c>
      <c r="G223" s="330" t="s">
        <v>854</v>
      </c>
      <c r="H223" s="330" t="s">
        <v>855</v>
      </c>
      <c r="I223" s="332">
        <v>20.692500000000003</v>
      </c>
      <c r="J223" s="332">
        <v>273</v>
      </c>
      <c r="K223" s="333">
        <v>5649.37</v>
      </c>
    </row>
    <row r="224" spans="1:11" ht="14.4" customHeight="1" x14ac:dyDescent="0.3">
      <c r="A224" s="328" t="s">
        <v>359</v>
      </c>
      <c r="B224" s="329" t="s">
        <v>458</v>
      </c>
      <c r="C224" s="330" t="s">
        <v>369</v>
      </c>
      <c r="D224" s="331" t="s">
        <v>460</v>
      </c>
      <c r="E224" s="330" t="s">
        <v>880</v>
      </c>
      <c r="F224" s="331" t="s">
        <v>881</v>
      </c>
      <c r="G224" s="330" t="s">
        <v>856</v>
      </c>
      <c r="H224" s="330" t="s">
        <v>857</v>
      </c>
      <c r="I224" s="332">
        <v>16.21</v>
      </c>
      <c r="J224" s="332">
        <v>900</v>
      </c>
      <c r="K224" s="333">
        <v>14591</v>
      </c>
    </row>
    <row r="225" spans="1:11" ht="14.4" customHeight="1" x14ac:dyDescent="0.3">
      <c r="A225" s="328" t="s">
        <v>359</v>
      </c>
      <c r="B225" s="329" t="s">
        <v>458</v>
      </c>
      <c r="C225" s="330" t="s">
        <v>369</v>
      </c>
      <c r="D225" s="331" t="s">
        <v>460</v>
      </c>
      <c r="E225" s="330" t="s">
        <v>880</v>
      </c>
      <c r="F225" s="331" t="s">
        <v>881</v>
      </c>
      <c r="G225" s="330" t="s">
        <v>770</v>
      </c>
      <c r="H225" s="330" t="s">
        <v>771</v>
      </c>
      <c r="I225" s="332">
        <v>11.01</v>
      </c>
      <c r="J225" s="332">
        <v>880</v>
      </c>
      <c r="K225" s="333">
        <v>9688.7999999999993</v>
      </c>
    </row>
    <row r="226" spans="1:11" ht="14.4" customHeight="1" x14ac:dyDescent="0.3">
      <c r="A226" s="328" t="s">
        <v>359</v>
      </c>
      <c r="B226" s="329" t="s">
        <v>458</v>
      </c>
      <c r="C226" s="330" t="s">
        <v>369</v>
      </c>
      <c r="D226" s="331" t="s">
        <v>460</v>
      </c>
      <c r="E226" s="330" t="s">
        <v>880</v>
      </c>
      <c r="F226" s="331" t="s">
        <v>881</v>
      </c>
      <c r="G226" s="330" t="s">
        <v>774</v>
      </c>
      <c r="H226" s="330" t="s">
        <v>775</v>
      </c>
      <c r="I226" s="332">
        <v>11.02</v>
      </c>
      <c r="J226" s="332">
        <v>480</v>
      </c>
      <c r="K226" s="333">
        <v>5287.3</v>
      </c>
    </row>
    <row r="227" spans="1:11" ht="14.4" customHeight="1" x14ac:dyDescent="0.3">
      <c r="A227" s="328" t="s">
        <v>359</v>
      </c>
      <c r="B227" s="329" t="s">
        <v>458</v>
      </c>
      <c r="C227" s="330" t="s">
        <v>369</v>
      </c>
      <c r="D227" s="331" t="s">
        <v>460</v>
      </c>
      <c r="E227" s="330" t="s">
        <v>880</v>
      </c>
      <c r="F227" s="331" t="s">
        <v>881</v>
      </c>
      <c r="G227" s="330" t="s">
        <v>776</v>
      </c>
      <c r="H227" s="330" t="s">
        <v>777</v>
      </c>
      <c r="I227" s="332">
        <v>11.01</v>
      </c>
      <c r="J227" s="332">
        <v>840</v>
      </c>
      <c r="K227" s="333">
        <v>9248.4</v>
      </c>
    </row>
    <row r="228" spans="1:11" ht="14.4" customHeight="1" x14ac:dyDescent="0.3">
      <c r="A228" s="328" t="s">
        <v>359</v>
      </c>
      <c r="B228" s="329" t="s">
        <v>458</v>
      </c>
      <c r="C228" s="330" t="s">
        <v>369</v>
      </c>
      <c r="D228" s="331" t="s">
        <v>460</v>
      </c>
      <c r="E228" s="330" t="s">
        <v>880</v>
      </c>
      <c r="F228" s="331" t="s">
        <v>881</v>
      </c>
      <c r="G228" s="330" t="s">
        <v>778</v>
      </c>
      <c r="H228" s="330" t="s">
        <v>779</v>
      </c>
      <c r="I228" s="332">
        <v>11.01</v>
      </c>
      <c r="J228" s="332">
        <v>720</v>
      </c>
      <c r="K228" s="333">
        <v>7927.2</v>
      </c>
    </row>
    <row r="229" spans="1:11" ht="14.4" customHeight="1" x14ac:dyDescent="0.3">
      <c r="A229" s="328" t="s">
        <v>359</v>
      </c>
      <c r="B229" s="329" t="s">
        <v>458</v>
      </c>
      <c r="C229" s="330" t="s">
        <v>369</v>
      </c>
      <c r="D229" s="331" t="s">
        <v>460</v>
      </c>
      <c r="E229" s="330" t="s">
        <v>880</v>
      </c>
      <c r="F229" s="331" t="s">
        <v>881</v>
      </c>
      <c r="G229" s="330" t="s">
        <v>858</v>
      </c>
      <c r="H229" s="330" t="s">
        <v>859</v>
      </c>
      <c r="I229" s="332">
        <v>11</v>
      </c>
      <c r="J229" s="332">
        <v>240</v>
      </c>
      <c r="K229" s="333">
        <v>2640</v>
      </c>
    </row>
    <row r="230" spans="1:11" ht="14.4" customHeight="1" x14ac:dyDescent="0.3">
      <c r="A230" s="328" t="s">
        <v>359</v>
      </c>
      <c r="B230" s="329" t="s">
        <v>458</v>
      </c>
      <c r="C230" s="330" t="s">
        <v>369</v>
      </c>
      <c r="D230" s="331" t="s">
        <v>460</v>
      </c>
      <c r="E230" s="330" t="s">
        <v>880</v>
      </c>
      <c r="F230" s="331" t="s">
        <v>881</v>
      </c>
      <c r="G230" s="330" t="s">
        <v>860</v>
      </c>
      <c r="H230" s="330" t="s">
        <v>861</v>
      </c>
      <c r="I230" s="332">
        <v>16.21</v>
      </c>
      <c r="J230" s="332">
        <v>500</v>
      </c>
      <c r="K230" s="333">
        <v>8107</v>
      </c>
    </row>
    <row r="231" spans="1:11" ht="14.4" customHeight="1" x14ac:dyDescent="0.3">
      <c r="A231" s="328" t="s">
        <v>359</v>
      </c>
      <c r="B231" s="329" t="s">
        <v>458</v>
      </c>
      <c r="C231" s="330" t="s">
        <v>369</v>
      </c>
      <c r="D231" s="331" t="s">
        <v>460</v>
      </c>
      <c r="E231" s="330" t="s">
        <v>880</v>
      </c>
      <c r="F231" s="331" t="s">
        <v>881</v>
      </c>
      <c r="G231" s="330" t="s">
        <v>862</v>
      </c>
      <c r="H231" s="330" t="s">
        <v>863</v>
      </c>
      <c r="I231" s="332">
        <v>16.21</v>
      </c>
      <c r="J231" s="332">
        <v>900</v>
      </c>
      <c r="K231" s="333">
        <v>14592.6</v>
      </c>
    </row>
    <row r="232" spans="1:11" ht="14.4" customHeight="1" x14ac:dyDescent="0.3">
      <c r="A232" s="328" t="s">
        <v>359</v>
      </c>
      <c r="B232" s="329" t="s">
        <v>458</v>
      </c>
      <c r="C232" s="330" t="s">
        <v>369</v>
      </c>
      <c r="D232" s="331" t="s">
        <v>460</v>
      </c>
      <c r="E232" s="330" t="s">
        <v>880</v>
      </c>
      <c r="F232" s="331" t="s">
        <v>881</v>
      </c>
      <c r="G232" s="330" t="s">
        <v>864</v>
      </c>
      <c r="H232" s="330" t="s">
        <v>865</v>
      </c>
      <c r="I232" s="332">
        <v>16.21</v>
      </c>
      <c r="J232" s="332">
        <v>750</v>
      </c>
      <c r="K232" s="333">
        <v>12160.5</v>
      </c>
    </row>
    <row r="233" spans="1:11" ht="14.4" customHeight="1" x14ac:dyDescent="0.3">
      <c r="A233" s="328" t="s">
        <v>359</v>
      </c>
      <c r="B233" s="329" t="s">
        <v>458</v>
      </c>
      <c r="C233" s="330" t="s">
        <v>369</v>
      </c>
      <c r="D233" s="331" t="s">
        <v>460</v>
      </c>
      <c r="E233" s="330" t="s">
        <v>880</v>
      </c>
      <c r="F233" s="331" t="s">
        <v>881</v>
      </c>
      <c r="G233" s="330" t="s">
        <v>782</v>
      </c>
      <c r="H233" s="330" t="s">
        <v>783</v>
      </c>
      <c r="I233" s="332">
        <v>11.01</v>
      </c>
      <c r="J233" s="332">
        <v>200</v>
      </c>
      <c r="K233" s="333">
        <v>2202.1999999999998</v>
      </c>
    </row>
    <row r="234" spans="1:11" ht="14.4" customHeight="1" thickBot="1" x14ac:dyDescent="0.35">
      <c r="A234" s="334" t="s">
        <v>359</v>
      </c>
      <c r="B234" s="335" t="s">
        <v>458</v>
      </c>
      <c r="C234" s="336" t="s">
        <v>369</v>
      </c>
      <c r="D234" s="337" t="s">
        <v>460</v>
      </c>
      <c r="E234" s="336" t="s">
        <v>880</v>
      </c>
      <c r="F234" s="337" t="s">
        <v>881</v>
      </c>
      <c r="G234" s="336" t="s">
        <v>784</v>
      </c>
      <c r="H234" s="336" t="s">
        <v>785</v>
      </c>
      <c r="I234" s="338">
        <v>0.78</v>
      </c>
      <c r="J234" s="338">
        <v>3000</v>
      </c>
      <c r="K234" s="339">
        <v>2340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2014-04-25T05:44:46Z</dcterms:modified>
</cp:coreProperties>
</file>