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hidePivotFieldList="1" defaultThemeVersion="124226"/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Man Tab" sheetId="366" r:id="rId4"/>
    <sheet name="HV" sheetId="367" r:id="rId5"/>
    <sheet name="Léky Žádanky" sheetId="219" r:id="rId6"/>
    <sheet name="LŽ Detail" sheetId="220" r:id="rId7"/>
    <sheet name="LŽ Statim" sheetId="427" r:id="rId8"/>
    <sheet name="Materiál Žádanky" sheetId="420" r:id="rId9"/>
    <sheet name="MŽ Detail" sheetId="403" r:id="rId10"/>
    <sheet name="Osobní náklady" sheetId="419" r:id="rId11"/>
    <sheet name="ON Data" sheetId="418" state="hidden" r:id="rId12"/>
  </sheets>
  <definedNames>
    <definedName name="_xlnm._FilterDatabase" localSheetId="4" hidden="1">HV!$A$5:$A$5</definedName>
    <definedName name="_xlnm._FilterDatabase" localSheetId="5" hidden="1">'Léky Žádanky'!$A$4:$I$4</definedName>
    <definedName name="_xlnm._FilterDatabase" localSheetId="6" hidden="1">'LŽ Detail'!$A$4:$N$4</definedName>
    <definedName name="_xlnm._FilterDatabase" localSheetId="7" hidden="1">'LŽ Statim'!$A$5:$I$5</definedName>
    <definedName name="_xlnm._FilterDatabase" localSheetId="3" hidden="1">'Man Tab'!$A$5:$A$31</definedName>
    <definedName name="_xlnm._FilterDatabase" localSheetId="8" hidden="1">'Materiál Žádanky'!$A$4:$I$4</definedName>
    <definedName name="_xlnm._FilterDatabase" localSheetId="9" hidden="1">'MŽ Detail'!$A$4:$K$4</definedName>
    <definedName name="doměsíce">#REF!</definedName>
  </definedNames>
  <calcPr calcId="145621"/>
</workbook>
</file>

<file path=xl/calcChain.xml><?xml version="1.0" encoding="utf-8"?>
<calcChain xmlns="http://schemas.openxmlformats.org/spreadsheetml/2006/main">
  <c r="A8" i="414" l="1"/>
  <c r="A12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8" i="414" s="1"/>
  <c r="E8" i="414" s="1"/>
  <c r="H3" i="427"/>
  <c r="I3" i="427"/>
  <c r="F3" i="427"/>
  <c r="AG26" i="419" l="1"/>
  <c r="AG25" i="419"/>
  <c r="A13" i="383" l="1"/>
  <c r="A10" i="383"/>
  <c r="C13" i="414"/>
  <c r="D13" i="414"/>
  <c r="AG20" i="419" l="1"/>
  <c r="AF20" i="419"/>
  <c r="AE20" i="419"/>
  <c r="AD20" i="419"/>
  <c r="AC20" i="419"/>
  <c r="AB20" i="419"/>
  <c r="AA20" i="419"/>
  <c r="Z20" i="419"/>
  <c r="Y20" i="419"/>
  <c r="X20" i="419"/>
  <c r="W20" i="419"/>
  <c r="V20" i="419"/>
  <c r="U20" i="419"/>
  <c r="T20" i="419"/>
  <c r="S20" i="419"/>
  <c r="R20" i="419"/>
  <c r="Q20" i="419"/>
  <c r="P20" i="419"/>
  <c r="O20" i="419"/>
  <c r="N20" i="419"/>
  <c r="M20" i="419"/>
  <c r="L20" i="419"/>
  <c r="K20" i="419"/>
  <c r="J20" i="419"/>
  <c r="I20" i="419"/>
  <c r="H20" i="419"/>
  <c r="G20" i="419"/>
  <c r="F20" i="419"/>
  <c r="E20" i="419"/>
  <c r="D20" i="419"/>
  <c r="AG19" i="419"/>
  <c r="AF19" i="419"/>
  <c r="AE19" i="419"/>
  <c r="AD19" i="419"/>
  <c r="AC19" i="419"/>
  <c r="AB19" i="419"/>
  <c r="AA19" i="419"/>
  <c r="Z19" i="419"/>
  <c r="Y19" i="419"/>
  <c r="X19" i="419"/>
  <c r="W19" i="419"/>
  <c r="V19" i="419"/>
  <c r="U19" i="419"/>
  <c r="T19" i="419"/>
  <c r="S19" i="419"/>
  <c r="R19" i="419"/>
  <c r="Q19" i="419"/>
  <c r="P19" i="419"/>
  <c r="O19" i="419"/>
  <c r="N19" i="419"/>
  <c r="M19" i="419"/>
  <c r="L19" i="419"/>
  <c r="K19" i="419"/>
  <c r="J19" i="419"/>
  <c r="I19" i="419"/>
  <c r="H19" i="419"/>
  <c r="G19" i="419"/>
  <c r="F19" i="419"/>
  <c r="E19" i="419"/>
  <c r="D19" i="419"/>
  <c r="AG17" i="419"/>
  <c r="AF17" i="419"/>
  <c r="AE17" i="419"/>
  <c r="AD17" i="419"/>
  <c r="AC17" i="419"/>
  <c r="AB17" i="419"/>
  <c r="AA17" i="419"/>
  <c r="Z17" i="419"/>
  <c r="Y17" i="419"/>
  <c r="X17" i="419"/>
  <c r="W17" i="419"/>
  <c r="V17" i="419"/>
  <c r="U17" i="419"/>
  <c r="T17" i="419"/>
  <c r="S17" i="419"/>
  <c r="R17" i="419"/>
  <c r="Q17" i="419"/>
  <c r="P17" i="419"/>
  <c r="O17" i="419"/>
  <c r="N17" i="419"/>
  <c r="M17" i="419"/>
  <c r="L17" i="419"/>
  <c r="K17" i="419"/>
  <c r="J17" i="419"/>
  <c r="I17" i="419"/>
  <c r="H17" i="419"/>
  <c r="G17" i="419"/>
  <c r="F17" i="419"/>
  <c r="E17" i="419"/>
  <c r="D17" i="419"/>
  <c r="AG16" i="419"/>
  <c r="AF16" i="419"/>
  <c r="AE16" i="419"/>
  <c r="AD16" i="419"/>
  <c r="AC16" i="419"/>
  <c r="AB16" i="419"/>
  <c r="AA16" i="419"/>
  <c r="AA18" i="419" s="1"/>
  <c r="Z16" i="419"/>
  <c r="Y16" i="419"/>
  <c r="X16" i="419"/>
  <c r="W16" i="419"/>
  <c r="W18" i="419" s="1"/>
  <c r="V16" i="419"/>
  <c r="U16" i="419"/>
  <c r="T16" i="419"/>
  <c r="S16" i="419"/>
  <c r="S18" i="419" s="1"/>
  <c r="R16" i="419"/>
  <c r="Q16" i="419"/>
  <c r="P16" i="419"/>
  <c r="O16" i="419"/>
  <c r="N16" i="419"/>
  <c r="M16" i="419"/>
  <c r="L16" i="419"/>
  <c r="K16" i="419"/>
  <c r="J16" i="419"/>
  <c r="I16" i="419"/>
  <c r="H16" i="419"/>
  <c r="G16" i="419"/>
  <c r="G18" i="419" s="1"/>
  <c r="F16" i="419"/>
  <c r="E16" i="419"/>
  <c r="D16" i="419"/>
  <c r="D18" i="419" s="1"/>
  <c r="AG14" i="419"/>
  <c r="AF14" i="419"/>
  <c r="AE14" i="419"/>
  <c r="AD14" i="419"/>
  <c r="AC14" i="419"/>
  <c r="AB14" i="419"/>
  <c r="AA14" i="419"/>
  <c r="Z14" i="419"/>
  <c r="Y14" i="419"/>
  <c r="X14" i="419"/>
  <c r="W14" i="419"/>
  <c r="V14" i="419"/>
  <c r="U14" i="419"/>
  <c r="T14" i="419"/>
  <c r="S14" i="419"/>
  <c r="R14" i="419"/>
  <c r="Q14" i="419"/>
  <c r="P14" i="419"/>
  <c r="O14" i="419"/>
  <c r="N14" i="419"/>
  <c r="M14" i="419"/>
  <c r="L14" i="419"/>
  <c r="K14" i="419"/>
  <c r="J14" i="419"/>
  <c r="I14" i="419"/>
  <c r="H14" i="419"/>
  <c r="G14" i="419"/>
  <c r="F14" i="419"/>
  <c r="E14" i="419"/>
  <c r="D14" i="419"/>
  <c r="AG13" i="419"/>
  <c r="AF13" i="419"/>
  <c r="AE13" i="419"/>
  <c r="AD13" i="419"/>
  <c r="AC13" i="419"/>
  <c r="AB13" i="419"/>
  <c r="AA13" i="419"/>
  <c r="Z13" i="419"/>
  <c r="Y13" i="419"/>
  <c r="X13" i="419"/>
  <c r="W13" i="419"/>
  <c r="V13" i="419"/>
  <c r="U13" i="419"/>
  <c r="T13" i="419"/>
  <c r="S13" i="419"/>
  <c r="R13" i="419"/>
  <c r="Q13" i="419"/>
  <c r="P13" i="419"/>
  <c r="O13" i="419"/>
  <c r="N13" i="419"/>
  <c r="M13" i="419"/>
  <c r="L13" i="419"/>
  <c r="K13" i="419"/>
  <c r="J13" i="419"/>
  <c r="I13" i="419"/>
  <c r="H13" i="419"/>
  <c r="G13" i="419"/>
  <c r="F13" i="419"/>
  <c r="E13" i="419"/>
  <c r="D13" i="419"/>
  <c r="AG12" i="419"/>
  <c r="AF12" i="419"/>
  <c r="AE12" i="419"/>
  <c r="AD12" i="419"/>
  <c r="AC12" i="419"/>
  <c r="AB12" i="419"/>
  <c r="AA12" i="419"/>
  <c r="Z12" i="419"/>
  <c r="Y12" i="419"/>
  <c r="X12" i="419"/>
  <c r="W12" i="419"/>
  <c r="V12" i="419"/>
  <c r="U12" i="419"/>
  <c r="T12" i="419"/>
  <c r="S12" i="419"/>
  <c r="R12" i="419"/>
  <c r="Q12" i="419"/>
  <c r="P12" i="419"/>
  <c r="O12" i="419"/>
  <c r="N12" i="419"/>
  <c r="M12" i="419"/>
  <c r="L12" i="419"/>
  <c r="K12" i="419"/>
  <c r="J12" i="419"/>
  <c r="I12" i="419"/>
  <c r="H12" i="419"/>
  <c r="G12" i="419"/>
  <c r="F12" i="419"/>
  <c r="E12" i="419"/>
  <c r="D12" i="419"/>
  <c r="AG11" i="419"/>
  <c r="AF11" i="419"/>
  <c r="AE11" i="419"/>
  <c r="AD11" i="419"/>
  <c r="AC11" i="419"/>
  <c r="AB11" i="419"/>
  <c r="AA11" i="419"/>
  <c r="Z11" i="419"/>
  <c r="Y11" i="419"/>
  <c r="X11" i="419"/>
  <c r="W11" i="419"/>
  <c r="V11" i="419"/>
  <c r="U11" i="419"/>
  <c r="T11" i="419"/>
  <c r="S11" i="419"/>
  <c r="R11" i="419"/>
  <c r="Q11" i="419"/>
  <c r="P11" i="419"/>
  <c r="O11" i="419"/>
  <c r="N11" i="419"/>
  <c r="M11" i="419"/>
  <c r="L11" i="419"/>
  <c r="K11" i="419"/>
  <c r="J11" i="419"/>
  <c r="I11" i="419"/>
  <c r="H11" i="419"/>
  <c r="G11" i="419"/>
  <c r="F11" i="419"/>
  <c r="E11" i="419"/>
  <c r="D11" i="419"/>
  <c r="AN3" i="418"/>
  <c r="AM3" i="418"/>
  <c r="AL3" i="418"/>
  <c r="AK3" i="418"/>
  <c r="AJ3" i="418"/>
  <c r="AI3" i="418"/>
  <c r="AH3" i="418"/>
  <c r="AG3" i="418"/>
  <c r="AF3" i="418"/>
  <c r="AE3" i="418"/>
  <c r="AD3" i="418"/>
  <c r="AC3" i="418"/>
  <c r="AB3" i="418"/>
  <c r="AA3" i="418"/>
  <c r="Z3" i="418"/>
  <c r="Y3" i="418"/>
  <c r="X3" i="418"/>
  <c r="W3" i="418"/>
  <c r="V3" i="418"/>
  <c r="U3" i="418"/>
  <c r="T3" i="418"/>
  <c r="S3" i="418"/>
  <c r="R3" i="418"/>
  <c r="I18" i="419" l="1"/>
  <c r="M18" i="419"/>
  <c r="Q18" i="419"/>
  <c r="U18" i="419"/>
  <c r="Y18" i="419"/>
  <c r="AC18" i="419"/>
  <c r="E18" i="419"/>
  <c r="H18" i="419"/>
  <c r="L18" i="419"/>
  <c r="P18" i="419"/>
  <c r="T18" i="419"/>
  <c r="X18" i="419"/>
  <c r="AB18" i="419"/>
  <c r="AF18" i="419"/>
  <c r="K18" i="419"/>
  <c r="O18" i="419"/>
  <c r="AE18" i="419"/>
  <c r="F18" i="419"/>
  <c r="J18" i="419"/>
  <c r="N18" i="419"/>
  <c r="R18" i="419"/>
  <c r="V18" i="419"/>
  <c r="Z18" i="419"/>
  <c r="AD18" i="419"/>
  <c r="AG18" i="419"/>
  <c r="C25" i="419"/>
  <c r="AG27" i="419" l="1"/>
  <c r="F26" i="419"/>
  <c r="C26" i="419"/>
  <c r="B26" i="419" l="1"/>
  <c r="C28" i="419"/>
  <c r="C27" i="419"/>
  <c r="Q3" i="418"/>
  <c r="P3" i="418"/>
  <c r="O3" i="418"/>
  <c r="N3" i="418"/>
  <c r="M3" i="418"/>
  <c r="L3" i="418"/>
  <c r="K3" i="418"/>
  <c r="J3" i="418"/>
  <c r="I3" i="418"/>
  <c r="H3" i="418"/>
  <c r="G3" i="418"/>
  <c r="F3" i="418"/>
  <c r="AG28" i="419" l="1"/>
  <c r="F25" i="419"/>
  <c r="F27" i="419" s="1"/>
  <c r="B25" i="419" l="1"/>
  <c r="B27" i="419" s="1"/>
  <c r="F28" i="419"/>
  <c r="B28" i="419" s="1"/>
  <c r="A7" i="339"/>
  <c r="D3" i="418" l="1"/>
  <c r="AF6" i="419" l="1"/>
  <c r="AB6" i="419"/>
  <c r="X6" i="419"/>
  <c r="T6" i="419"/>
  <c r="P6" i="419"/>
  <c r="L6" i="419"/>
  <c r="H6" i="419"/>
  <c r="E6" i="419"/>
  <c r="AE6" i="419"/>
  <c r="AA6" i="419"/>
  <c r="W6" i="419"/>
  <c r="S6" i="419"/>
  <c r="O6" i="419"/>
  <c r="K6" i="419"/>
  <c r="G6" i="419"/>
  <c r="D6" i="419"/>
  <c r="AG6" i="419"/>
  <c r="AD6" i="419"/>
  <c r="Z6" i="419"/>
  <c r="V6" i="419"/>
  <c r="R6" i="419"/>
  <c r="N6" i="419"/>
  <c r="J6" i="419"/>
  <c r="F6" i="419"/>
  <c r="AC6" i="419"/>
  <c r="Y6" i="419"/>
  <c r="U6" i="419"/>
  <c r="Q6" i="419"/>
  <c r="M6" i="419"/>
  <c r="I6" i="419"/>
  <c r="C6" i="419"/>
  <c r="B6" i="419"/>
  <c r="C20" i="419"/>
  <c r="B20" i="419"/>
  <c r="C19" i="419"/>
  <c r="B19" i="419"/>
  <c r="C17" i="419"/>
  <c r="B17" i="419"/>
  <c r="C16" i="419"/>
  <c r="B16" i="419"/>
  <c r="C14" i="419"/>
  <c r="B14" i="419"/>
  <c r="C13" i="419"/>
  <c r="B13" i="419"/>
  <c r="C12" i="419"/>
  <c r="B12" i="419"/>
  <c r="C11" i="419"/>
  <c r="B11" i="419"/>
  <c r="C18" i="419" l="1"/>
  <c r="B18" i="419" l="1"/>
  <c r="D12" i="414" l="1"/>
  <c r="D7" i="414"/>
  <c r="A15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17" i="414" l="1"/>
  <c r="A16" i="414"/>
  <c r="E11" i="339" l="1"/>
  <c r="B11" i="339"/>
  <c r="F11" i="339" l="1"/>
  <c r="C11" i="339"/>
  <c r="H11" i="339" l="1"/>
  <c r="G11" i="339"/>
  <c r="A12" i="414"/>
  <c r="A7" i="414"/>
  <c r="A13" i="414"/>
  <c r="A4" i="414"/>
  <c r="A6" i="339" l="1"/>
  <c r="A5" i="339"/>
  <c r="C16" i="414"/>
  <c r="D4" i="414"/>
  <c r="D16" i="414"/>
  <c r="C12" i="414" l="1"/>
  <c r="C7" i="414"/>
  <c r="E12" i="414" l="1"/>
  <c r="E7" i="414"/>
  <c r="K3" i="403" l="1"/>
  <c r="J3" i="403"/>
  <c r="I3" i="403" s="1"/>
  <c r="M3" i="220" l="1"/>
  <c r="E12" i="339" l="1"/>
  <c r="C12" i="339"/>
  <c r="B12" i="339"/>
  <c r="F12" i="339" s="1"/>
  <c r="N3" i="220"/>
  <c r="L3" i="220" s="1"/>
  <c r="C17" i="414"/>
  <c r="D17" i="414"/>
  <c r="F13" i="339" l="1"/>
  <c r="E13" i="339"/>
  <c r="E15" i="339" s="1"/>
  <c r="H12" i="339"/>
  <c r="G12" i="339"/>
  <c r="A4" i="383"/>
  <c r="A15" i="383"/>
  <c r="A14" i="383"/>
  <c r="A11" i="383"/>
  <c r="A7" i="383"/>
  <c r="A6" i="383"/>
  <c r="A5" i="383"/>
  <c r="C13" i="339"/>
  <c r="C15" i="339" s="1"/>
  <c r="B13" i="339"/>
  <c r="B15" i="339" s="1"/>
  <c r="D15" i="414"/>
  <c r="C4" i="414"/>
  <c r="H13" i="339" l="1"/>
  <c r="F15" i="339"/>
  <c r="E13" i="414"/>
  <c r="E4" i="414"/>
  <c r="G13" i="339"/>
  <c r="G15" i="339" l="1"/>
  <c r="H15" i="339"/>
  <c r="E16" i="414"/>
  <c r="E17" i="414"/>
  <c r="C15" i="414"/>
  <c r="E15" i="414" l="1"/>
</calcChain>
</file>

<file path=xl/comments1.xml><?xml version="1.0" encoding="utf-8"?>
<comments xmlns="http://schemas.openxmlformats.org/spreadsheetml/2006/main">
  <authors>
    <author>62361</author>
  </authors>
  <commentList>
    <comment ref="A4" author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<sst xmlns="http://schemas.openxmlformats.org/spreadsheetml/2006/main" count="4329" uniqueCount="1145">
  <si>
    <t>NS</t>
  </si>
  <si>
    <t>Účet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</si>
  <si>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</si>
  <si>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</si>
  <si>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</si>
  <si>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</si>
  <si>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</si>
  <si>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</si>
  <si>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</si>
  <si>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</si>
  <si>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</si>
  <si>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</si>
  <si>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</si>
  <si>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</si>
  <si>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</si>
  <si>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</si>
  <si>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</si>
  <si>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</si>
  <si>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</si>
  <si>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</si>
  <si>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</si>
  <si>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</si>
  <si>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</si>
  <si>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</si>
  <si>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</si>
  <si>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</si>
  <si>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</si>
  <si>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</si>
  <si>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</si>
  <si>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</si>
  <si>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</si>
  <si>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</si>
  <si>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</si>
  <si>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</si>
  <si>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</si>
  <si>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</si>
  <si>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</si>
  <si>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</si>
  <si>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</si>
  <si>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</si>
  <si>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</si>
  <si>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</si>
  <si>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</si>
  <si>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</si>
  <si>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</si>
  <si>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</si>
  <si>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</si>
  <si>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</si>
  <si>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</si>
  <si>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</si>
  <si>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</si>
  <si>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</si>
  <si>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</si>
  <si>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KL</t>
  </si>
  <si>
    <t>Kód</t>
  </si>
  <si>
    <t>Skutečnost</t>
  </si>
  <si>
    <t>Rozpočet</t>
  </si>
  <si>
    <t>Plnění</t>
  </si>
  <si>
    <t>Ostatní (Kč)</t>
  </si>
  <si>
    <t>Náklady celkem</t>
  </si>
  <si>
    <t>Výnosy celkem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</si>
  <si>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</si>
  <si>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</si>
  <si>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</si>
  <si>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</si>
  <si>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</si>
  <si>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</si>
  <si>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Man Tab</t>
  </si>
  <si>
    <t>Léky Žádanky</t>
  </si>
  <si>
    <t>LŽ Detail</t>
  </si>
  <si>
    <t>Materiál Žádanky</t>
  </si>
  <si>
    <t>MŽ Detail</t>
  </si>
  <si>
    <t>Osobní náklady</t>
  </si>
  <si>
    <t>Motivační kritéria</t>
  </si>
  <si>
    <t>Motivace</t>
  </si>
  <si>
    <t>Celkem:</t>
  </si>
  <si>
    <t>Hospodaření zdravotnického pracoviště (v tisících)</t>
  </si>
  <si>
    <t>Spotřeba léčivých přípravků</t>
  </si>
  <si>
    <t>Spotřeba zdravotnického materiálu</t>
  </si>
  <si>
    <t>Přehledové sestavy</t>
  </si>
  <si>
    <t>Akt. měsíc</t>
  </si>
  <si>
    <t>Kč/ks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</si>
  <si>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</si>
  <si>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</si>
  <si>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</si>
  <si>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</si>
  <si>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</si>
  <si>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</si>
  <si>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</si>
  <si>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</si>
  <si>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</si>
  <si>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</si>
  <si>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Rozpočet výnosů pro rok 2014 je stanoven jako 100% skutečnosti referenčního období (2012)</t>
  </si>
  <si>
    <t>Hospodářský index (Výnosy / Náklady) se hodnotí pouze v případě dodržení rozpočtu nákladů</t>
  </si>
  <si>
    <t>Spotřeba léčivých přípravků - orientační přehled</t>
  </si>
  <si>
    <t>01/2014</t>
  </si>
  <si>
    <t>02/2014</t>
  </si>
  <si>
    <t>03/2014</t>
  </si>
  <si>
    <t>04/2014</t>
  </si>
  <si>
    <t>05/2014</t>
  </si>
  <si>
    <t>06/2014</t>
  </si>
  <si>
    <t>07/2014</t>
  </si>
  <si>
    <t>08/2014</t>
  </si>
  <si>
    <t>09/2014</t>
  </si>
  <si>
    <t>10/2014</t>
  </si>
  <si>
    <t>11/2014</t>
  </si>
  <si>
    <t>12/2014</t>
  </si>
  <si>
    <t>Rozp. 2013            CELKEM</t>
  </si>
  <si>
    <t>Skut. 2013 CELKEM</t>
  </si>
  <si>
    <t>ROZDÍL  Skut. - Rozp. 2013</t>
  </si>
  <si>
    <t>% plnění rozp.2013</t>
  </si>
  <si>
    <t>Rozp.rok 2014</t>
  </si>
  <si>
    <t>Sk.v tis 2014</t>
  </si>
  <si>
    <t>ROZDÍL (Sk.do data - Rozp.do data 2014)</t>
  </si>
  <si>
    <t>% plnění (Skut.do data/Rozp.rok 2014)</t>
  </si>
  <si>
    <t>POMĚROVÉ  PLNĚNÍ = Rozpočet na rok 2014 celkem a 1/12  ročního rozpočtu, skutečnost daných měsíců a % plnění načítané skutečnosti do data k poměrné části rozpočtu do data.</t>
  </si>
  <si>
    <t>Pol</t>
  </si>
  <si>
    <t>0</t>
  </si>
  <si>
    <t>101</t>
  </si>
  <si>
    <t>102</t>
  </si>
  <si>
    <t>203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</si>
  <si>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</si>
  <si>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</si>
  <si>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</si>
  <si>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</si>
  <si>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</si>
  <si>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</si>
  <si>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</si>
  <si>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</si>
  <si>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</si>
  <si>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</si>
  <si>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</si>
  <si>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</si>
  <si>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</si>
  <si>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</si>
  <si>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dohody</t>
  </si>
  <si>
    <t>lékaři</t>
  </si>
  <si>
    <t>zubní lékaři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</si>
  <si>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</si>
  <si>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</si>
  <si>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</si>
  <si>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</si>
  <si>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</si>
  <si>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</si>
  <si>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</si>
  <si>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</si>
  <si>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</si>
  <si>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</si>
  <si>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</si>
  <si>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</si>
  <si>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</si>
  <si>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</si>
  <si>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</si>
  <si>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</si>
  <si>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</si>
  <si>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</si>
  <si>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</si>
  <si>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</si>
  <si>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lékaři, VŠ NLZP *</t>
  </si>
  <si>
    <t>NLZP *</t>
  </si>
  <si>
    <t>THP *</t>
  </si>
  <si>
    <t>Lékaři, VŠ NLZP = kategorie 101-203, 522-523, 525-529, 743-747</t>
  </si>
  <si>
    <t>NLZP = kategorie 305-520, 524, 530-642, 748-749</t>
  </si>
  <si>
    <t>THP = kategorie 930-940</t>
  </si>
  <si>
    <t>Rozpočet na vzdělávání je plánován na rok, měsíční plány jsou v tabulce dvanáctinou ročního rozpočtu</t>
  </si>
  <si>
    <t>všeobecné sestry</t>
  </si>
  <si>
    <t>porodní asistenti</t>
  </si>
  <si>
    <t>radiologičtí asistenti</t>
  </si>
  <si>
    <t>zdravotní laboranti</t>
  </si>
  <si>
    <t>zdravotně - sociální pracovníci</t>
  </si>
  <si>
    <t>nutriční terapeuti</t>
  </si>
  <si>
    <t>zubní technici</t>
  </si>
  <si>
    <t>zdravotničtí záchranáři</t>
  </si>
  <si>
    <t>farmaceutičtí asistenti</t>
  </si>
  <si>
    <t>biomedicínští technici</t>
  </si>
  <si>
    <t>radiologičtí technici</t>
  </si>
  <si>
    <t>psychologové a kliničtí psychologové</t>
  </si>
  <si>
    <t>kliničtí logopedové</t>
  </si>
  <si>
    <t>fyzioterapeuti</t>
  </si>
  <si>
    <t>radiologičtí fyzici</t>
  </si>
  <si>
    <t>odborní pracovníci v lab. metodách</t>
  </si>
  <si>
    <t>biomedicínští inženýři</t>
  </si>
  <si>
    <t>zdravotničtí asistenti</t>
  </si>
  <si>
    <t>ošetřovatelé</t>
  </si>
  <si>
    <t>maséři</t>
  </si>
  <si>
    <t>řidiči dopravy nemocných a raněných</t>
  </si>
  <si>
    <t>sanitáři</t>
  </si>
  <si>
    <t>psychologové</t>
  </si>
  <si>
    <t>abs. stud. oboru mat.-fyz. zaměření</t>
  </si>
  <si>
    <t>abs. stud. oboru přirodověd. zaměření</t>
  </si>
  <si>
    <t>odb. pracovníci v ochraně veřejného zdraví</t>
  </si>
  <si>
    <t>laboratorní asistenti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</si>
  <si>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</si>
  <si>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</si>
  <si>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</si>
  <si>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</si>
  <si>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</si>
  <si>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</si>
  <si>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</si>
  <si>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</si>
  <si>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</si>
  <si>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</si>
  <si>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</si>
  <si>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</si>
  <si>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</si>
  <si>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r>
      <t>Zpět na Obsah</t>
    </r>
    <r>
      <rPr>
        <sz val="9"/>
        <rFont val="Calibri"/>
        <family val="2"/>
        <charset val="238"/>
        <scheme val="minor"/>
      </rPr>
      <t xml:space="preserve"> | 1.-7.měsíc | Centrální operační sály 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</si>
  <si>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</si>
  <si>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</si>
  <si>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</si>
  <si>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</si>
  <si>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</si>
  <si>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</si>
  <si>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--</t>
  </si>
  <si>
    <t>50109000     cenové odchylky k materiálu</t>
  </si>
  <si>
    <t>50113     Léky a léčiva</t>
  </si>
  <si>
    <t>50113001     léky - paušál+TISS (LEK)</t>
  </si>
  <si>
    <t>50113009     léky - RTG diagnostika ZUL (LEK)</t>
  </si>
  <si>
    <t>50113013     léky (paušál) - antibiotika (LEK)</t>
  </si>
  <si>
    <t>50113190     medicinální plyny</t>
  </si>
  <si>
    <t>50115     Zdravotnické prostředky</t>
  </si>
  <si>
    <t>50115004     implant.umělé těl.náhr.-kovové (s.Z_506)</t>
  </si>
  <si>
    <t>50115050     obvazový materiál (sk.Z_502)</t>
  </si>
  <si>
    <t>50115060     ostatní ZPr - mimo níže uvedené (sk.Z_503)</t>
  </si>
  <si>
    <t>50115061     ostatní ZPr - robotické centrum (sk.Z_512)</t>
  </si>
  <si>
    <t>50115063     ostatní ZPr - vaky, sety (sk.Z_528)</t>
  </si>
  <si>
    <t>50115064     ostatní ZPr - šicí materiál (sk.Z_529)</t>
  </si>
  <si>
    <t>50115065     ostatní ZPr - vpichovací materiál (sk.Z_530)</t>
  </si>
  <si>
    <t>50115066     ostatní ZPr - šicí materiál - robot (sk.Z_531)</t>
  </si>
  <si>
    <t>50115067     ostatní ZPr - rukavice (sk.Z_532)</t>
  </si>
  <si>
    <t>50115070     ostatní ZPr - katetry, stenty, porty (sk.Z_513)</t>
  </si>
  <si>
    <t>50115080     ostatní ZPr - staplery, extraktory (sk.Z_523)</t>
  </si>
  <si>
    <t>50117     Všeobecný materiál</t>
  </si>
  <si>
    <t>50117001     všeobecný materiál (sk.V30,32,33,34,42,43,Z510)</t>
  </si>
  <si>
    <t>50117002     prací a čistící prostř.,drog.zboží (sk.V41)</t>
  </si>
  <si>
    <t>50117003     desinf. prostř. LEK</t>
  </si>
  <si>
    <t>50117004     tiskopisy a kanc.potřeby (sk.V42, 43)</t>
  </si>
  <si>
    <t>50117005     údržbový materiál ZVIT (sk.B36,61,62,64)</t>
  </si>
  <si>
    <t>50117007     údržbový materiál ostatní - sklady (sk.T17)</t>
  </si>
  <si>
    <t>50117009     spotřební materiál k ZPr. (sk.V21)</t>
  </si>
  <si>
    <t>50117011     obalový mat. pro sterilizaci (sk.V20)</t>
  </si>
  <si>
    <t>50117015     IT - spotřební materiál (sk. P37, 48)</t>
  </si>
  <si>
    <t>50117020     všeob.mat. - nábytek (V30) do 1tis.</t>
  </si>
  <si>
    <t>50117021     všeob.mat. - hosp.přístr.a nářadí (V32) od 1tis do 2999,99</t>
  </si>
  <si>
    <t>50117024     všeob.mat. - ostatní-vyjímky (V44) od 0,01 do 999,99</t>
  </si>
  <si>
    <t>50118     Náhradní díly</t>
  </si>
  <si>
    <t>50118002     ND - zdravot.techn.(sklad) (sk.Z39)</t>
  </si>
  <si>
    <t>50118003     ND - ostatní techn.(dispečink)</t>
  </si>
  <si>
    <t>50118004     ND - zdravot.techn.(dispečink)</t>
  </si>
  <si>
    <t>50118005     ND - výpoč. techn.(sklad) (sk.P47)</t>
  </si>
  <si>
    <t>50118006     ND - ZVIT (sk.B63)</t>
  </si>
  <si>
    <t>50119     DDHM a textil</t>
  </si>
  <si>
    <t>50119077     OOPP a prádlo pro zaměstnance (sk.T14)</t>
  </si>
  <si>
    <t>50119092     pokojový textil (sk. T15)</t>
  </si>
  <si>
    <t>50119099     netkaný textil (sk.T18)</t>
  </si>
  <si>
    <t>50119100     jednorázové ochranné pomůcky (sk.T18A)</t>
  </si>
  <si>
    <t>50119101     jednorázový operační materiál (sk.T18B)</t>
  </si>
  <si>
    <t>50119102     jednorázové hygienické potřeby (sk.T18C)</t>
  </si>
  <si>
    <t>50180     Materiál z darů, FKSP</t>
  </si>
  <si>
    <t>50180000     spotř.nák.- z fin. darů</t>
  </si>
  <si>
    <t>50210     Spotřeba energie</t>
  </si>
  <si>
    <t>50210071     elektřina</t>
  </si>
  <si>
    <t>50210072     vodné, stočné</t>
  </si>
  <si>
    <t>50210073     pára</t>
  </si>
  <si>
    <t>51     Služby</t>
  </si>
  <si>
    <t>51102     Technika a stavby</t>
  </si>
  <si>
    <t>51102021     opravy zdravotnické techniky</t>
  </si>
  <si>
    <t>51102023     opravy ostatní techniky</t>
  </si>
  <si>
    <t>51102024     opravy - správa budov</t>
  </si>
  <si>
    <t>51102025     opravy - hl.energetik</t>
  </si>
  <si>
    <t>51201     Cestovné zaměstnanců-tuzemské</t>
  </si>
  <si>
    <t>51201000     cestovné z mezd</t>
  </si>
  <si>
    <t>51201001     cestovné tuzemské - OUC</t>
  </si>
  <si>
    <t>513     Náklady na reprezentaci</t>
  </si>
  <si>
    <t>51399     Náklady na reprezentaci (daň.neúč.)</t>
  </si>
  <si>
    <t>51399001     dodavatelsky</t>
  </si>
  <si>
    <t>51801     Přepravné</t>
  </si>
  <si>
    <t>51801000     přepravné-lab. vzorky,...</t>
  </si>
  <si>
    <t>51802     Spoje</t>
  </si>
  <si>
    <t>51802003     spoje - telekom.styk</t>
  </si>
  <si>
    <t>51804     Nájemné</t>
  </si>
  <si>
    <t>51804004     popl. za R a TV, veř. produkce</t>
  </si>
  <si>
    <t>51804005     náj. plynových lahví</t>
  </si>
  <si>
    <t>51806     Úklid, odpad, desinf., deratizace</t>
  </si>
  <si>
    <t>51806001     úklid pravidelný</t>
  </si>
  <si>
    <t>51806005     odpad (spalovna)</t>
  </si>
  <si>
    <t>51808     Revize a smluvní servisy majetku</t>
  </si>
  <si>
    <t>51808007     revize, sml.servis - energetik</t>
  </si>
  <si>
    <t>51808008     revize, tech.kontroly, prev.prohl.- OHM</t>
  </si>
  <si>
    <t>51808009     revize, sml.servis PO - OBKR</t>
  </si>
  <si>
    <t>51808013     revize - kalibrace - metrolog</t>
  </si>
  <si>
    <t>51808018     smluvní servis - OHM</t>
  </si>
  <si>
    <t>521     Mzdové náklady</t>
  </si>
  <si>
    <t>52111     Hrubé mzdy</t>
  </si>
  <si>
    <t>52111000     hrubé mzdy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</si>
  <si>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</si>
  <si>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</si>
  <si>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</si>
  <si>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</si>
  <si>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</si>
  <si>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</si>
  <si>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</si>
  <si>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</si>
  <si>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</si>
  <si>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</si>
  <si>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</si>
  <si>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</si>
  <si>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</si>
  <si>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54910003     práce výrobní povahy(výroba klíčů,tabulek)</t>
  </si>
  <si>
    <t>54910009     školení, kongresové poplatky tuzemské - ost.zdrav.pracov.</t>
  </si>
  <si>
    <t>54924     Ostatní výplaty fyzickým osobám</t>
  </si>
  <si>
    <t>54924001     odškod.zaměst. - prac.úraz,...</t>
  </si>
  <si>
    <t>54925     Ostatní výplaty fyzickým osobám(OPMČ)</t>
  </si>
  <si>
    <t>54925000     odškodn.-náhr.mzdy zam.(OPMČ)</t>
  </si>
  <si>
    <t>54970     Předpis - KDF za služby</t>
  </si>
  <si>
    <t>54970000     předpis KDF - služby</t>
  </si>
  <si>
    <t>54973     Školení, kongres.popl.tuzemské - ostatní zdrav.prac.(pouze OPMČ)</t>
  </si>
  <si>
    <t>54973000     školení, kongres.popl.tuzemské - ostatní zdrav.prac.(pouze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</si>
  <si>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</si>
  <si>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</si>
  <si>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</si>
  <si>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</si>
  <si>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</si>
  <si>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</si>
  <si>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</si>
  <si>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55110014     odpisy DHM - zdravot.techn. z dotací</t>
  </si>
  <si>
    <t>55110015     odpisy DHM - ostatní z dotací</t>
  </si>
  <si>
    <t>558     Náklady z drobného dlouhodobého majetku</t>
  </si>
  <si>
    <t>55801     DDHM zdravotnický a laboratorní</t>
  </si>
  <si>
    <t>55801001     DDHM - zdravotnické přístroje (sk.N_525)</t>
  </si>
  <si>
    <t>55801002     DDHM - zdravotnické nástroje (sk.Z_515)</t>
  </si>
  <si>
    <t>55802     DDHM - provozní</t>
  </si>
  <si>
    <t>55802002     DDHM - ostatní provozní technika (sk.V_35)</t>
  </si>
  <si>
    <t>55802005     DDHM - OOPP pro pacienty a doprovod (sk.T_13)</t>
  </si>
  <si>
    <t>55805     DDHM - inventář</t>
  </si>
  <si>
    <t>55805002     DDHM - nábytek (sk.V_31)</t>
  </si>
  <si>
    <t>56     Finanční náklady</t>
  </si>
  <si>
    <t>563     Kurzové ztráty</t>
  </si>
  <si>
    <t>56301     Kurzové ztráty</t>
  </si>
  <si>
    <t>56301000     kurzové ztráty</t>
  </si>
  <si>
    <t>6     Účtová třída 6 - Výnosy</t>
  </si>
  <si>
    <t>60     Tržby za vlastní výkony a zboží</t>
  </si>
  <si>
    <t>602     Výnosy z prodeje služeb</t>
  </si>
  <si>
    <t>60246     Dorovnání péče ZP - min.let         OZPI</t>
  </si>
  <si>
    <t>60246400     tržby VZP za zdrav.péči - dorovnání min.let</t>
  </si>
  <si>
    <t>64     Jiné provozní výnosy</t>
  </si>
  <si>
    <t>648     Čerpání fondů</t>
  </si>
  <si>
    <t>64803     Čerpání RF - čerpání fin. darů</t>
  </si>
  <si>
    <t>64803000     čerpání RF - čerpání finančních darů</t>
  </si>
  <si>
    <t>64804     Čerpání FRM</t>
  </si>
  <si>
    <t>64804221     čerp. FRM - opravy ZT</t>
  </si>
  <si>
    <t>64804223     čerp. FRM - opravy ost. techn.</t>
  </si>
  <si>
    <t>64804224     čerp. FRM - údržba OSB</t>
  </si>
  <si>
    <t>64804225     čerp. FRM - údržba OHE</t>
  </si>
  <si>
    <t>649     Ostatní výnosy z činnosti</t>
  </si>
  <si>
    <t>64908     Ostatní výnosy z činnosti</t>
  </si>
  <si>
    <t>64908000     rozdíly v zaokrouhlení</t>
  </si>
  <si>
    <t>64908050     náhrady od pojišť. (zaměstn.)</t>
  </si>
  <si>
    <t>64924     Ostatní služby - mimo zdrav.výkony  FAKTURACE</t>
  </si>
  <si>
    <t>64924459     školení, stáže, odb. semináře, konference</t>
  </si>
  <si>
    <t>67     Zúčtování rezerva opravných položek finančních výnosů</t>
  </si>
  <si>
    <t>671     Výnosy vybraných vládních institucí z transferů</t>
  </si>
  <si>
    <t>67101     Nein.dotace, příspěvky, granty od zřizovatele</t>
  </si>
  <si>
    <t>67101006     transfery MZ na rezidenční místa</t>
  </si>
  <si>
    <t>67120     Výnosy k úč.403 06 (k úč.551 odpisy) - finanční dary</t>
  </si>
  <si>
    <t>67120001     výnosy k úč.403 06 (k úč.551 odpisy) - finanční dary</t>
  </si>
  <si>
    <t>7     Účtová třída 7 - Vnitropodnikové účetnictví - náklady</t>
  </si>
  <si>
    <t>79     Vnitropodnikové náklady</t>
  </si>
  <si>
    <t>79902     VPN - ZVIT technická údržba</t>
  </si>
  <si>
    <t>79902000     výkony ZVIT - technická údržba</t>
  </si>
  <si>
    <t>79903     VPN - doprava</t>
  </si>
  <si>
    <t>79903000     výkony dopravy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</si>
  <si>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</si>
  <si>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</si>
  <si>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</si>
  <si>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</si>
  <si>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</si>
  <si>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</si>
  <si>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79950     VPN - správní režie</t>
  </si>
  <si>
    <t>79950001     režie HTS</t>
  </si>
  <si>
    <t>47</t>
  </si>
  <si>
    <t xml:space="preserve">Centrální operační sály </t>
  </si>
  <si>
    <t/>
  </si>
  <si>
    <t>Centrální operační sály  Celkem</t>
  </si>
  <si>
    <t>SumaKL</t>
  </si>
  <si>
    <t>4764</t>
  </si>
  <si>
    <t xml:space="preserve">centrální operační sály </t>
  </si>
  <si>
    <t>centrální operační sály  Celkem</t>
  </si>
  <si>
    <t>SumaNS</t>
  </si>
  <si>
    <t>mezeraNS</t>
  </si>
  <si>
    <t>4766</t>
  </si>
  <si>
    <t>operační sály dětské chirurgie</t>
  </si>
  <si>
    <t>operační sály dětské chirurgie Celkem</t>
  </si>
  <si>
    <t>50113001</t>
  </si>
  <si>
    <t>O</t>
  </si>
  <si>
    <t>100362</t>
  </si>
  <si>
    <t>362</t>
  </si>
  <si>
    <t>ADRENALIN LECIVA</t>
  </si>
  <si>
    <t>INJ 5X1ML/1MG</t>
  </si>
  <si>
    <t>100502</t>
  </si>
  <si>
    <t>502</t>
  </si>
  <si>
    <t>MESOCAIN</t>
  </si>
  <si>
    <t>INJ 10X10ML 1%</t>
  </si>
  <si>
    <t>100802</t>
  </si>
  <si>
    <t>802</t>
  </si>
  <si>
    <t>OPHTHALMO-SEPTONEX</t>
  </si>
  <si>
    <t>GTT OPH 1X10ML</t>
  </si>
  <si>
    <t>162320</t>
  </si>
  <si>
    <t>62320</t>
  </si>
  <si>
    <t>BETADINE</t>
  </si>
  <si>
    <t>UNG 1X20GM</t>
  </si>
  <si>
    <t>395210</t>
  </si>
  <si>
    <t>Aqua Touch Jelly 25x6ml</t>
  </si>
  <si>
    <t>905097</t>
  </si>
  <si>
    <t>23987</t>
  </si>
  <si>
    <t>DZ OCTENISEPT 250 ml</t>
  </si>
  <si>
    <t>905098</t>
  </si>
  <si>
    <t>23989</t>
  </si>
  <si>
    <t>DZ OCTENISEPT 1 l</t>
  </si>
  <si>
    <t>169789</t>
  </si>
  <si>
    <t>69789</t>
  </si>
  <si>
    <t>AQUA PRO INJECTIONE ARDEAPHARMA</t>
  </si>
  <si>
    <t>INF 1X500ML</t>
  </si>
  <si>
    <t>921458</t>
  </si>
  <si>
    <t>KL ETHER 200G</t>
  </si>
  <si>
    <t>117011</t>
  </si>
  <si>
    <t>17011</t>
  </si>
  <si>
    <t>DICYNONE 250</t>
  </si>
  <si>
    <t>INJ SOL 4X2ML/250MG</t>
  </si>
  <si>
    <t>394712</t>
  </si>
  <si>
    <t>IR  AQUA STERILE OPLACH.1x1000 ml ECOTAINER</t>
  </si>
  <si>
    <t>IR OPLACH</t>
  </si>
  <si>
    <t>16321</t>
  </si>
  <si>
    <t>BRAUNOVIDON MAST</t>
  </si>
  <si>
    <t>DRM UNG 1X250GM</t>
  </si>
  <si>
    <t>103388</t>
  </si>
  <si>
    <t>3388</t>
  </si>
  <si>
    <t>FLUCINAR</t>
  </si>
  <si>
    <t>UNG 1X15GM 0.025%</t>
  </si>
  <si>
    <t>116324</t>
  </si>
  <si>
    <t>16324</t>
  </si>
  <si>
    <t>BRAUNOVIDON GAZA S MASTI</t>
  </si>
  <si>
    <t>DRM LIG IPR 1X7.5X10CM</t>
  </si>
  <si>
    <t>790001</t>
  </si>
  <si>
    <t>TRAUMACEL P 2G</t>
  </si>
  <si>
    <t>neleč.</t>
  </si>
  <si>
    <t>198880</t>
  </si>
  <si>
    <t>98880</t>
  </si>
  <si>
    <t>FYZIOLOGICKÝ ROZTOK VIAFLO</t>
  </si>
  <si>
    <t>INF SOL 10X1000ML</t>
  </si>
  <si>
    <t>920200</t>
  </si>
  <si>
    <t>15877</t>
  </si>
  <si>
    <t>DZ BRAUNOL 1 L</t>
  </si>
  <si>
    <t>102439</t>
  </si>
  <si>
    <t>2439</t>
  </si>
  <si>
    <t>MARCAINE 0.5%</t>
  </si>
  <si>
    <t>INJ SOL5X20ML/100MG</t>
  </si>
  <si>
    <t>115879</t>
  </si>
  <si>
    <t>198313</t>
  </si>
  <si>
    <t>DZ BRAUNOL FOAM 200ml</t>
  </si>
  <si>
    <t>920273</t>
  </si>
  <si>
    <t>KL SOL.FORMAL.K FIXACI TKANI,5000G</t>
  </si>
  <si>
    <t>500989</t>
  </si>
  <si>
    <t>KL MS HYDROG.PEROX. 3% 1000g</t>
  </si>
  <si>
    <t>900011</t>
  </si>
  <si>
    <t>KL SOL.HYD.PEROX.3% 1000G</t>
  </si>
  <si>
    <t>501075</t>
  </si>
  <si>
    <t>IR  NaCl 0,9% 3000 ml vak Bieffe</t>
  </si>
  <si>
    <t>for irrig. 1x3000 ml 15%</t>
  </si>
  <si>
    <t>501047</t>
  </si>
  <si>
    <t>KL TALCUM 20g, STERILNÍ</t>
  </si>
  <si>
    <t>100477</t>
  </si>
  <si>
    <t>477</t>
  </si>
  <si>
    <t>HEPARIN FORTE LECIVA</t>
  </si>
  <si>
    <t>INJ 5X1ML/25KU</t>
  </si>
  <si>
    <t>901171</t>
  </si>
  <si>
    <t>IR PARAFFINUM PERLIQUIDUM 10 ml</t>
  </si>
  <si>
    <t>IR 10 ml</t>
  </si>
  <si>
    <t>900530</t>
  </si>
  <si>
    <t>KL ROZTOK LNRS,4000G</t>
  </si>
  <si>
    <t>200863</t>
  </si>
  <si>
    <t>OPH GTT SOL 1X10ML PLAST</t>
  </si>
  <si>
    <t>50113013</t>
  </si>
  <si>
    <t>101066</t>
  </si>
  <si>
    <t>1066</t>
  </si>
  <si>
    <t>FRAMYKOIN</t>
  </si>
  <si>
    <t>UNG 1X10GM</t>
  </si>
  <si>
    <t>101076</t>
  </si>
  <si>
    <t>1076</t>
  </si>
  <si>
    <t>OPHTHALMO-FRAMYKOIN</t>
  </si>
  <si>
    <t>UNG OPH 1X5GM</t>
  </si>
  <si>
    <t>193746</t>
  </si>
  <si>
    <t>93746</t>
  </si>
  <si>
    <t>HEPARIN LECIVA</t>
  </si>
  <si>
    <t>INJ 1X10ML/50KU</t>
  </si>
  <si>
    <t>198872</t>
  </si>
  <si>
    <t>98872</t>
  </si>
  <si>
    <t>INF SOL 30X250ML</t>
  </si>
  <si>
    <t>4704</t>
  </si>
  <si>
    <t>500701</t>
  </si>
  <si>
    <t>IR  AQUA STERILE OPLACH 1000 ml Pour Bottle Prom.</t>
  </si>
  <si>
    <t>Centrální operační sály</t>
  </si>
  <si>
    <t>Centrální operační sály , centrální operační sály</t>
  </si>
  <si>
    <t>COS - Operační sály dětské chirurgie</t>
  </si>
  <si>
    <t>COSS, IOP - Mod.obn.přístr.vyb.c.k.onkologické p.</t>
  </si>
  <si>
    <t>Lékárna - léčiva</t>
  </si>
  <si>
    <t>Lékárna - antibiotika</t>
  </si>
  <si>
    <t xml:space="preserve">47 - Centrální operační sály </t>
  </si>
  <si>
    <t xml:space="preserve">4764 - centrální operační sály </t>
  </si>
  <si>
    <t>4766 - operační sály dětské chirurgie</t>
  </si>
  <si>
    <t>50115006     implant.umělé těl.náhr.-neuromod.-DBS(s.Z_508)</t>
  </si>
  <si>
    <t>50115090     ostatní ZPr - zubolékařský materiál (sk.Z_509)</t>
  </si>
  <si>
    <t>ZA047</t>
  </si>
  <si>
    <t xml:space="preserve">Tampon proš. NT s RTG 45 x 45 cm bal. tkanicí á 50 ks 03100 </t>
  </si>
  <si>
    <t>ZA317</t>
  </si>
  <si>
    <t>Krytí s mastí atrauman 5 x  5 cm bal. á 10 ks 499510</t>
  </si>
  <si>
    <t>ZA330</t>
  </si>
  <si>
    <t>Obinadlo fixa crep   8 cm x 4 m 1323100103</t>
  </si>
  <si>
    <t>ZA331</t>
  </si>
  <si>
    <t>Obinadlo fixa crep 10 cm x 4 m 1323100104</t>
  </si>
  <si>
    <t>ZA338</t>
  </si>
  <si>
    <t>Obinadlo hydrofilní   6 cm x   5 m 13005</t>
  </si>
  <si>
    <t>ZA424</t>
  </si>
  <si>
    <t>Obinadlo elastické idealtex 14 cm x 5 m 9310643</t>
  </si>
  <si>
    <t>ZA426</t>
  </si>
  <si>
    <t>Obinadlo hydrofilní 16 cm x 10 m 13014</t>
  </si>
  <si>
    <t>ZA429</t>
  </si>
  <si>
    <t>Obinadlo elastické idealtex   8 cm x 5 m 931061</t>
  </si>
  <si>
    <t>ZA436</t>
  </si>
  <si>
    <t>Obinadlo pruban č.12 427312</t>
  </si>
  <si>
    <t>ZA444</t>
  </si>
  <si>
    <t>Tampon nesterilní stáčený 20 x 19 cm 1320300404</t>
  </si>
  <si>
    <t>ZA446</t>
  </si>
  <si>
    <t>Vata buničitá přířezy 20 x 30 cm 1230200129</t>
  </si>
  <si>
    <t>ZA451</t>
  </si>
  <si>
    <t>Náplast omniplast 5 cm x 9,2 m 9004540 (900429)</t>
  </si>
  <si>
    <t>ZA508</t>
  </si>
  <si>
    <t>Rouška břišní předepraná 40 x 40 cm zelená 20 nití ,karton á 300 ks, 03012+</t>
  </si>
  <si>
    <t>ZA539</t>
  </si>
  <si>
    <t>Kompresa NT 10 x 10 cm nesterilní 06103</t>
  </si>
  <si>
    <t>ZA540</t>
  </si>
  <si>
    <t>Náplast omnifix E 15 cm x 10 m 9006513</t>
  </si>
  <si>
    <t>ZA547</t>
  </si>
  <si>
    <t>Krytí inadine nepřilnavé 9,5 x 9,5 cm 1/10 SYS01512EE</t>
  </si>
  <si>
    <t>ZA601</t>
  </si>
  <si>
    <t>Obinadlo fixa crep 12 cm x 4 m 1323100105</t>
  </si>
  <si>
    <t>ZA614</t>
  </si>
  <si>
    <t>Gáza přířezy 48 cm x 50 cm 17 nití karton á 750 ks 07012+</t>
  </si>
  <si>
    <t>ZB084</t>
  </si>
  <si>
    <t>Náplast transpore 2,50 cm x 9,14 m 1527-1</t>
  </si>
  <si>
    <t>ZB085</t>
  </si>
  <si>
    <t>Krytí surgicel standard 5 x 7,50 cm bal. á 12 ks 1903GB</t>
  </si>
  <si>
    <t>ZC352</t>
  </si>
  <si>
    <t>Obinadlo elastické universalní 12 cm x 10 m bal. á 12 ks 1320200207</t>
  </si>
  <si>
    <t>ZC725</t>
  </si>
  <si>
    <t>Obvaz ortho-pad 15 cm x 3 m 1320105005</t>
  </si>
  <si>
    <t>ZC848</t>
  </si>
  <si>
    <t>Obvaz ortho-pad 10 cm x 3 m karton á 120 ks 1320105004</t>
  </si>
  <si>
    <t>ZC857</t>
  </si>
  <si>
    <t>Krytí mastný tyl grassolind 10 x 20 cm bal. á 30 ks 4993368</t>
  </si>
  <si>
    <t>ZC885</t>
  </si>
  <si>
    <t>Náplast omnifix E 10 cm x 10 m 900650</t>
  </si>
  <si>
    <t>ZD104</t>
  </si>
  <si>
    <t>Náplast omniplast 10,0 cm x 10,0 m 9004472 (900535)</t>
  </si>
  <si>
    <t>ZD825</t>
  </si>
  <si>
    <t>Tampon stáčený s RTG 50 cm x 50 cm tkanicí karton á 1250 ks 05002+</t>
  </si>
  <si>
    <t>ZD829</t>
  </si>
  <si>
    <t>Bandáž evelína pod sádru 1321303125</t>
  </si>
  <si>
    <t>ZI558</t>
  </si>
  <si>
    <t>Náplast curapor   7 x   5 cm 22 120 ( náhrada za cosmopor )</t>
  </si>
  <si>
    <t>ZI599</t>
  </si>
  <si>
    <t>Náplast curapor 10 x   8 cm 22121 ( náhrada za cosmopor )</t>
  </si>
  <si>
    <t>ZI600</t>
  </si>
  <si>
    <t>Náplast curapor 10 x 15 cm 22122 ( náhrada za cosmopor )</t>
  </si>
  <si>
    <t>ZI601</t>
  </si>
  <si>
    <t>Náplast curapor 10 x 20 cm 22123 ( náhrada za cosmopor )</t>
  </si>
  <si>
    <t>ZA417</t>
  </si>
  <si>
    <t>Krytí mastný tyl lomatuell H 10 x 20, á 10 ks, 23316</t>
  </si>
  <si>
    <t>ZA488</t>
  </si>
  <si>
    <t>Tampon nesterilní stáčený 9 x 9 cm karton á 12000 ks 1320300411</t>
  </si>
  <si>
    <t>ZA531</t>
  </si>
  <si>
    <t>Textilie obv.kombinov. 140-3020 COM 30</t>
  </si>
  <si>
    <t>ZB086</t>
  </si>
  <si>
    <t>Krytí surgicel standard 10 x 20,0 cm bal. á 24 ks 1902GB</t>
  </si>
  <si>
    <t>ZL762</t>
  </si>
  <si>
    <t>Krytí okcel H-T 510  7 x 10 cm bal. á 15 ks 2080710 - již se nevyrábí</t>
  </si>
  <si>
    <t>ZA513</t>
  </si>
  <si>
    <t>Krytí s mastí atrauman 10 x 10 cm bal. á 10 ks 499573</t>
  </si>
  <si>
    <t>ZB048</t>
  </si>
  <si>
    <t>Krytí cellistyp F (fibrilar) 2,5 x 5 cm bal. á 10 ks (náhrada za okcel) 2082025</t>
  </si>
  <si>
    <t>ZB049</t>
  </si>
  <si>
    <t>Krytí cellistyp 7 x 10 cm bal. á 15 ks (náhrada za okcel) 2080511</t>
  </si>
  <si>
    <t>ZL814</t>
  </si>
  <si>
    <t xml:space="preserve">Krytí nevstřebatelné textilní hemostatikum s kaolínem QuikClot 10 x 10cm 2090301 </t>
  </si>
  <si>
    <t>ZJ230</t>
  </si>
  <si>
    <t>Krytí okcel H-D 7 x 10 cm bal. á 10 ks 2087010 - již se nevyrábí</t>
  </si>
  <si>
    <t>ZE824</t>
  </si>
  <si>
    <t>Krytí cellistyp 5 x 7 cm bal. á 15 ks (náhrada za okcel) 2080508</t>
  </si>
  <si>
    <t>ZF454</t>
  </si>
  <si>
    <t>Obinadlo elastické lenkideal krátkotažné 12 cm x 5 m bal. á 10 ks 19584</t>
  </si>
  <si>
    <t>ZA645</t>
  </si>
  <si>
    <t>Krytí s mastí atrauman   5 x   5 cm bal. á 10 ks 499571</t>
  </si>
  <si>
    <t>ZA210</t>
  </si>
  <si>
    <t>Cévka vyživovací CV-01 GAM646957</t>
  </si>
  <si>
    <t>ZA674</t>
  </si>
  <si>
    <t>Cévka CN-01 646959</t>
  </si>
  <si>
    <t>ZA690</t>
  </si>
  <si>
    <t>Čepelka skalpelová 10 BB510</t>
  </si>
  <si>
    <t>ZA749</t>
  </si>
  <si>
    <t>Stříkačka injekční 3-dílná 50 ml LL Omnifix Solo 4617509F</t>
  </si>
  <si>
    <t>ZA757</t>
  </si>
  <si>
    <t>Drén redon CH16 50 cm U2111600</t>
  </si>
  <si>
    <t>ZA758</t>
  </si>
  <si>
    <t>Drén redon CH14 50 cm U2111400</t>
  </si>
  <si>
    <t>ZA759</t>
  </si>
  <si>
    <t>Drén redon CH10 50 cm U2111000</t>
  </si>
  <si>
    <t>ZA761</t>
  </si>
  <si>
    <t>Drén redon CH12 50 cm U2111200</t>
  </si>
  <si>
    <t>ZA787</t>
  </si>
  <si>
    <t>Stříkačka injekční 2-dílná 10 ml L Inject Solo 4606108V</t>
  </si>
  <si>
    <t>ZA788</t>
  </si>
  <si>
    <t>Stříkačka injekční 2-dílná 20 ml L Inject Solo 4606205V</t>
  </si>
  <si>
    <t>ZA789</t>
  </si>
  <si>
    <t>Stříkačka injekční 2-dílná 2 ml L Inject Solo 4606027V</t>
  </si>
  <si>
    <t>ZA817</t>
  </si>
  <si>
    <t>Zkumavka PS 10 ml sterilní 400914</t>
  </si>
  <si>
    <t>ZA890</t>
  </si>
  <si>
    <t>Elektroda neutrální jednorázová 20193-071</t>
  </si>
  <si>
    <t>ZA964</t>
  </si>
  <si>
    <t>Stříkačka janett 3-dílná 60 ml vyplachovací MRG564</t>
  </si>
  <si>
    <t>Stříkačka janett 3-dílná 60 ml sterilní vyplachovací MRG564</t>
  </si>
  <si>
    <t>ZB026</t>
  </si>
  <si>
    <t>Hadice silikon 5 x 9,00 x 2,00 mm á 10 m pro drenáž těl.dutin KVS 60-050090</t>
  </si>
  <si>
    <t>ZB103</t>
  </si>
  <si>
    <t>Láhev k odsávačce flovac 2l hadice 1,8 m 000-036-021</t>
  </si>
  <si>
    <t>ZB249</t>
  </si>
  <si>
    <t>Sáček močový s křížovou výpustí sterilní 2000 ml ZAR-TNU201601</t>
  </si>
  <si>
    <t>ZB399</t>
  </si>
  <si>
    <t>Hadička PVC 1/1,5 KVS 599812</t>
  </si>
  <si>
    <t>ZB598</t>
  </si>
  <si>
    <t>Spojka přímá symetrická 7 x 7 mm 120 430</t>
  </si>
  <si>
    <t>ZB780</t>
  </si>
  <si>
    <t>Kontejner 120 ml sterilní 331690250350</t>
  </si>
  <si>
    <t>ZB797</t>
  </si>
  <si>
    <t>Hadice silikon 4 x 7,00 x 1,50 mm á 10 m pro drenáž těl.dutin KVS 60-040070</t>
  </si>
  <si>
    <t>ZC728</t>
  </si>
  <si>
    <t>Hadice silikon 1,5 x 3 m á 25 m 34.000.00.101</t>
  </si>
  <si>
    <t>ZC751</t>
  </si>
  <si>
    <t>Čepelka skalpelová 11 BB511</t>
  </si>
  <si>
    <t>ZC752</t>
  </si>
  <si>
    <t>Čepelka skalpelová 15 BB515</t>
  </si>
  <si>
    <t>ZC755</t>
  </si>
  <si>
    <t>Čepelka skalpelová 22 BB522</t>
  </si>
  <si>
    <t>ZC756</t>
  </si>
  <si>
    <t>Čepelka skalpelová 23 BB523</t>
  </si>
  <si>
    <t>ZC900</t>
  </si>
  <si>
    <t>Systém odsávací hi-vac 200 ml-komplet bal. á 60 ks 05.000.22.801</t>
  </si>
  <si>
    <t>ZE310</t>
  </si>
  <si>
    <t>Nádoba na kontaminovaný odpad CS 6 l pův. 077802300</t>
  </si>
  <si>
    <t>ZF159</t>
  </si>
  <si>
    <t>Nádoba na kontaminovaný odpad 1 l 15-0002</t>
  </si>
  <si>
    <t>ZF985</t>
  </si>
  <si>
    <t>Katetr močový foley 24CH bal. á 12 ks 1620-02</t>
  </si>
  <si>
    <t>ZH072</t>
  </si>
  <si>
    <t>Hadice spojovací k odsávacím soupravám CH30 délka 3 m 07.068.30.301</t>
  </si>
  <si>
    <t>ZH493</t>
  </si>
  <si>
    <t>Katetr močový foley CH16 180605-000160</t>
  </si>
  <si>
    <t>ZH816</t>
  </si>
  <si>
    <t>Katetr močový foley CH14 180605-000140</t>
  </si>
  <si>
    <t>ZH817</t>
  </si>
  <si>
    <t>Katetr močový foley CH18 180605-000180</t>
  </si>
  <si>
    <t>ZI179</t>
  </si>
  <si>
    <t>Zkumavka s mediem+ flovakovaný tampon eSwab růžový 490CE.A</t>
  </si>
  <si>
    <t>ZJ310</t>
  </si>
  <si>
    <t>Katetr močový foley CH12 180605-000120</t>
  </si>
  <si>
    <t>ZJ312</t>
  </si>
  <si>
    <t>Sonda žaludeční CH16 1200 mm s RTG linkou bal. á 50 ks 412016</t>
  </si>
  <si>
    <t>ZJ696</t>
  </si>
  <si>
    <t>Sonda žaludeční CH18 1200 mm s RTG linkou bal. á 30 ks 412018</t>
  </si>
  <si>
    <t>ZJ703</t>
  </si>
  <si>
    <t>Sonda žaludeční CH8 1200mm s RTG linkou bal. á 10 ks 412008</t>
  </si>
  <si>
    <t>ZK179</t>
  </si>
  <si>
    <t>Sonda žaludeční CH12 1200 mm s RTG linkou bal. á 10 ks 412012</t>
  </si>
  <si>
    <t>ZB071</t>
  </si>
  <si>
    <t>Podložka almarys twin+pooperační 39080U</t>
  </si>
  <si>
    <t>ZB072</t>
  </si>
  <si>
    <t>Sáček almarys Twin+pooperační 039980U</t>
  </si>
  <si>
    <t>ZB502</t>
  </si>
  <si>
    <t>Hadice silikon 3 x 5 mm á 25 m 34.000.00.103</t>
  </si>
  <si>
    <t>ZB557</t>
  </si>
  <si>
    <t>Přechodka adapter combifix rekord - luer 4090306</t>
  </si>
  <si>
    <t>ZE174</t>
  </si>
  <si>
    <t>Nádoba na histologický mat. 920 ml 333000041024</t>
  </si>
  <si>
    <t>ZF176</t>
  </si>
  <si>
    <t>Nádoba na histologický mat. 5,7 l 333000086003</t>
  </si>
  <si>
    <t>Nádoba na histologický mat. 5700 ml 333000086003</t>
  </si>
  <si>
    <t>ZF574</t>
  </si>
  <si>
    <t>Drén redon CH18 50 cm U2111800</t>
  </si>
  <si>
    <t>ZH519</t>
  </si>
  <si>
    <t>Gumička těsnící k laparosk.trokarům 3 mm á 10 ks A5857</t>
  </si>
  <si>
    <t>ZH521</t>
  </si>
  <si>
    <t>Gumička spojovací k laparosk.redukci bal.10 ks A5858</t>
  </si>
  <si>
    <t>ZL464</t>
  </si>
  <si>
    <t xml:space="preserve">Popisovač sterilní se dvěma hroty Sandel 4-in-1Marker, bal. á 25 ks, S1041F </t>
  </si>
  <si>
    <t>ZL627</t>
  </si>
  <si>
    <t xml:space="preserve">Hadice silikon 4 x 6,00 x 1,00 mm á 10 m pro drenáž tělních dutin KVS 60-040060 </t>
  </si>
  <si>
    <t>ZA891</t>
  </si>
  <si>
    <t>Elektroda neutrální nessy ke koagulaci á 50 ks 20193-070</t>
  </si>
  <si>
    <t>ZL862</t>
  </si>
  <si>
    <t xml:space="preserve">Reservoár balonkový sací J-VAC 100ml bal á 10 ks 2160 </t>
  </si>
  <si>
    <t>ZL861</t>
  </si>
  <si>
    <t xml:space="preserve">Drén silikonový BLAKE plochý 7 mm bal á 10 ks 2211 </t>
  </si>
  <si>
    <t>ZE385</t>
  </si>
  <si>
    <t>Hadice silikon 1 x 3,0 mm á 25 m 34.000.00.100</t>
  </si>
  <si>
    <t>ZA586</t>
  </si>
  <si>
    <t xml:space="preserve">Stříkačka injekční 2 ml LL KDM bal. á 100 ks, 831908 02-0070 </t>
  </si>
  <si>
    <t>ZA783</t>
  </si>
  <si>
    <t>Drén Easy Flow 40 mm/30 cm, á 10 ks, 97.816.92.224</t>
  </si>
  <si>
    <t>ZD425</t>
  </si>
  <si>
    <t>Nůž k elektrodermatomu á 10 ks GB228 R</t>
  </si>
  <si>
    <t>ZF175</t>
  </si>
  <si>
    <t>Nádoba na histologický mat. 3000 ml 333 003 723 001</t>
  </si>
  <si>
    <t>ZA892</t>
  </si>
  <si>
    <t>Elektroda neutrální kojenecká bal. á 50 ks 20193-073</t>
  </si>
  <si>
    <t>ZE456</t>
  </si>
  <si>
    <t>Nádoba na histologický mat. 1000 ml 1396</t>
  </si>
  <si>
    <t>ZK719</t>
  </si>
  <si>
    <t>Hadice 3 m splash vac 57270</t>
  </si>
  <si>
    <t>ZC018</t>
  </si>
  <si>
    <t>Klip hem-o-lok XL bal. á 14 ks WK544250</t>
  </si>
  <si>
    <t>ZF174</t>
  </si>
  <si>
    <t>Nádoba na histologický mat. 400 ml 333000041012</t>
  </si>
  <si>
    <t>ZB748</t>
  </si>
  <si>
    <t>Spojka T 7-7-7 UH 86067572</t>
  </si>
  <si>
    <t>ZD822</t>
  </si>
  <si>
    <t>Hadice silikon 6 x 10,0 x 2,00 mm á 10 m KVS 60-060100</t>
  </si>
  <si>
    <t>ZM314</t>
  </si>
  <si>
    <t>Vak jednorázový k odsávačce flovac 2l hadice 1,8 m 000-036-031</t>
  </si>
  <si>
    <t>ZB057</t>
  </si>
  <si>
    <t>Katetr močový bez balónku tiemann CH22 , délka 40 cm 14-22.200</t>
  </si>
  <si>
    <t>ZD144</t>
  </si>
  <si>
    <t>Hadice spojovací drén-láhev 07.092.00.200</t>
  </si>
  <si>
    <t>ZL125</t>
  </si>
  <si>
    <t>Nástroj odsávací a koagulační k mediastinoskopu 8291.102</t>
  </si>
  <si>
    <t>ZJ683</t>
  </si>
  <si>
    <t xml:space="preserve">Držák na prsty pro operace na ruce plast modrý chirobloc large - ballets ECBM </t>
  </si>
  <si>
    <t>ZA015</t>
  </si>
  <si>
    <t>Šroub kortikální 1.5 mm 200.808</t>
  </si>
  <si>
    <t>ZA016</t>
  </si>
  <si>
    <t>Šroub kortikální 1.5 mm 200.812</t>
  </si>
  <si>
    <t>ZC208</t>
  </si>
  <si>
    <t>Šroub kortikální 1.5 mm 200.811</t>
  </si>
  <si>
    <t>ZC473</t>
  </si>
  <si>
    <t>Obturátor, á 24 ks, 420023-02</t>
  </si>
  <si>
    <t>Obturátor á 24 ks 420023-02</t>
  </si>
  <si>
    <t>ZD613</t>
  </si>
  <si>
    <t xml:space="preserve">Obal na rameno robota bal. á 20 ks 420015-03 </t>
  </si>
  <si>
    <t>ZE762</t>
  </si>
  <si>
    <t>Nástroj robotický jehelec 8 mm 1 kus = 10 životů 420006-06</t>
  </si>
  <si>
    <t>ZE765</t>
  </si>
  <si>
    <t>Nástroj robotický kleště 8 mm 420093-8</t>
  </si>
  <si>
    <t>ZE766</t>
  </si>
  <si>
    <t>Nástroj robotický příslušenství 400180-12</t>
  </si>
  <si>
    <t>ZE842</t>
  </si>
  <si>
    <t>Obal na kameru sterilní Camera drape bal. á 20 ks 400027-04</t>
  </si>
  <si>
    <t>ZE843</t>
  </si>
  <si>
    <t>Obal na kameru sterilní Camera arm drape bal. á 20 ks 420022-02</t>
  </si>
  <si>
    <t>ZE918</t>
  </si>
  <si>
    <t>Nůžky monopolární na pálení 420179-10</t>
  </si>
  <si>
    <t>ZE919</t>
  </si>
  <si>
    <t>Kleště maryland biopolární 420172-07</t>
  </si>
  <si>
    <t>ZF349</t>
  </si>
  <si>
    <t>Přechodka k robotickému systému cannula seal 8 mm bal. á 10 ks 400077-04</t>
  </si>
  <si>
    <t>ZL330</t>
  </si>
  <si>
    <t>Kamera panasonic HD cabel 371564</t>
  </si>
  <si>
    <t>ZH058</t>
  </si>
  <si>
    <t>Set odsávací R.Wolf - sada pro oplach a sání, resterilizovatelná 81702215</t>
  </si>
  <si>
    <t>ZI482</t>
  </si>
  <si>
    <t>Redukce na trokary cannula seal 8 mm á 10 ks 400077</t>
  </si>
  <si>
    <t>ZH575</t>
  </si>
  <si>
    <t>Katetr urologický cystofix FG 15 4440153</t>
  </si>
  <si>
    <t>ZH282</t>
  </si>
  <si>
    <t>Klip titanový - small PL565T</t>
  </si>
  <si>
    <t>ZA715</t>
  </si>
  <si>
    <t>Set infuzní intrafix primeline classic 150 cm 4062957</t>
  </si>
  <si>
    <t>ZD721</t>
  </si>
  <si>
    <t>Set odsávací CH 6-18 05.000.22.641</t>
  </si>
  <si>
    <t>ZM356</t>
  </si>
  <si>
    <t>Set hadic luer s trnem 3D Einstein PG131</t>
  </si>
  <si>
    <t>ZA248</t>
  </si>
  <si>
    <t>Šití prolen bl 2/0 bal. á 12 ks W8977</t>
  </si>
  <si>
    <t>ZA250</t>
  </si>
  <si>
    <t>Šití ethbond zelený 2/0 bal. á 12 ks W6767</t>
  </si>
  <si>
    <t>ZA853</t>
  </si>
  <si>
    <t>Šití prolen bl 5/0 bal. á 12 ks W8830</t>
  </si>
  <si>
    <t>ZA958</t>
  </si>
  <si>
    <t>Šití safil fialový 2/0 bal. á 36 ks C1048251</t>
  </si>
  <si>
    <t>ZB033</t>
  </si>
  <si>
    <t>Šití dafilon modrý 3/0 bal. á 36 ks C0935468</t>
  </si>
  <si>
    <t>ZB034</t>
  </si>
  <si>
    <t>Šití dafilon modrý 2/0 bal. á 36 ks C0935476</t>
  </si>
  <si>
    <t>ZB039</t>
  </si>
  <si>
    <t>Šití ventrofil bal. á 4 ks 993034</t>
  </si>
  <si>
    <t>ZB196</t>
  </si>
  <si>
    <t>Šití prolen 4/0 bal. á 36 ks EH7151H</t>
  </si>
  <si>
    <t>ZB214</t>
  </si>
  <si>
    <t>Šití safil fialový 4/0 bal. á 36 ks C1048029</t>
  </si>
  <si>
    <t>ZB215</t>
  </si>
  <si>
    <t>Šití safil fialový 3/0 bal. á 36 ks C1048041</t>
  </si>
  <si>
    <t>ZB216</t>
  </si>
  <si>
    <t>Šití safil fialový 2/0 bal. á 36 ks C1048051</t>
  </si>
  <si>
    <t>ZB217</t>
  </si>
  <si>
    <t>Šití dafilon modrý 3/0 bal. á 36 ks C0932353</t>
  </si>
  <si>
    <t>ZB220</t>
  </si>
  <si>
    <t>Šití safil fialový 3/0 bal. á 36 ks C1048046</t>
  </si>
  <si>
    <t>ZB520</t>
  </si>
  <si>
    <t>Šití safil fialový 3/0 bal. á 12 ks G1038715</t>
  </si>
  <si>
    <t>ZB717</t>
  </si>
  <si>
    <t>Šití prolen bl 4/0 bal. á 12 ks W8845</t>
  </si>
  <si>
    <t>ZB979</t>
  </si>
  <si>
    <t>Šití dafilon modrý 4/0 bal. á 36 ks C0932205</t>
  </si>
  <si>
    <t>ZE801</t>
  </si>
  <si>
    <t>Šití monocryl 3/0 bal. á 12 ks W3637</t>
  </si>
  <si>
    <t>ZF699</t>
  </si>
  <si>
    <t xml:space="preserve">Šití premicron 3/0, 2,5 m bal. á 12 ks G0120060 </t>
  </si>
  <si>
    <t>ZG672</t>
  </si>
  <si>
    <t>Šití safil quick 4/0 bal. á 36 ks C1046013</t>
  </si>
  <si>
    <t>ZG849</t>
  </si>
  <si>
    <t>Šití premicron 2/0 2,5 m bal. á 12 ks G0120061</t>
  </si>
  <si>
    <t>ZG886</t>
  </si>
  <si>
    <t>Šití premicron 1 2,5 m bal. á 12 ks G0120063</t>
  </si>
  <si>
    <t>ZH872</t>
  </si>
  <si>
    <t xml:space="preserve">Šití ethbond excel 0 90 cm bal. á 12 ks W6978 </t>
  </si>
  <si>
    <t>ZA917</t>
  </si>
  <si>
    <t>Šití silon braided white bal. á 20 ks SB2056</t>
  </si>
  <si>
    <t>ZB036</t>
  </si>
  <si>
    <t>Šití safil fialový 2 bal. á 36 ks C1038210</t>
  </si>
  <si>
    <t>ZB185</t>
  </si>
  <si>
    <t>Šití vicryl un 4/0 bal. á 12 ks W9951</t>
  </si>
  <si>
    <t>ZB200</t>
  </si>
  <si>
    <t>Šití ethbond zelený 2/0 bal. á 20 ks X41003</t>
  </si>
  <si>
    <t>ZB211</t>
  </si>
  <si>
    <t>Šití safil fialový 2/0 bal. á 36 ks C1048047</t>
  </si>
  <si>
    <t>ZB213</t>
  </si>
  <si>
    <t>Šití safil fialový 5/0 bal. á 36 ks C1048012</t>
  </si>
  <si>
    <t>ZB279</t>
  </si>
  <si>
    <t>Šití prolen bl 6/0 bal. á 12 ks W8815</t>
  </si>
  <si>
    <t>ZB560</t>
  </si>
  <si>
    <t>Šití prolen 3/0 bal. á 12 ks W8630</t>
  </si>
  <si>
    <t>ZB718</t>
  </si>
  <si>
    <t>Šití prolen bl 4/0 bal. á 12 ks W8840</t>
  </si>
  <si>
    <t>ZB878</t>
  </si>
  <si>
    <t>Šití safil quick 2/0 bal. á 36 ks C1046042</t>
  </si>
  <si>
    <t>ZC135</t>
  </si>
  <si>
    <t>Šití safil fialový 2/0 bal. á 36 ks C1048031</t>
  </si>
  <si>
    <t>ZC789</t>
  </si>
  <si>
    <t>Šití safil fialový 0 bal. á 12 ks G1038717</t>
  </si>
  <si>
    <t>ZC876</t>
  </si>
  <si>
    <t>Šití vicryl rapide 5/0 bal. á 36 ks V4930H</t>
  </si>
  <si>
    <t>ZD067</t>
  </si>
  <si>
    <t>Šití safil fialový 2/0 bal. á 36 ks C1048042</t>
  </si>
  <si>
    <t>ZG876</t>
  </si>
  <si>
    <t xml:space="preserve">Šití premicron 0 2,5 m bal. á 12 ks G0120062 </t>
  </si>
  <si>
    <t>ZI467</t>
  </si>
  <si>
    <t>Šití monoplus fialový bal. á 24 ks B0024091</t>
  </si>
  <si>
    <t>ZM044</t>
  </si>
  <si>
    <t>Šití PDS 4-0 bal. á 36 ks W9115H</t>
  </si>
  <si>
    <t>ZD196</t>
  </si>
  <si>
    <t>Šití monosyn bezbarvý 4/0 bal. á 36 ks C0023634</t>
  </si>
  <si>
    <t>ZK581</t>
  </si>
  <si>
    <t>Šití monocryl 3/0 bal. á 12 ks W3650</t>
  </si>
  <si>
    <t>ZD308</t>
  </si>
  <si>
    <t>Šití monocryl 3/0 bal. á 12 ks W3664</t>
  </si>
  <si>
    <t>ZA865</t>
  </si>
  <si>
    <t>Šití prolen 2/0 bal. á 12 ks W8400</t>
  </si>
  <si>
    <t>ZA975</t>
  </si>
  <si>
    <t>Šití safil fialový 4/0 bal. á 36 ks C1048220</t>
  </si>
  <si>
    <t>ZB115</t>
  </si>
  <si>
    <t>Šití prolen bl 3/0 bal. á 12 ks W8849</t>
  </si>
  <si>
    <t>ZB219</t>
  </si>
  <si>
    <t>Šití safil fialový 2 bal. á 36 ks C1048535</t>
  </si>
  <si>
    <t>ZB514</t>
  </si>
  <si>
    <t>Šití tip cleaner bal. á 36 ks 4315</t>
  </si>
  <si>
    <t>ZA959</t>
  </si>
  <si>
    <t>Šití safil fialový 3/0 bal. á 36 ks C1048241</t>
  </si>
  <si>
    <t>ZE535</t>
  </si>
  <si>
    <t>Šití vicryl rapide un 6/0 bal. á 12 ks W9913</t>
  </si>
  <si>
    <t>ZG774</t>
  </si>
  <si>
    <t>Šití vicryl vi 6/0 bal. á 12 ks W9552</t>
  </si>
  <si>
    <t>ZE197</t>
  </si>
  <si>
    <t>Šití mopylen 4/0 DS 18 návlek  45 cm á 36 ks 7148</t>
  </si>
  <si>
    <t>ZC013</t>
  </si>
  <si>
    <t>Šití safil fialový 2/0 bal. á 36 ks C1048485</t>
  </si>
  <si>
    <t>ZB712</t>
  </si>
  <si>
    <t>Šití prolen bl 7/0 bal. á 12 ks W8801</t>
  </si>
  <si>
    <t>ZF541</t>
  </si>
  <si>
    <t>Šití prolen bl 7/0 bal. á 12 ks W8813</t>
  </si>
  <si>
    <t>ZA262</t>
  </si>
  <si>
    <t>Šití ethicon-drát ocelový bal. á 12 ks W995</t>
  </si>
  <si>
    <t>ZB508</t>
  </si>
  <si>
    <t>Šití safil fialový 2/0 bal. á 12 ks G1038716</t>
  </si>
  <si>
    <t>ZG004</t>
  </si>
  <si>
    <t>Šití safil fialový 1 bal. á 12 ks G1038719</t>
  </si>
  <si>
    <t>ZB019</t>
  </si>
  <si>
    <t>Šití monosyn bezbarvý 4/0 bal. á 36 ks C0023204</t>
  </si>
  <si>
    <t>ZB917</t>
  </si>
  <si>
    <t>Šití safil fialový 1 bal. á 36 ks C1048553</t>
  </si>
  <si>
    <t>ZB555</t>
  </si>
  <si>
    <t>Šití prolen bl 3/0 bal. á 12 ks W8522</t>
  </si>
  <si>
    <t>ZC667</t>
  </si>
  <si>
    <t>Šití polysorb 6/0 bal. á 36 ks GL-889</t>
  </si>
  <si>
    <t>ZF643</t>
  </si>
  <si>
    <t>Šití vicryl vi 7/0 bal. á 12 ks W9565</t>
  </si>
  <si>
    <t>ZM354</t>
  </si>
  <si>
    <t>Šití PDS 5/0 bal. á 36 ks W9108H</t>
  </si>
  <si>
    <t>ZB155</t>
  </si>
  <si>
    <t>Šití premilene 4/0 bal. á 36 ks C0090013</t>
  </si>
  <si>
    <t>ZD447</t>
  </si>
  <si>
    <t>Šití premicron zelený 3/0 bal. á 36 ks C0026025</t>
  </si>
  <si>
    <t>ZM355</t>
  </si>
  <si>
    <t>Šití ethbond excel 2/0 bal. á 12 ks W6760</t>
  </si>
  <si>
    <t>ZB529</t>
  </si>
  <si>
    <t>Šití monosyn bezbarvý 3/0 bal. á 36 ks C0023635</t>
  </si>
  <si>
    <t>ZC878</t>
  </si>
  <si>
    <t>Šití vicryl plus 4/0 70 cm bal. á 36 ks VCP3100H</t>
  </si>
  <si>
    <t>ZB241</t>
  </si>
  <si>
    <t>Šití vicryl plus 5/0 70 cm bal. á 36 ks VCP303H</t>
  </si>
  <si>
    <t>ZB212</t>
  </si>
  <si>
    <t>Šití safil fialový 6/0 bal. á 36 ks C1048006</t>
  </si>
  <si>
    <t>ZA360</t>
  </si>
  <si>
    <t>Jehla sterican 0,5 x 25 mm oranžová 9186158</t>
  </si>
  <si>
    <t>ZA832</t>
  </si>
  <si>
    <t>Jehla injekční 0,9 x   40 mm žlutá 4657519</t>
  </si>
  <si>
    <t>ZA833</t>
  </si>
  <si>
    <t>Jehla injekční 0,8 x   40 mm zelená 4657527</t>
  </si>
  <si>
    <t>ZA834</t>
  </si>
  <si>
    <t>Jehla injekční 0,7 x   40 mm černá 4660021</t>
  </si>
  <si>
    <t>ZB168</t>
  </si>
  <si>
    <t>Jehla chirurgická B10</t>
  </si>
  <si>
    <t>ZB204</t>
  </si>
  <si>
    <t>Jehla chirurgická G11</t>
  </si>
  <si>
    <t>ZB206</t>
  </si>
  <si>
    <t>Jehla chirurgická G6</t>
  </si>
  <si>
    <t>ZB248</t>
  </si>
  <si>
    <t>Jehla chirurgická G7</t>
  </si>
  <si>
    <t>ZB460</t>
  </si>
  <si>
    <t>Jehla chirurgicka G8</t>
  </si>
  <si>
    <t>ZB469</t>
  </si>
  <si>
    <t>Jehla chirurgická G15</t>
  </si>
  <si>
    <t>ZB478</t>
  </si>
  <si>
    <t>Jehla chirurgická B11</t>
  </si>
  <si>
    <t>ZB480</t>
  </si>
  <si>
    <t>Jehla chirurgická G10</t>
  </si>
  <si>
    <t>ZB556</t>
  </si>
  <si>
    <t>Jehla injekční 1,2 x   40 mm růžová 4665120</t>
  </si>
  <si>
    <t>ZB996</t>
  </si>
  <si>
    <t>Jehla chirurgická B9</t>
  </si>
  <si>
    <t>ZG676</t>
  </si>
  <si>
    <t>Jehla chirurgická s pérovými oušky bal. á 12 ks HSF - 17 3076</t>
  </si>
  <si>
    <t>ZG677</t>
  </si>
  <si>
    <t>Jehla chirurgická s pérovými oušky bal. á 12 ks HS - 26 3058</t>
  </si>
  <si>
    <t>ZB198</t>
  </si>
  <si>
    <t>Jehla chirurgická G3</t>
  </si>
  <si>
    <t>ZB133</t>
  </si>
  <si>
    <t>Jehla chirurgická G9</t>
  </si>
  <si>
    <t>ZG675</t>
  </si>
  <si>
    <t>Jehla chirurgická s pérovými oušky bal. á 12 ks HSF - 20 3075</t>
  </si>
  <si>
    <t>ZG673</t>
  </si>
  <si>
    <t>Jehla chirurgická s pérovými oušky bal. á 12 ks DSF - 25 3072</t>
  </si>
  <si>
    <t>ZF776</t>
  </si>
  <si>
    <t>Jehla chirurgická B16</t>
  </si>
  <si>
    <t>ZH089</t>
  </si>
  <si>
    <t>Jehla chirurgická GA7</t>
  </si>
  <si>
    <t>ZF983</t>
  </si>
  <si>
    <t>Jehla chirurgická B15</t>
  </si>
  <si>
    <t>ZG674</t>
  </si>
  <si>
    <t>Jehla chirurgická s pérovými oušky bal. á 12 ks DSF - 21 3073</t>
  </si>
  <si>
    <t>ZF984</t>
  </si>
  <si>
    <t>Jehla chirurgická B7</t>
  </si>
  <si>
    <t>ZI989</t>
  </si>
  <si>
    <t xml:space="preserve">Jehla chirurgická GA6 </t>
  </si>
  <si>
    <t>ZB276</t>
  </si>
  <si>
    <t>Jehla chirurgická B8</t>
  </si>
  <si>
    <t>ZF107</t>
  </si>
  <si>
    <t>Rukavice operační latexové bez pudru ortpedic vel. 7,0 5788203</t>
  </si>
  <si>
    <t>ZF431</t>
  </si>
  <si>
    <t>Rukavice operační gammex PF sensitive vel. 7,5 353195</t>
  </si>
  <si>
    <t>ZK482</t>
  </si>
  <si>
    <t>Rukavice operační latexové bez pudru ortpedic vel. 8,0 5788205</t>
  </si>
  <si>
    <t>ZK483</t>
  </si>
  <si>
    <t>Rukavice operační latexové bez pudru ortpedic vel. 7,5 5788204</t>
  </si>
  <si>
    <t>ZK683</t>
  </si>
  <si>
    <t>Rukavice operační gammex PF sensitive vel. 7,0 353194</t>
  </si>
  <si>
    <t>ZL070</t>
  </si>
  <si>
    <t>Rukavice operační gammex bez pudru PF EnLite vel. 6,0 353382</t>
  </si>
  <si>
    <t>ZL071</t>
  </si>
  <si>
    <t>Rukavice operační gammex bez pudru PF EnLite vel. 6,5 353383</t>
  </si>
  <si>
    <t>ZL072</t>
  </si>
  <si>
    <t>Rukavice operační gammex bez pudru PF EnLite vel. 7,0 353384</t>
  </si>
  <si>
    <t>ZL073</t>
  </si>
  <si>
    <t>Rukavice operační gammex bez pudru PF EnLite vel. 7,5 353385</t>
  </si>
  <si>
    <t>ZL074</t>
  </si>
  <si>
    <t>Rukavice operační gammex bez pudru PF EnLite vel. 8,0 353386</t>
  </si>
  <si>
    <t>ZL075</t>
  </si>
  <si>
    <t>Rukavice operační gammex bez pudru PF EnLite vel. 8,5 353387</t>
  </si>
  <si>
    <t>ZL425</t>
  </si>
  <si>
    <t>Rukavice operační ansell sensi - touch vel. 7,0 bal. á 40 párů 8050153</t>
  </si>
  <si>
    <t>ZL426</t>
  </si>
  <si>
    <t>Rukavice operační ansell sensi - touch vel. 7,5 bal. á 40 párů 8050154</t>
  </si>
  <si>
    <t>Rukavice operační ansell sensi - touch vel. 7,5 bal. á 40 párů 8050194(8050154)</t>
  </si>
  <si>
    <t>ZJ719</t>
  </si>
  <si>
    <t>Rukavice operační gammex PF sensitive vel. 6,0 bal. á 25 párů 353192</t>
  </si>
  <si>
    <t>ZL069</t>
  </si>
  <si>
    <t>Rukavice operační gammex bez pudru PF EnLite vel. 5,5 353381</t>
  </si>
  <si>
    <t>ZL691</t>
  </si>
  <si>
    <t>Rukavice operační ansell sensi - touch vel. 5,5 bal. á 40 párů 8050190(8050150)</t>
  </si>
  <si>
    <t>ZL949</t>
  </si>
  <si>
    <t>Rukavice nitril promedica bez p. L bílé 6N á 100 ks 9399W4</t>
  </si>
  <si>
    <t>ZM292</t>
  </si>
  <si>
    <t>Rukavice nitril sempercare bez p. M bal. á 200 ks 30 803</t>
  </si>
  <si>
    <t>ZM293</t>
  </si>
  <si>
    <t>Rukavice nitril sempercare bez p. L bal. á 200 ks 30 804</t>
  </si>
  <si>
    <t>ZK479</t>
  </si>
  <si>
    <t>Rukavice operační latexové bez pudru ortpedic vel. 8,5 5788206</t>
  </si>
  <si>
    <t>ZA031</t>
  </si>
  <si>
    <t>Vata obvazová 1000 g nest.vinutá 110710</t>
  </si>
  <si>
    <t>ZA329</t>
  </si>
  <si>
    <t>Obinadlo fixa crep   6 cm x 4 m 1323100102</t>
  </si>
  <si>
    <t>ZA340</t>
  </si>
  <si>
    <t>Obinadlo hydrofilní 12 cm x   5 m 13008</t>
  </si>
  <si>
    <t>ZA423</t>
  </si>
  <si>
    <t>Obinadlo elastické idealtex 12 cm x 5 m 9310633</t>
  </si>
  <si>
    <t>ZA459</t>
  </si>
  <si>
    <t>Kompresa AB 10 x 20 cm / 1 ks sterilní NT savá 1230114021</t>
  </si>
  <si>
    <t>ZA465</t>
  </si>
  <si>
    <t>Fólie incizní raucodrape sterilní 45 x 50 cm 23445</t>
  </si>
  <si>
    <t>ZA480</t>
  </si>
  <si>
    <t>Fólie incizní raucodrape 15 x 20 cm á 10 ks 25441</t>
  </si>
  <si>
    <t>ZA516</t>
  </si>
  <si>
    <t>Kompresa NT 7,5 x 7,5 cm / 10 sterilní karton á 900 ks 1230119526</t>
  </si>
  <si>
    <t>ZA554</t>
  </si>
  <si>
    <t>Krytí hypro-sorb R 10 x 10 x 10 mm bal. á 10 ks 006</t>
  </si>
  <si>
    <t>ZA561</t>
  </si>
  <si>
    <t>Kompresa AB 20 x 40 cm / 1 ks sterilní NT savá 1230114051</t>
  </si>
  <si>
    <t>ZC854</t>
  </si>
  <si>
    <t xml:space="preserve">Kompresa NT 7,5 x 7,5 cm / 2 ks sterilní 26510 </t>
  </si>
  <si>
    <t>ZF351</t>
  </si>
  <si>
    <t>Náplast transpore bílá 1,25 cm x 9,14 m bal. á 24 ks 1534-0</t>
  </si>
  <si>
    <t>ZJ687</t>
  </si>
  <si>
    <t xml:space="preserve">Krytí gelitaspon tampon   80 x 30 mm bal. á 5 ks GS -210 </t>
  </si>
  <si>
    <t>ZK405</t>
  </si>
  <si>
    <t>Krytí gelitaspon standard 80 x 50 mm x 10 mm bal. á 10 ks A2107861</t>
  </si>
  <si>
    <t>ZC694</t>
  </si>
  <si>
    <t>Tyčinka oční PRO OPTHA nesteril. á 500 ks 16 515</t>
  </si>
  <si>
    <t>ZA494</t>
  </si>
  <si>
    <t>Fólie incizní rucodrape ( opraflex ) 45 x 20 cm 25443</t>
  </si>
  <si>
    <t>ZE988</t>
  </si>
  <si>
    <t xml:space="preserve">Krytí nevstřebatelné textilní hemostatikum s kaolínem QuikClot 30 x 30cm bal. á 5 ks 2090303 </t>
  </si>
  <si>
    <t>ZA194</t>
  </si>
  <si>
    <t>Krytí surgicel standard 5 x 1,25 cm bal. á 12 ks 1906GB</t>
  </si>
  <si>
    <t>ZA790</t>
  </si>
  <si>
    <t>Stříkačka injekční 2-dílná 5 ml L Inject Solo4606051V</t>
  </si>
  <si>
    <t>ZA932</t>
  </si>
  <si>
    <t>Elektroda neutrální ke koagulaci bal. á 50 ks E7509</t>
  </si>
  <si>
    <t>ZB553</t>
  </si>
  <si>
    <t>Láhev redon hi-vac 400 ml-kompletní 05.000.22.803</t>
  </si>
  <si>
    <t>ZE173</t>
  </si>
  <si>
    <t>Nádoba na histologický mat. 200 ml 333 000 041 002</t>
  </si>
  <si>
    <t>ZG893</t>
  </si>
  <si>
    <t>Rouška prošívaná na popáleniny 40 x 60 cm karton á 30 ks 28510</t>
  </si>
  <si>
    <t>ZH852</t>
  </si>
  <si>
    <t>Souprava odsávací Yankauer 6 mm s rukojetí 34102</t>
  </si>
  <si>
    <t>ZJ695</t>
  </si>
  <si>
    <t>Sonda žaludeční CH14 1200 mm s RTG linkou bal. á 50 ks 412014</t>
  </si>
  <si>
    <t>ZA695</t>
  </si>
  <si>
    <t>Držák skalpelových čepelek 4 135 mm BB084R</t>
  </si>
  <si>
    <t>ZK183</t>
  </si>
  <si>
    <t>Násadka skalpelu č. 3l BB075R</t>
  </si>
  <si>
    <t>ZK231</t>
  </si>
  <si>
    <t xml:space="preserve">Nástroj na otevřenou operativu caiman 12 x 240 mm bal. á 3 ks PL730SU </t>
  </si>
  <si>
    <t>ZK192</t>
  </si>
  <si>
    <t>Podložka pod mesh 1:1, 5 mm bal. á 10 ks BA721</t>
  </si>
  <si>
    <t>ZK085</t>
  </si>
  <si>
    <t>Svorka art. kocher 140 mm BH614R</t>
  </si>
  <si>
    <t>ZB069</t>
  </si>
  <si>
    <t>Držák skalpelových čepelek 3 BB073R</t>
  </si>
  <si>
    <t>ZK036</t>
  </si>
  <si>
    <t>Tubus zevní izol.   5/10 mm 310 mm PM975R</t>
  </si>
  <si>
    <t>ZF104</t>
  </si>
  <si>
    <t>Nádoba na kontaminovaný odpad 10 l 15-0006</t>
  </si>
  <si>
    <t>ZH410</t>
  </si>
  <si>
    <t>Prodloužení koagulačních elektrod E1502</t>
  </si>
  <si>
    <t>ZG263</t>
  </si>
  <si>
    <t>Rukojeť aktivní elektrody resterizovatelná 4,6 m kabel bal. á 10 ks E2100</t>
  </si>
  <si>
    <t>ZM358</t>
  </si>
  <si>
    <t>Návlek na kameru sterilní 3D Einstein bal. á 15 ks EV2-000056</t>
  </si>
  <si>
    <t>ZB343</t>
  </si>
  <si>
    <t>List pilový GB135R</t>
  </si>
  <si>
    <t>ZM357</t>
  </si>
  <si>
    <t>Hadice insuflační s předhříváním 3D Einstein PG082</t>
  </si>
  <si>
    <t>ZE909</t>
  </si>
  <si>
    <t>Sáček na brickery draina S vision H28565U</t>
  </si>
  <si>
    <t>ZE132</t>
  </si>
  <si>
    <t>Kleště úchopové atraum. jednoráz. D5/310 PO893SU</t>
  </si>
  <si>
    <t>ZH514</t>
  </si>
  <si>
    <t>Hadice pro propl. pumpu rester. A4055</t>
  </si>
  <si>
    <t>ZD125</t>
  </si>
  <si>
    <t>Převodník k harmonickému skalpelu HP054</t>
  </si>
  <si>
    <t>ZH166</t>
  </si>
  <si>
    <t>Šití PDS plus 90 cm bal. á 36 ks PDP9370H</t>
  </si>
  <si>
    <t>ZB188</t>
  </si>
  <si>
    <t>Šití vicryl plus 3/0 bal. á 36 ks VCP452H</t>
  </si>
  <si>
    <t>ZC677</t>
  </si>
  <si>
    <t>Šití vicryl plus 3/0 70 cm bal. á 36 ks VCP998H</t>
  </si>
  <si>
    <t>ZH167</t>
  </si>
  <si>
    <t>Šití PDS plus 150 cm loop bal. á 24 ks PDP1935T</t>
  </si>
  <si>
    <t>ZJ135</t>
  </si>
  <si>
    <t>Šití supolene 2/0 á 36 ks 90618</t>
  </si>
  <si>
    <t>ZK476</t>
  </si>
  <si>
    <t>Rukavice operační latexové s pudrem ansell medigrip plus vel. 7,5 302925</t>
  </si>
  <si>
    <t>ZF432</t>
  </si>
  <si>
    <t>Rukavice operační gammex PF sensitive vel. 8,0 353196</t>
  </si>
  <si>
    <t>ZJ718</t>
  </si>
  <si>
    <t>Rukavice operační gammex PF sensitive vel. 6,5 bal. á 25 párů 353193</t>
  </si>
  <si>
    <t>50115050</t>
  </si>
  <si>
    <t>502 SZM obvazový (112 02 040)</t>
  </si>
  <si>
    <t>50115060</t>
  </si>
  <si>
    <t>503 SZM ostatní zdravotnický (112 02 100)</t>
  </si>
  <si>
    <t>50115004</t>
  </si>
  <si>
    <t>506 SZM umělé tělní náhrady kovové (112 02 030)</t>
  </si>
  <si>
    <t>50115061</t>
  </si>
  <si>
    <t>512 SZM robotické centrum (112 02 103)</t>
  </si>
  <si>
    <t>50115070</t>
  </si>
  <si>
    <t>513 SZM katetry, stenty, porty (112 02 101)</t>
  </si>
  <si>
    <t>50115080</t>
  </si>
  <si>
    <t>523 SZM staplery, endosk., optika, extraktory (112 02 102)</t>
  </si>
  <si>
    <t>50115063</t>
  </si>
  <si>
    <t>528 SZM sety (112 02 105)</t>
  </si>
  <si>
    <t>50115064</t>
  </si>
  <si>
    <t>529 SZM šicí materiál (112 02 106)</t>
  </si>
  <si>
    <t>50115065</t>
  </si>
  <si>
    <t>530 SZM jehly (112 02 107)</t>
  </si>
  <si>
    <t>50115067</t>
  </si>
  <si>
    <t>532 SZM Rukavice (112 02 108)</t>
  </si>
  <si>
    <t>Spotřeba zdravotnického materiálu - orientační přehled</t>
  </si>
  <si>
    <t>ON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</si>
</sst>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_-* #,##0.00\ &quot;Kč&quot;_-;\-* #,##0.00\ &quot;Kč&quot;_-;_-* &quot;-&quot;??\ &quot;Kč&quot;_-;_-@_-"/>
    <numFmt numFmtId="165" formatCode="#\ ###\ ###\ ##0"/>
    <numFmt numFmtId="167" formatCode="#,##0.0"/>
    <numFmt numFmtId="172" formatCode="0.000"/>
    <numFmt numFmtId="174" formatCode="#,##0;\-#,##0;"/>
    <numFmt numFmtId="175" formatCode="General;\-General;"/>
    <numFmt numFmtId="176" formatCode="0%;\-0%;"/>
    <numFmt numFmtId="177" formatCode="#,##0%"/>
  </numFmts>
  <fonts count="57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98">
    <xf numFmtId="0" fontId="0" fillId="0" borderId="0"/>
    <xf numFmtId="0" fontId="25" fillId="0" borderId="0" applyNumberFormat="0" applyFill="0" applyBorder="0" applyAlignment="0" applyProtection="0"/>
    <xf numFmtId="164" fontId="20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414">
    <xf numFmtId="0" fontId="0" fillId="0" borderId="0" xfId="0"/>
    <xf numFmtId="0" fontId="27" fillId="2" borderId="17" xfId="81" applyFont="1" applyFill="1" applyBorder="1"/>
    <xf numFmtId="0" fontId="28" fillId="2" borderId="18" xfId="81" applyFont="1" applyFill="1" applyBorder="1"/>
    <xf numFmtId="3" fontId="28" fillId="2" borderId="19" xfId="81" applyNumberFormat="1" applyFont="1" applyFill="1" applyBorder="1"/>
    <xf numFmtId="0" fontId="28" fillId="4" borderId="18" xfId="81" applyFont="1" applyFill="1" applyBorder="1"/>
    <xf numFmtId="3" fontId="28" fillId="4" borderId="19" xfId="81" applyNumberFormat="1" applyFont="1" applyFill="1" applyBorder="1"/>
    <xf numFmtId="172" fontId="28" fillId="3" borderId="19" xfId="81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4" xfId="81" applyNumberFormat="1" applyFont="1" applyFill="1" applyBorder="1"/>
    <xf numFmtId="3" fontId="27" fillId="5" borderId="8" xfId="81" applyNumberFormat="1" applyFont="1" applyFill="1" applyBorder="1"/>
    <xf numFmtId="3" fontId="27" fillId="5" borderId="12" xfId="81" applyNumberFormat="1" applyFont="1" applyFill="1" applyBorder="1"/>
    <xf numFmtId="0" fontId="27" fillId="5" borderId="0" xfId="81" applyFont="1" applyFill="1"/>
    <xf numFmtId="10" fontId="27" fillId="5" borderId="0" xfId="81" applyNumberFormat="1" applyFont="1" applyFill="1"/>
    <xf numFmtId="0" fontId="37" fillId="2" borderId="33" xfId="0" applyFont="1" applyFill="1" applyBorder="1" applyAlignment="1">
      <alignment vertical="top"/>
    </xf>
    <xf numFmtId="0" fontId="37" fillId="2" borderId="34" xfId="0" applyFont="1" applyFill="1" applyBorder="1" applyAlignment="1">
      <alignment vertical="top"/>
    </xf>
    <xf numFmtId="0" fontId="34" fillId="2" borderId="34" xfId="0" applyFont="1" applyFill="1" applyBorder="1" applyAlignment="1">
      <alignment vertical="top"/>
    </xf>
    <xf numFmtId="0" fontId="38" fillId="2" borderId="34" xfId="0" applyFont="1" applyFill="1" applyBorder="1" applyAlignment="1">
      <alignment vertical="top"/>
    </xf>
    <xf numFmtId="0" fontId="36" fillId="2" borderId="34" xfId="0" applyFont="1" applyFill="1" applyBorder="1" applyAlignment="1">
      <alignment vertical="top"/>
    </xf>
    <xf numFmtId="0" fontId="34" fillId="2" borderId="35" xfId="0" applyFont="1" applyFill="1" applyBorder="1" applyAlignment="1">
      <alignment vertical="top"/>
    </xf>
    <xf numFmtId="0" fontId="37" fillId="2" borderId="8" xfId="0" applyFont="1" applyFill="1" applyBorder="1" applyAlignment="1">
      <alignment horizontal="center" vertical="center"/>
    </xf>
    <xf numFmtId="0" fontId="37" fillId="2" borderId="21" xfId="0" applyFont="1" applyFill="1" applyBorder="1" applyAlignment="1">
      <alignment horizontal="center" vertical="center"/>
    </xf>
    <xf numFmtId="0" fontId="37" fillId="2" borderId="23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8" fillId="2" borderId="21" xfId="0" applyFont="1" applyFill="1" applyBorder="1" applyAlignment="1">
      <alignment horizontal="center" vertical="center" wrapText="1"/>
    </xf>
    <xf numFmtId="0" fontId="38" fillId="2" borderId="23" xfId="0" applyFont="1" applyFill="1" applyBorder="1" applyAlignment="1">
      <alignment horizontal="center" vertical="center" wrapText="1"/>
    </xf>
    <xf numFmtId="0" fontId="36" fillId="2" borderId="23" xfId="0" applyFont="1" applyFill="1" applyBorder="1" applyAlignment="1">
      <alignment horizontal="center" vertical="center" wrapText="1"/>
    </xf>
    <xf numFmtId="3" fontId="27" fillId="5" borderId="4" xfId="81" applyNumberFormat="1" applyFont="1" applyFill="1" applyBorder="1"/>
    <xf numFmtId="3" fontId="27" fillId="5" borderId="29" xfId="81" applyNumberFormat="1" applyFont="1" applyFill="1" applyBorder="1"/>
    <xf numFmtId="3" fontId="27" fillId="5" borderId="25" xfId="81" applyNumberFormat="1" applyFont="1" applyFill="1" applyBorder="1"/>
    <xf numFmtId="3" fontId="27" fillId="5" borderId="9" xfId="81" applyNumberFormat="1" applyFont="1" applyFill="1" applyBorder="1"/>
    <xf numFmtId="3" fontId="27" fillId="5" borderId="10" xfId="81" applyNumberFormat="1" applyFont="1" applyFill="1" applyBorder="1"/>
    <xf numFmtId="3" fontId="27" fillId="5" borderId="13" xfId="81" applyNumberFormat="1" applyFont="1" applyFill="1" applyBorder="1"/>
    <xf numFmtId="3" fontId="27" fillId="5" borderId="14" xfId="81" applyNumberFormat="1" applyFont="1" applyFill="1" applyBorder="1"/>
    <xf numFmtId="3" fontId="28" fillId="2" borderId="27" xfId="81" applyNumberFormat="1" applyFont="1" applyFill="1" applyBorder="1"/>
    <xf numFmtId="3" fontId="28" fillId="2" borderId="20" xfId="81" applyNumberFormat="1" applyFont="1" applyFill="1" applyBorder="1"/>
    <xf numFmtId="3" fontId="28" fillId="4" borderId="27" xfId="81" applyNumberFormat="1" applyFont="1" applyFill="1" applyBorder="1"/>
    <xf numFmtId="3" fontId="28" fillId="4" borderId="20" xfId="81" applyNumberFormat="1" applyFont="1" applyFill="1" applyBorder="1"/>
    <xf numFmtId="172" fontId="28" fillId="3" borderId="27" xfId="81" applyNumberFormat="1" applyFont="1" applyFill="1" applyBorder="1"/>
    <xf numFmtId="172" fontId="28" fillId="3" borderId="20" xfId="81" applyNumberFormat="1" applyFont="1" applyFill="1" applyBorder="1"/>
    <xf numFmtId="0" fontId="31" fillId="2" borderId="25" xfId="81" applyFont="1" applyFill="1" applyBorder="1" applyAlignment="1">
      <alignment horizontal="center"/>
    </xf>
    <xf numFmtId="0" fontId="32" fillId="0" borderId="36" xfId="0" applyFont="1" applyFill="1" applyBorder="1" applyAlignment="1"/>
    <xf numFmtId="0" fontId="40" fillId="0" borderId="0" xfId="0" applyFont="1" applyFill="1" applyBorder="1" applyAlignment="1"/>
    <xf numFmtId="3" fontId="33" fillId="0" borderId="7" xfId="0" applyNumberFormat="1" applyFont="1" applyFill="1" applyBorder="1" applyAlignment="1">
      <alignment horizontal="right" vertical="top"/>
    </xf>
    <xf numFmtId="3" fontId="33" fillId="0" borderId="5" xfId="0" applyNumberFormat="1" applyFont="1" applyFill="1" applyBorder="1" applyAlignment="1">
      <alignment horizontal="right" vertical="top"/>
    </xf>
    <xf numFmtId="3" fontId="34" fillId="0" borderId="5" xfId="0" applyNumberFormat="1" applyFont="1" applyFill="1" applyBorder="1" applyAlignment="1">
      <alignment horizontal="right" vertical="top"/>
    </xf>
    <xf numFmtId="3" fontId="33" fillId="0" borderId="11" xfId="0" applyNumberFormat="1" applyFont="1" applyFill="1" applyBorder="1" applyAlignment="1">
      <alignment horizontal="right" vertical="top"/>
    </xf>
    <xf numFmtId="3" fontId="33" fillId="0" borderId="9" xfId="0" applyNumberFormat="1" applyFont="1" applyFill="1" applyBorder="1" applyAlignment="1">
      <alignment horizontal="right" vertical="top"/>
    </xf>
    <xf numFmtId="3" fontId="34" fillId="0" borderId="9" xfId="0" applyNumberFormat="1" applyFont="1" applyFill="1" applyBorder="1" applyAlignment="1">
      <alignment horizontal="right" vertical="top"/>
    </xf>
    <xf numFmtId="3" fontId="35" fillId="0" borderId="11" xfId="0" applyNumberFormat="1" applyFont="1" applyFill="1" applyBorder="1" applyAlignment="1">
      <alignment horizontal="right" vertical="top"/>
    </xf>
    <xf numFmtId="3" fontId="35" fillId="0" borderId="9" xfId="0" applyNumberFormat="1" applyFont="1" applyFill="1" applyBorder="1" applyAlignment="1">
      <alignment horizontal="right" vertical="top"/>
    </xf>
    <xf numFmtId="3" fontId="36" fillId="0" borderId="9" xfId="0" applyNumberFormat="1" applyFont="1" applyFill="1" applyBorder="1" applyAlignment="1">
      <alignment horizontal="right" vertical="top"/>
    </xf>
    <xf numFmtId="3" fontId="33" fillId="0" borderId="32" xfId="0" applyNumberFormat="1" applyFont="1" applyFill="1" applyBorder="1" applyAlignment="1">
      <alignment horizontal="right" vertical="top"/>
    </xf>
    <xf numFmtId="3" fontId="33" fillId="0" borderId="23" xfId="0" applyNumberFormat="1" applyFont="1" applyFill="1" applyBorder="1" applyAlignment="1">
      <alignment horizontal="right" vertical="top"/>
    </xf>
    <xf numFmtId="3" fontId="34" fillId="0" borderId="23" xfId="0" applyNumberFormat="1" applyFont="1" applyFill="1" applyBorder="1" applyAlignment="1">
      <alignment horizontal="right" vertical="top"/>
    </xf>
    <xf numFmtId="0" fontId="6" fillId="0" borderId="0" xfId="82" applyFont="1" applyFill="1"/>
    <xf numFmtId="0" fontId="8" fillId="0" borderId="36" xfId="82" applyFont="1" applyFill="1" applyBorder="1" applyAlignment="1"/>
    <xf numFmtId="0" fontId="29" fillId="0" borderId="0" xfId="49" applyFont="1" applyFill="1"/>
    <xf numFmtId="0" fontId="32" fillId="0" borderId="30" xfId="0" applyFont="1" applyFill="1" applyBorder="1" applyAlignment="1"/>
    <xf numFmtId="0" fontId="32" fillId="0" borderId="31" xfId="0" applyFont="1" applyFill="1" applyBorder="1" applyAlignment="1"/>
    <xf numFmtId="0" fontId="32" fillId="0" borderId="49" xfId="0" applyFont="1" applyFill="1" applyBorder="1" applyAlignment="1"/>
    <xf numFmtId="0" fontId="32" fillId="0" borderId="25" xfId="0" applyFont="1" applyBorder="1" applyAlignment="1"/>
    <xf numFmtId="0" fontId="32" fillId="5" borderId="6" xfId="0" applyFont="1" applyFill="1" applyBorder="1"/>
    <xf numFmtId="0" fontId="32" fillId="5" borderId="10" xfId="0" applyFont="1" applyFill="1" applyBorder="1"/>
    <xf numFmtId="0" fontId="32" fillId="5" borderId="22" xfId="0" applyFont="1" applyFill="1" applyBorder="1"/>
    <xf numFmtId="0" fontId="32" fillId="5" borderId="36" xfId="0" applyFont="1" applyFill="1" applyBorder="1"/>
    <xf numFmtId="0" fontId="32" fillId="5" borderId="42" xfId="0" applyFont="1" applyFill="1" applyBorder="1"/>
    <xf numFmtId="9" fontId="34" fillId="0" borderId="6" xfId="0" applyNumberFormat="1" applyFont="1" applyFill="1" applyBorder="1" applyAlignment="1">
      <alignment horizontal="right" vertical="top"/>
    </xf>
    <xf numFmtId="9" fontId="34" fillId="0" borderId="10" xfId="0" applyNumberFormat="1" applyFont="1" applyFill="1" applyBorder="1" applyAlignment="1">
      <alignment horizontal="right" vertical="top"/>
    </xf>
    <xf numFmtId="9" fontId="36" fillId="0" borderId="10" xfId="0" applyNumberFormat="1" applyFont="1" applyFill="1" applyBorder="1" applyAlignment="1">
      <alignment horizontal="right" vertical="top"/>
    </xf>
    <xf numFmtId="9" fontId="34" fillId="0" borderId="22" xfId="0" applyNumberFormat="1" applyFont="1" applyFill="1" applyBorder="1" applyAlignment="1">
      <alignment horizontal="right" vertical="top"/>
    </xf>
    <xf numFmtId="3" fontId="31" fillId="0" borderId="29" xfId="53" applyNumberFormat="1" applyFont="1" applyFill="1" applyBorder="1"/>
    <xf numFmtId="3" fontId="31" fillId="0" borderId="25" xfId="53" applyNumberFormat="1" applyFont="1" applyFill="1" applyBorder="1"/>
    <xf numFmtId="0" fontId="31" fillId="2" borderId="38" xfId="74" applyFont="1" applyFill="1" applyBorder="1" applyAlignment="1">
      <alignment horizontal="center"/>
    </xf>
    <xf numFmtId="0" fontId="27" fillId="5" borderId="36" xfId="81" applyFont="1" applyFill="1" applyBorder="1"/>
    <xf numFmtId="0" fontId="31" fillId="2" borderId="23" xfId="81" applyFont="1" applyFill="1" applyBorder="1" applyAlignment="1">
      <alignment horizontal="center"/>
    </xf>
    <xf numFmtId="0" fontId="31" fillId="2" borderId="22" xfId="81" applyFont="1" applyFill="1" applyBorder="1" applyAlignment="1">
      <alignment horizontal="center"/>
    </xf>
    <xf numFmtId="0" fontId="32" fillId="0" borderId="0" xfId="0" applyFont="1" applyFill="1" applyBorder="1" applyAlignment="1"/>
    <xf numFmtId="0" fontId="44" fillId="2" borderId="17" xfId="1" applyFont="1" applyFill="1" applyBorder="1"/>
    <xf numFmtId="0" fontId="45" fillId="0" borderId="0" xfId="0" applyFont="1" applyFill="1"/>
    <xf numFmtId="0" fontId="46" fillId="0" borderId="0" xfId="0" applyFont="1" applyFill="1"/>
    <xf numFmtId="0" fontId="46" fillId="0" borderId="0" xfId="0" applyFont="1" applyFill="1" applyBorder="1"/>
    <xf numFmtId="3" fontId="32" fillId="0" borderId="29" xfId="0" applyNumberFormat="1" applyFont="1" applyFill="1" applyBorder="1"/>
    <xf numFmtId="3" fontId="32" fillId="0" borderId="24" xfId="0" applyNumberFormat="1" applyFont="1" applyFill="1" applyBorder="1"/>
    <xf numFmtId="3" fontId="32" fillId="0" borderId="8" xfId="0" applyNumberFormat="1" applyFont="1" applyFill="1" applyBorder="1"/>
    <xf numFmtId="3" fontId="32" fillId="0" borderId="9" xfId="0" applyNumberFormat="1" applyFont="1" applyFill="1" applyBorder="1"/>
    <xf numFmtId="3" fontId="32" fillId="0" borderId="12" xfId="0" applyNumberFormat="1" applyFont="1" applyFill="1" applyBorder="1"/>
    <xf numFmtId="3" fontId="32" fillId="0" borderId="13" xfId="0" applyNumberFormat="1" applyFont="1" applyFill="1" applyBorder="1"/>
    <xf numFmtId="9" fontId="32" fillId="0" borderId="25" xfId="0" applyNumberFormat="1" applyFont="1" applyFill="1" applyBorder="1"/>
    <xf numFmtId="9" fontId="32" fillId="0" borderId="10" xfId="0" applyNumberFormat="1" applyFont="1" applyFill="1" applyBorder="1"/>
    <xf numFmtId="9" fontId="32" fillId="0" borderId="14" xfId="0" applyNumberFormat="1" applyFont="1" applyFill="1" applyBorder="1"/>
    <xf numFmtId="9" fontId="28" fillId="2" borderId="20" xfId="81" applyNumberFormat="1" applyFont="1" applyFill="1" applyBorder="1"/>
    <xf numFmtId="9" fontId="28" fillId="4" borderId="20" xfId="81" applyNumberFormat="1" applyFont="1" applyFill="1" applyBorder="1"/>
    <xf numFmtId="9" fontId="28" fillId="3" borderId="20" xfId="81" applyNumberFormat="1" applyFont="1" applyFill="1" applyBorder="1"/>
    <xf numFmtId="0" fontId="31" fillId="2" borderId="21" xfId="81" applyFont="1" applyFill="1" applyBorder="1" applyAlignment="1">
      <alignment horizontal="center"/>
    </xf>
    <xf numFmtId="49" fontId="37" fillId="2" borderId="9" xfId="0" applyNumberFormat="1" applyFont="1" applyFill="1" applyBorder="1" applyAlignment="1">
      <alignment horizontal="center" vertical="center"/>
    </xf>
    <xf numFmtId="0" fontId="32" fillId="0" borderId="0" xfId="0" applyFont="1" applyFill="1"/>
    <xf numFmtId="0" fontId="32" fillId="0" borderId="42" xfId="0" applyFont="1" applyFill="1" applyBorder="1" applyAlignment="1"/>
    <xf numFmtId="0" fontId="32" fillId="0" borderId="0" xfId="0" applyFont="1" applyFill="1" applyAlignment="1"/>
    <xf numFmtId="0" fontId="44" fillId="4" borderId="33" xfId="1" applyFont="1" applyFill="1" applyBorder="1"/>
    <xf numFmtId="0" fontId="44" fillId="4" borderId="17" xfId="1" applyFont="1" applyFill="1" applyBorder="1"/>
    <xf numFmtId="0" fontId="44" fillId="3" borderId="18" xfId="1" applyFont="1" applyFill="1" applyBorder="1"/>
    <xf numFmtId="0" fontId="47" fillId="0" borderId="0" xfId="0" applyFont="1" applyFill="1" applyBorder="1" applyAlignment="1">
      <alignment vertical="center"/>
    </xf>
    <xf numFmtId="0" fontId="47" fillId="0" borderId="0" xfId="0" applyFont="1" applyFill="1" applyAlignment="1">
      <alignment vertical="center"/>
    </xf>
    <xf numFmtId="0" fontId="32" fillId="2" borderId="2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165" fontId="31" fillId="2" borderId="24" xfId="53" applyNumberFormat="1" applyFont="1" applyFill="1" applyBorder="1" applyAlignment="1">
      <alignment horizontal="right"/>
    </xf>
    <xf numFmtId="0" fontId="44" fillId="3" borderId="8" xfId="1" applyFont="1" applyFill="1" applyBorder="1"/>
    <xf numFmtId="0" fontId="44" fillId="3" borderId="4" xfId="1" applyFont="1" applyFill="1" applyBorder="1"/>
    <xf numFmtId="0" fontId="44" fillId="6" borderId="4" xfId="1" applyFont="1" applyFill="1" applyBorder="1"/>
    <xf numFmtId="0" fontId="44" fillId="6" borderId="47" xfId="1" applyFont="1" applyFill="1" applyBorder="1"/>
    <xf numFmtId="0" fontId="44" fillId="2" borderId="4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3" xfId="0" applyNumberFormat="1" applyFont="1" applyFill="1" applyBorder="1"/>
    <xf numFmtId="3" fontId="39" fillId="2" borderId="44" xfId="0" applyNumberFormat="1" applyFont="1" applyFill="1" applyBorder="1"/>
    <xf numFmtId="9" fontId="39" fillId="2" borderId="48" xfId="0" applyNumberFormat="1" applyFont="1" applyFill="1" applyBorder="1"/>
    <xf numFmtId="0" fontId="48" fillId="2" borderId="18" xfId="1" applyFont="1" applyFill="1" applyBorder="1" applyAlignment="1"/>
    <xf numFmtId="0" fontId="32" fillId="2" borderId="28" xfId="0" applyFont="1" applyFill="1" applyBorder="1" applyAlignment="1"/>
    <xf numFmtId="3" fontId="32" fillId="2" borderId="27" xfId="0" applyNumberFormat="1" applyFont="1" applyFill="1" applyBorder="1" applyAlignment="1"/>
    <xf numFmtId="9" fontId="32" fillId="2" borderId="20" xfId="0" applyNumberFormat="1" applyFont="1" applyFill="1" applyBorder="1" applyAlignment="1"/>
    <xf numFmtId="0" fontId="39" fillId="2" borderId="45" xfId="0" applyFont="1" applyFill="1" applyBorder="1" applyAlignment="1"/>
    <xf numFmtId="0" fontId="32" fillId="0" borderId="7" xfId="0" applyFont="1" applyBorder="1" applyAlignment="1"/>
    <xf numFmtId="3" fontId="32" fillId="0" borderId="5" xfId="0" applyNumberFormat="1" applyFont="1" applyBorder="1" applyAlignment="1"/>
    <xf numFmtId="9" fontId="32" fillId="0" borderId="10" xfId="0" applyNumberFormat="1" applyFont="1" applyBorder="1" applyAlignment="1"/>
    <xf numFmtId="0" fontId="29" fillId="2" borderId="34" xfId="1" applyFont="1" applyFill="1" applyBorder="1" applyAlignment="1">
      <alignment horizontal="left" indent="2"/>
    </xf>
    <xf numFmtId="0" fontId="32" fillId="0" borderId="11" xfId="0" applyFont="1" applyBorder="1" applyAlignment="1"/>
    <xf numFmtId="3" fontId="32" fillId="0" borderId="9" xfId="0" applyNumberFormat="1" applyFont="1" applyBorder="1" applyAlignment="1"/>
    <xf numFmtId="0" fontId="44" fillId="2" borderId="34" xfId="1" applyFont="1" applyFill="1" applyBorder="1" applyAlignment="1">
      <alignment horizontal="left" indent="4"/>
    </xf>
    <xf numFmtId="0" fontId="32" fillId="2" borderId="34" xfId="0" applyFont="1" applyFill="1" applyBorder="1" applyAlignment="1">
      <alignment horizontal="left" indent="2"/>
    </xf>
    <xf numFmtId="0" fontId="31" fillId="2" borderId="34" xfId="1" applyFont="1" applyFill="1" applyBorder="1" applyAlignment="1"/>
    <xf numFmtId="0" fontId="44" fillId="2" borderId="34" xfId="1" applyFont="1" applyFill="1" applyBorder="1" applyAlignment="1">
      <alignment horizontal="left" indent="2"/>
    </xf>
    <xf numFmtId="0" fontId="48" fillId="2" borderId="34" xfId="1" applyFont="1" applyFill="1" applyBorder="1" applyAlignment="1"/>
    <xf numFmtId="0" fontId="32" fillId="0" borderId="32" xfId="0" applyFont="1" applyBorder="1" applyAlignment="1"/>
    <xf numFmtId="3" fontId="32" fillId="0" borderId="23" xfId="0" applyNumberFormat="1" applyFont="1" applyBorder="1" applyAlignment="1"/>
    <xf numFmtId="9" fontId="32" fillId="0" borderId="22" xfId="0" applyNumberFormat="1" applyFont="1" applyBorder="1" applyAlignment="1"/>
    <xf numFmtId="0" fontId="39" fillId="0" borderId="36" xfId="0" applyFont="1" applyFill="1" applyBorder="1" applyAlignment="1">
      <alignment horizontal="left" indent="2"/>
    </xf>
    <xf numFmtId="0" fontId="32" fillId="0" borderId="36" xfId="0" applyFont="1" applyBorder="1" applyAlignment="1"/>
    <xf numFmtId="3" fontId="32" fillId="0" borderId="36" xfId="0" applyNumberFormat="1" applyFont="1" applyBorder="1" applyAlignment="1"/>
    <xf numFmtId="9" fontId="32" fillId="0" borderId="36" xfId="0" applyNumberFormat="1" applyFont="1" applyBorder="1" applyAlignment="1"/>
    <xf numFmtId="0" fontId="48" fillId="4" borderId="18" xfId="1" applyFont="1" applyFill="1" applyBorder="1" applyAlignment="1">
      <alignment horizontal="left"/>
    </xf>
    <xf numFmtId="0" fontId="32" fillId="4" borderId="28" xfId="0" applyFont="1" applyFill="1" applyBorder="1" applyAlignment="1"/>
    <xf numFmtId="3" fontId="32" fillId="4" borderId="27" xfId="0" applyNumberFormat="1" applyFont="1" applyFill="1" applyBorder="1" applyAlignment="1"/>
    <xf numFmtId="9" fontId="32" fillId="4" borderId="20" xfId="0" applyNumberFormat="1" applyFont="1" applyFill="1" applyBorder="1" applyAlignment="1"/>
    <xf numFmtId="0" fontId="48" fillId="4" borderId="45" xfId="1" applyFont="1" applyFill="1" applyBorder="1" applyAlignment="1">
      <alignment horizontal="left"/>
    </xf>
    <xf numFmtId="0" fontId="48" fillId="4" borderId="34" xfId="1" applyFont="1" applyFill="1" applyBorder="1" applyAlignment="1">
      <alignment horizontal="left"/>
    </xf>
    <xf numFmtId="0" fontId="32" fillId="4" borderId="35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2" xfId="0" applyNumberFormat="1" applyFont="1" applyBorder="1" applyAlignment="1"/>
    <xf numFmtId="0" fontId="39" fillId="3" borderId="18" xfId="0" applyFont="1" applyFill="1" applyBorder="1" applyAlignment="1"/>
    <xf numFmtId="0" fontId="32" fillId="3" borderId="28" xfId="0" applyFont="1" applyFill="1" applyBorder="1" applyAlignment="1"/>
    <xf numFmtId="3" fontId="32" fillId="3" borderId="27" xfId="0" applyNumberFormat="1" applyFont="1" applyFill="1" applyBorder="1" applyAlignment="1"/>
    <xf numFmtId="9" fontId="32" fillId="3" borderId="20" xfId="0" applyNumberFormat="1" applyFont="1" applyFill="1" applyBorder="1" applyAlignment="1"/>
    <xf numFmtId="0" fontId="7" fillId="0" borderId="0" xfId="81" applyFont="1" applyFill="1"/>
    <xf numFmtId="0" fontId="49" fillId="0" borderId="36" xfId="81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5" fontId="32" fillId="0" borderId="0" xfId="0" applyNumberFormat="1" applyFont="1" applyFill="1"/>
    <xf numFmtId="9" fontId="32" fillId="0" borderId="0" xfId="0" applyNumberFormat="1" applyFont="1" applyFill="1"/>
    <xf numFmtId="165" fontId="27" fillId="0" borderId="0" xfId="78" applyNumberFormat="1" applyFont="1" applyFill="1" applyBorder="1" applyAlignment="1"/>
    <xf numFmtId="3" fontId="27" fillId="0" borderId="0" xfId="78" applyNumberFormat="1" applyFont="1" applyFill="1" applyBorder="1" applyAlignment="1"/>
    <xf numFmtId="165" fontId="32" fillId="0" borderId="0" xfId="0" applyNumberFormat="1" applyFont="1" applyFill="1" applyAlignment="1">
      <alignment horizontal="right"/>
    </xf>
    <xf numFmtId="3" fontId="6" fillId="0" borderId="0" xfId="78" applyNumberFormat="1" applyFont="1" applyFill="1" applyBorder="1" applyAlignment="1"/>
    <xf numFmtId="3" fontId="0" fillId="0" borderId="0" xfId="0" applyNumberFormat="1"/>
    <xf numFmtId="3" fontId="0" fillId="7" borderId="52" xfId="0" applyNumberFormat="1" applyFont="1" applyFill="1" applyBorder="1"/>
    <xf numFmtId="3" fontId="51" fillId="8" borderId="53" xfId="0" applyNumberFormat="1" applyFont="1" applyFill="1" applyBorder="1"/>
    <xf numFmtId="3" fontId="51" fillId="8" borderId="52" xfId="0" applyNumberFormat="1" applyFont="1" applyFill="1" applyBorder="1"/>
    <xf numFmtId="0" fontId="52" fillId="0" borderId="0" xfId="1" applyFont="1" applyFill="1"/>
    <xf numFmtId="3" fontId="50" fillId="0" borderId="0" xfId="26" applyNumberFormat="1" applyFont="1" applyFill="1" applyBorder="1" applyAlignment="1"/>
    <xf numFmtId="3" fontId="39" fillId="2" borderId="56" xfId="0" applyNumberFormat="1" applyFont="1" applyFill="1" applyBorder="1" applyAlignment="1">
      <alignment horizontal="center" vertical="center"/>
    </xf>
    <xf numFmtId="0" fontId="39" fillId="2" borderId="57" xfId="0" applyFont="1" applyFill="1" applyBorder="1" applyAlignment="1">
      <alignment horizontal="center" vertical="center"/>
    </xf>
    <xf numFmtId="3" fontId="53" fillId="2" borderId="59" xfId="0" applyNumberFormat="1" applyFont="1" applyFill="1" applyBorder="1" applyAlignment="1">
      <alignment horizontal="center" vertical="center" wrapText="1"/>
    </xf>
    <xf numFmtId="0" fontId="53" fillId="2" borderId="60" xfId="0" applyFont="1" applyFill="1" applyBorder="1" applyAlignment="1">
      <alignment horizontal="center" vertical="center" wrapText="1"/>
    </xf>
    <xf numFmtId="0" fontId="39" fillId="2" borderId="62" xfId="0" applyFont="1" applyFill="1" applyBorder="1" applyAlignment="1"/>
    <xf numFmtId="0" fontId="39" fillId="2" borderId="64" xfId="0" applyFont="1" applyFill="1" applyBorder="1" applyAlignment="1">
      <alignment horizontal="left" indent="1"/>
    </xf>
    <xf numFmtId="0" fontId="39" fillId="2" borderId="70" xfId="0" applyFont="1" applyFill="1" applyBorder="1" applyAlignment="1">
      <alignment horizontal="left" indent="1"/>
    </xf>
    <xf numFmtId="0" fontId="39" fillId="4" borderId="62" xfId="0" applyFont="1" applyFill="1" applyBorder="1" applyAlignment="1"/>
    <xf numFmtId="0" fontId="39" fillId="4" borderId="64" xfId="0" applyFont="1" applyFill="1" applyBorder="1" applyAlignment="1">
      <alignment horizontal="left" indent="1"/>
    </xf>
    <xf numFmtId="0" fontId="39" fillId="4" borderId="75" xfId="0" applyFont="1" applyFill="1" applyBorder="1" applyAlignment="1">
      <alignment horizontal="left" indent="1"/>
    </xf>
    <xf numFmtId="0" fontId="32" fillId="2" borderId="64" xfId="0" quotePrefix="1" applyFont="1" applyFill="1" applyBorder="1" applyAlignment="1">
      <alignment horizontal="left" indent="2"/>
    </xf>
    <xf numFmtId="0" fontId="32" fillId="2" borderId="70" xfId="0" quotePrefix="1" applyFont="1" applyFill="1" applyBorder="1" applyAlignment="1">
      <alignment horizontal="left" indent="2"/>
    </xf>
    <xf numFmtId="0" fontId="39" fillId="2" borderId="62" xfId="0" applyFont="1" applyFill="1" applyBorder="1" applyAlignment="1">
      <alignment horizontal="left" indent="1"/>
    </xf>
    <xf numFmtId="0" fontId="39" fillId="2" borderId="75" xfId="0" applyFont="1" applyFill="1" applyBorder="1" applyAlignment="1">
      <alignment horizontal="left" indent="1"/>
    </xf>
    <xf numFmtId="0" fontId="39" fillId="4" borderId="70" xfId="0" applyFont="1" applyFill="1" applyBorder="1" applyAlignment="1">
      <alignment horizontal="left" indent="1"/>
    </xf>
    <xf numFmtId="0" fontId="32" fillId="0" borderId="80" xfId="0" applyFont="1" applyBorder="1"/>
    <xf numFmtId="3" fontId="32" fillId="0" borderId="80" xfId="0" applyNumberFormat="1" applyFont="1" applyBorder="1"/>
    <xf numFmtId="0" fontId="39" fillId="4" borderId="54" xfId="0" applyFont="1" applyFill="1" applyBorder="1" applyAlignment="1">
      <alignment horizontal="center" vertical="center"/>
    </xf>
    <xf numFmtId="0" fontId="39" fillId="4" borderId="49" xfId="0" applyFont="1" applyFill="1" applyBorder="1" applyAlignment="1">
      <alignment horizontal="center" vertical="center"/>
    </xf>
    <xf numFmtId="0" fontId="0" fillId="0" borderId="0" xfId="0" applyNumberFormat="1"/>
    <xf numFmtId="3" fontId="39" fillId="2" borderId="79" xfId="0" applyNumberFormat="1" applyFont="1" applyFill="1" applyBorder="1" applyAlignment="1">
      <alignment horizontal="center" vertical="center"/>
    </xf>
    <xf numFmtId="3" fontId="53" fillId="2" borderId="77" xfId="0" applyNumberFormat="1" applyFont="1" applyFill="1" applyBorder="1" applyAlignment="1">
      <alignment horizontal="center" vertical="center" wrapText="1"/>
    </xf>
    <xf numFmtId="174" fontId="39" fillId="4" borderId="63" xfId="0" applyNumberFormat="1" applyFont="1" applyFill="1" applyBorder="1" applyAlignment="1"/>
    <xf numFmtId="174" fontId="39" fillId="4" borderId="56" xfId="0" applyNumberFormat="1" applyFont="1" applyFill="1" applyBorder="1" applyAlignment="1"/>
    <xf numFmtId="174" fontId="39" fillId="4" borderId="57" xfId="0" applyNumberFormat="1" applyFont="1" applyFill="1" applyBorder="1" applyAlignment="1"/>
    <xf numFmtId="174" fontId="39" fillId="0" borderId="65" xfId="0" applyNumberFormat="1" applyFont="1" applyBorder="1"/>
    <xf numFmtId="174" fontId="32" fillId="0" borderId="69" xfId="0" applyNumberFormat="1" applyFont="1" applyBorder="1"/>
    <xf numFmtId="174" fontId="32" fillId="0" borderId="67" xfId="0" applyNumberFormat="1" applyFont="1" applyBorder="1"/>
    <xf numFmtId="174" fontId="39" fillId="0" borderId="76" xfId="0" applyNumberFormat="1" applyFont="1" applyBorder="1"/>
    <xf numFmtId="174" fontId="32" fillId="0" borderId="77" xfId="0" applyNumberFormat="1" applyFont="1" applyBorder="1"/>
    <xf numFmtId="174" fontId="32" fillId="0" borderId="60" xfId="0" applyNumberFormat="1" applyFont="1" applyBorder="1"/>
    <xf numFmtId="174" fontId="39" fillId="2" borderId="78" xfId="0" applyNumberFormat="1" applyFont="1" applyFill="1" applyBorder="1" applyAlignment="1"/>
    <xf numFmtId="174" fontId="39" fillId="2" borderId="56" xfId="0" applyNumberFormat="1" applyFont="1" applyFill="1" applyBorder="1" applyAlignment="1"/>
    <xf numFmtId="174" fontId="39" fillId="2" borderId="57" xfId="0" applyNumberFormat="1" applyFont="1" applyFill="1" applyBorder="1" applyAlignment="1"/>
    <xf numFmtId="174" fontId="39" fillId="0" borderId="71" xfId="0" applyNumberFormat="1" applyFont="1" applyBorder="1"/>
    <xf numFmtId="174" fontId="32" fillId="0" borderId="72" xfId="0" applyNumberFormat="1" applyFont="1" applyBorder="1"/>
    <xf numFmtId="174" fontId="32" fillId="0" borderId="73" xfId="0" applyNumberFormat="1" applyFont="1" applyBorder="1"/>
    <xf numFmtId="174" fontId="39" fillId="0" borderId="63" xfId="0" applyNumberFormat="1" applyFont="1" applyBorder="1"/>
    <xf numFmtId="174" fontId="32" fillId="0" borderId="79" xfId="0" applyNumberFormat="1" applyFont="1" applyBorder="1"/>
    <xf numFmtId="174" fontId="32" fillId="0" borderId="57" xfId="0" applyNumberFormat="1" applyFont="1" applyBorder="1"/>
    <xf numFmtId="175" fontId="39" fillId="2" borderId="63" xfId="0" applyNumberFormat="1" applyFont="1" applyFill="1" applyBorder="1" applyAlignment="1"/>
    <xf numFmtId="175" fontId="32" fillId="2" borderId="56" xfId="0" applyNumberFormat="1" applyFont="1" applyFill="1" applyBorder="1" applyAlignment="1"/>
    <xf numFmtId="175" fontId="32" fillId="2" borderId="57" xfId="0" applyNumberFormat="1" applyFont="1" applyFill="1" applyBorder="1" applyAlignment="1"/>
    <xf numFmtId="175" fontId="39" fillId="0" borderId="65" xfId="0" applyNumberFormat="1" applyFont="1" applyBorder="1"/>
    <xf numFmtId="175" fontId="32" fillId="0" borderId="66" xfId="0" applyNumberFormat="1" applyFont="1" applyBorder="1"/>
    <xf numFmtId="175" fontId="32" fillId="0" borderId="67" xfId="0" applyNumberFormat="1" applyFont="1" applyBorder="1"/>
    <xf numFmtId="175" fontId="32" fillId="0" borderId="69" xfId="0" applyNumberFormat="1" applyFont="1" applyBorder="1"/>
    <xf numFmtId="175" fontId="39" fillId="0" borderId="71" xfId="0" applyNumberFormat="1" applyFont="1" applyBorder="1"/>
    <xf numFmtId="175" fontId="32" fillId="0" borderId="72" xfId="0" applyNumberFormat="1" applyFont="1" applyBorder="1"/>
    <xf numFmtId="175" fontId="32" fillId="0" borderId="73" xfId="0" applyNumberFormat="1" applyFont="1" applyBorder="1"/>
    <xf numFmtId="0" fontId="55" fillId="0" borderId="0" xfId="0" applyFont="1" applyAlignment="1">
      <alignment horizontal="left" vertical="center" indent="1"/>
    </xf>
    <xf numFmtId="0" fontId="55" fillId="0" borderId="0" xfId="0" applyFont="1" applyAlignment="1">
      <alignment vertical="center"/>
    </xf>
    <xf numFmtId="0" fontId="0" fillId="0" borderId="0" xfId="0" applyAlignment="1"/>
    <xf numFmtId="0" fontId="56" fillId="0" borderId="0" xfId="0" applyFont="1"/>
    <xf numFmtId="174" fontId="39" fillId="4" borderId="63" xfId="0" applyNumberFormat="1" applyFont="1" applyFill="1" applyBorder="1" applyAlignment="1">
      <alignment horizontal="center"/>
    </xf>
    <xf numFmtId="176" fontId="39" fillId="0" borderId="71" xfId="0" applyNumberFormat="1" applyFont="1" applyBorder="1"/>
    <xf numFmtId="0" fontId="31" fillId="2" borderId="87" xfId="74" applyFont="1" applyFill="1" applyBorder="1" applyAlignment="1">
      <alignment horizontal="center"/>
    </xf>
    <xf numFmtId="0" fontId="31" fillId="2" borderId="58" xfId="81" applyFont="1" applyFill="1" applyBorder="1" applyAlignment="1">
      <alignment horizontal="center"/>
    </xf>
    <xf numFmtId="0" fontId="31" fillId="2" borderId="59" xfId="81" applyFont="1" applyFill="1" applyBorder="1" applyAlignment="1">
      <alignment horizontal="center"/>
    </xf>
    <xf numFmtId="0" fontId="31" fillId="2" borderId="60" xfId="81" applyFont="1" applyFill="1" applyBorder="1" applyAlignment="1">
      <alignment horizontal="center"/>
    </xf>
    <xf numFmtId="0" fontId="31" fillId="2" borderId="61" xfId="81" applyFont="1" applyFill="1" applyBorder="1" applyAlignment="1">
      <alignment horizontal="center"/>
    </xf>
    <xf numFmtId="0" fontId="3" fillId="2" borderId="19" xfId="79" applyFont="1" applyFill="1" applyBorder="1" applyAlignment="1"/>
    <xf numFmtId="0" fontId="3" fillId="2" borderId="27" xfId="79" applyFont="1" applyFill="1" applyBorder="1" applyAlignment="1"/>
    <xf numFmtId="0" fontId="29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6" xfId="79" applyFont="1" applyFill="1" applyBorder="1" applyAlignment="1">
      <alignment horizontal="right"/>
    </xf>
    <xf numFmtId="9" fontId="32" fillId="0" borderId="27" xfId="0" applyNumberFormat="1" applyFont="1" applyFill="1" applyBorder="1"/>
    <xf numFmtId="9" fontId="32" fillId="0" borderId="20" xfId="0" applyNumberFormat="1" applyFont="1" applyFill="1" applyBorder="1"/>
    <xf numFmtId="9" fontId="32" fillId="0" borderId="28" xfId="0" applyNumberFormat="1" applyFont="1" applyFill="1" applyBorder="1"/>
    <xf numFmtId="3" fontId="6" fillId="0" borderId="19" xfId="78" applyNumberFormat="1" applyFont="1" applyFill="1" applyBorder="1" applyAlignment="1"/>
    <xf numFmtId="3" fontId="6" fillId="0" borderId="27" xfId="78" applyNumberFormat="1" applyFont="1" applyFill="1" applyBorder="1" applyAlignment="1"/>
    <xf numFmtId="3" fontId="6" fillId="0" borderId="20" xfId="78" applyNumberFormat="1" applyFont="1" applyFill="1" applyBorder="1" applyAlignment="1"/>
    <xf numFmtId="0" fontId="32" fillId="5" borderId="68" xfId="0" applyFont="1" applyFill="1" applyBorder="1"/>
    <xf numFmtId="0" fontId="32" fillId="0" borderId="69" xfId="0" applyFont="1" applyBorder="1" applyAlignment="1"/>
    <xf numFmtId="9" fontId="32" fillId="0" borderId="67" xfId="0" applyNumberFormat="1" applyFont="1" applyBorder="1" applyAlignment="1"/>
    <xf numFmtId="0" fontId="25" fillId="2" borderId="34" xfId="1" applyFill="1" applyBorder="1" applyAlignment="1">
      <alignment horizontal="left" indent="4"/>
    </xf>
    <xf numFmtId="0" fontId="39" fillId="0" borderId="0" xfId="0" applyFont="1" applyFill="1" applyAlignment="1">
      <alignment horizontal="left" indent="1"/>
    </xf>
    <xf numFmtId="0" fontId="39" fillId="3" borderId="26" xfId="0" applyFont="1" applyFill="1" applyBorder="1" applyAlignment="1"/>
    <xf numFmtId="0" fontId="32" fillId="0" borderId="37" xfId="0" applyFont="1" applyBorder="1" applyAlignment="1"/>
    <xf numFmtId="0" fontId="39" fillId="2" borderId="26" xfId="0" applyFont="1" applyFill="1" applyBorder="1" applyAlignment="1"/>
    <xf numFmtId="0" fontId="39" fillId="4" borderId="26" xfId="0" applyFont="1" applyFill="1" applyBorder="1" applyAlignment="1"/>
    <xf numFmtId="0" fontId="41" fillId="0" borderId="1" xfId="0" applyFont="1" applyFill="1" applyBorder="1" applyAlignment="1"/>
    <xf numFmtId="0" fontId="41" fillId="0" borderId="1" xfId="0" applyFont="1" applyBorder="1" applyAlignment="1"/>
    <xf numFmtId="0" fontId="30" fillId="5" borderId="16" xfId="81" applyFont="1" applyFill="1" applyBorder="1" applyAlignment="1">
      <alignment horizontal="center" vertical="center"/>
    </xf>
    <xf numFmtId="0" fontId="40" fillId="0" borderId="2" xfId="0" applyFont="1" applyBorder="1" applyAlignment="1">
      <alignment horizontal="center" vertical="center"/>
    </xf>
    <xf numFmtId="0" fontId="31" fillId="2" borderId="40" xfId="81" applyFont="1" applyFill="1" applyBorder="1" applyAlignment="1">
      <alignment horizontal="center"/>
    </xf>
    <xf numFmtId="0" fontId="31" fillId="2" borderId="41" xfId="81" applyFont="1" applyFill="1" applyBorder="1" applyAlignment="1">
      <alignment horizontal="center"/>
    </xf>
    <xf numFmtId="0" fontId="31" fillId="2" borderId="38" xfId="81" applyFont="1" applyFill="1" applyBorder="1" applyAlignment="1">
      <alignment horizontal="center"/>
    </xf>
    <xf numFmtId="0" fontId="31" fillId="2" borderId="51" xfId="81" applyFont="1" applyFill="1" applyBorder="1" applyAlignment="1">
      <alignment horizontal="center"/>
    </xf>
    <xf numFmtId="0" fontId="31" fillId="2" borderId="39" xfId="81" applyFont="1" applyFill="1" applyBorder="1" applyAlignment="1">
      <alignment horizontal="center"/>
    </xf>
    <xf numFmtId="0" fontId="2" fillId="0" borderId="1" xfId="0" applyFont="1" applyFill="1" applyBorder="1" applyAlignment="1"/>
    <xf numFmtId="0" fontId="38" fillId="2" borderId="24" xfId="0" applyFont="1" applyFill="1" applyBorder="1" applyAlignment="1">
      <alignment horizontal="center" vertical="center"/>
    </xf>
    <xf numFmtId="0" fontId="32" fillId="2" borderId="2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10" xfId="0" applyFont="1" applyFill="1" applyBorder="1" applyAlignment="1">
      <alignment horizontal="center" vertical="center"/>
    </xf>
    <xf numFmtId="0" fontId="5" fillId="0" borderId="1" xfId="0" applyFont="1" applyFill="1" applyBorder="1" applyAlignment="1"/>
    <xf numFmtId="0" fontId="32" fillId="2" borderId="8" xfId="0" applyFont="1" applyFill="1" applyBorder="1" applyAlignment="1">
      <alignment horizontal="center" vertical="center"/>
    </xf>
    <xf numFmtId="0" fontId="32" fillId="2" borderId="9" xfId="0" applyFont="1" applyFill="1" applyBorder="1" applyAlignment="1">
      <alignment horizontal="center" vertical="center"/>
    </xf>
    <xf numFmtId="0" fontId="38" fillId="2" borderId="29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0" fontId="32" fillId="2" borderId="23" xfId="0" applyFont="1" applyFill="1" applyBorder="1" applyAlignment="1">
      <alignment horizontal="center" vertical="center" wrapText="1"/>
    </xf>
    <xf numFmtId="0" fontId="36" fillId="2" borderId="9" xfId="0" applyFont="1" applyFill="1" applyBorder="1" applyAlignment="1">
      <alignment horizontal="center" vertical="center" wrapText="1"/>
    </xf>
    <xf numFmtId="0" fontId="36" fillId="2" borderId="10" xfId="0" applyFont="1" applyFill="1" applyBorder="1" applyAlignment="1">
      <alignment horizontal="center" vertical="center" wrapText="1"/>
    </xf>
    <xf numFmtId="0" fontId="32" fillId="2" borderId="22" xfId="0" applyFont="1" applyFill="1" applyBorder="1" applyAlignment="1">
      <alignment horizontal="center" vertical="center" wrapText="1"/>
    </xf>
    <xf numFmtId="0" fontId="31" fillId="2" borderId="87" xfId="81" applyFont="1" applyFill="1" applyBorder="1" applyAlignment="1">
      <alignment horizontal="center"/>
    </xf>
    <xf numFmtId="0" fontId="31" fillId="2" borderId="84" xfId="81" applyFont="1" applyFill="1" applyBorder="1" applyAlignment="1">
      <alignment horizontal="center"/>
    </xf>
    <xf numFmtId="0" fontId="31" fillId="2" borderId="63" xfId="81" applyFont="1" applyFill="1" applyBorder="1" applyAlignment="1">
      <alignment horizontal="center"/>
    </xf>
    <xf numFmtId="0" fontId="31" fillId="2" borderId="86" xfId="81" applyFont="1" applyFill="1" applyBorder="1" applyAlignment="1">
      <alignment horizontal="center"/>
    </xf>
    <xf numFmtId="0" fontId="31" fillId="2" borderId="76" xfId="81" applyFont="1" applyFill="1" applyBorder="1" applyAlignment="1">
      <alignment horizontal="center"/>
    </xf>
    <xf numFmtId="0" fontId="2" fillId="0" borderId="1" xfId="14" applyFont="1" applyFill="1" applyBorder="1" applyAlignment="1"/>
    <xf numFmtId="0" fontId="41" fillId="0" borderId="1" xfId="14" applyFont="1" applyFill="1" applyBorder="1" applyAlignment="1"/>
    <xf numFmtId="0" fontId="0" fillId="0" borderId="1" xfId="0" applyBorder="1" applyAlignment="1"/>
    <xf numFmtId="165" fontId="31" fillId="0" borderId="0" xfId="53" applyNumberFormat="1" applyFont="1" applyFill="1" applyBorder="1" applyAlignment="1">
      <alignment horizontal="center"/>
    </xf>
    <xf numFmtId="165" fontId="29" fillId="0" borderId="0" xfId="79" applyNumberFormat="1" applyFont="1" applyFill="1" applyBorder="1" applyAlignment="1">
      <alignment horizontal="center"/>
    </xf>
    <xf numFmtId="165" fontId="31" fillId="2" borderId="24" xfId="53" applyNumberFormat="1" applyFont="1" applyFill="1" applyBorder="1" applyAlignment="1">
      <alignment horizontal="right"/>
    </xf>
    <xf numFmtId="165" fontId="29" fillId="2" borderId="29" xfId="79" applyNumberFormat="1" applyFont="1" applyFill="1" applyBorder="1" applyAlignment="1">
      <alignment horizontal="right"/>
    </xf>
    <xf numFmtId="165" fontId="42" fillId="0" borderId="1" xfId="14" applyNumberFormat="1" applyFont="1" applyFill="1" applyBorder="1" applyAlignment="1"/>
    <xf numFmtId="0" fontId="5" fillId="0" borderId="1" xfId="14" applyFont="1" applyFill="1" applyBorder="1" applyAlignment="1"/>
    <xf numFmtId="9" fontId="3" fillId="2" borderId="89" xfId="80" applyNumberFormat="1" applyFont="1" applyFill="1" applyBorder="1" applyAlignment="1">
      <alignment horizontal="left"/>
    </xf>
    <xf numFmtId="9" fontId="3" fillId="2" borderId="5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3" fontId="3" fillId="2" borderId="3" xfId="80" applyNumberFormat="1" applyFont="1" applyFill="1" applyBorder="1" applyAlignment="1">
      <alignment horizontal="left"/>
    </xf>
    <xf numFmtId="3" fontId="3" fillId="2" borderId="88" xfId="80" applyNumberFormat="1" applyFont="1" applyFill="1" applyBorder="1" applyAlignment="1">
      <alignment horizontal="left"/>
    </xf>
    <xf numFmtId="3" fontId="3" fillId="2" borderId="78" xfId="80" applyNumberFormat="1" applyFont="1" applyFill="1" applyBorder="1" applyAlignment="1">
      <alignment horizontal="left"/>
    </xf>
    <xf numFmtId="0" fontId="2" fillId="0" borderId="1" xfId="26" applyFont="1" applyFill="1" applyBorder="1" applyAlignment="1"/>
    <xf numFmtId="167" fontId="39" fillId="2" borderId="55" xfId="0" applyNumberFormat="1" applyFont="1" applyFill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3" fontId="33" fillId="9" borderId="91" xfId="0" applyNumberFormat="1" applyFont="1" applyFill="1" applyBorder="1" applyAlignment="1">
      <alignment horizontal="right" vertical="top"/>
    </xf>
    <xf numFmtId="3" fontId="33" fillId="9" borderId="92" xfId="0" applyNumberFormat="1" applyFont="1" applyFill="1" applyBorder="1" applyAlignment="1">
      <alignment horizontal="right" vertical="top"/>
    </xf>
    <xf numFmtId="177" fontId="33" fillId="9" borderId="93" xfId="0" applyNumberFormat="1" applyFont="1" applyFill="1" applyBorder="1" applyAlignment="1">
      <alignment horizontal="right" vertical="top"/>
    </xf>
    <xf numFmtId="3" fontId="33" fillId="0" borderId="91" xfId="0" applyNumberFormat="1" applyFont="1" applyBorder="1" applyAlignment="1">
      <alignment horizontal="right" vertical="top"/>
    </xf>
    <xf numFmtId="177" fontId="33" fillId="9" borderId="94" xfId="0" applyNumberFormat="1" applyFont="1" applyFill="1" applyBorder="1" applyAlignment="1">
      <alignment horizontal="right" vertical="top"/>
    </xf>
    <xf numFmtId="3" fontId="35" fillId="9" borderId="96" xfId="0" applyNumberFormat="1" applyFont="1" applyFill="1" applyBorder="1" applyAlignment="1">
      <alignment horizontal="right" vertical="top"/>
    </xf>
    <xf numFmtId="3" fontId="35" fillId="9" borderId="97" xfId="0" applyNumberFormat="1" applyFont="1" applyFill="1" applyBorder="1" applyAlignment="1">
      <alignment horizontal="right" vertical="top"/>
    </xf>
    <xf numFmtId="0" fontId="35" fillId="9" borderId="98" xfId="0" applyFont="1" applyFill="1" applyBorder="1" applyAlignment="1">
      <alignment horizontal="right" vertical="top"/>
    </xf>
    <xf numFmtId="3" fontId="35" fillId="0" borderId="96" xfId="0" applyNumberFormat="1" applyFont="1" applyBorder="1" applyAlignment="1">
      <alignment horizontal="right" vertical="top"/>
    </xf>
    <xf numFmtId="0" fontId="35" fillId="9" borderId="99" xfId="0" applyFont="1" applyFill="1" applyBorder="1" applyAlignment="1">
      <alignment horizontal="right" vertical="top"/>
    </xf>
    <xf numFmtId="0" fontId="33" fillId="9" borderId="93" xfId="0" applyFont="1" applyFill="1" applyBorder="1" applyAlignment="1">
      <alignment horizontal="right" vertical="top"/>
    </xf>
    <xf numFmtId="0" fontId="33" fillId="9" borderId="94" xfId="0" applyFont="1" applyFill="1" applyBorder="1" applyAlignment="1">
      <alignment horizontal="right" vertical="top"/>
    </xf>
    <xf numFmtId="177" fontId="35" fillId="9" borderId="98" xfId="0" applyNumberFormat="1" applyFont="1" applyFill="1" applyBorder="1" applyAlignment="1">
      <alignment horizontal="right" vertical="top"/>
    </xf>
    <xf numFmtId="177" fontId="35" fillId="9" borderId="99" xfId="0" applyNumberFormat="1" applyFont="1" applyFill="1" applyBorder="1" applyAlignment="1">
      <alignment horizontal="right" vertical="top"/>
    </xf>
    <xf numFmtId="3" fontId="35" fillId="0" borderId="100" xfId="0" applyNumberFormat="1" applyFont="1" applyBorder="1" applyAlignment="1">
      <alignment horizontal="right" vertical="top"/>
    </xf>
    <xf numFmtId="3" fontId="35" fillId="0" borderId="101" xfId="0" applyNumberFormat="1" applyFont="1" applyBorder="1" applyAlignment="1">
      <alignment horizontal="right" vertical="top"/>
    </xf>
    <xf numFmtId="3" fontId="35" fillId="0" borderId="102" xfId="0" applyNumberFormat="1" applyFont="1" applyBorder="1" applyAlignment="1">
      <alignment horizontal="right" vertical="top"/>
    </xf>
    <xf numFmtId="177" fontId="35" fillId="9" borderId="103" xfId="0" applyNumberFormat="1" applyFont="1" applyFill="1" applyBorder="1" applyAlignment="1">
      <alignment horizontal="right" vertical="top"/>
    </xf>
    <xf numFmtId="0" fontId="37" fillId="10" borderId="90" xfId="0" applyFont="1" applyFill="1" applyBorder="1" applyAlignment="1">
      <alignment vertical="top"/>
    </xf>
    <xf numFmtId="0" fontId="37" fillId="10" borderId="90" xfId="0" applyFont="1" applyFill="1" applyBorder="1" applyAlignment="1">
      <alignment vertical="top" indent="2"/>
    </xf>
    <xf numFmtId="0" fontId="37" fillId="10" borderId="90" xfId="0" applyFont="1" applyFill="1" applyBorder="1" applyAlignment="1">
      <alignment vertical="top" indent="4"/>
    </xf>
    <xf numFmtId="0" fontId="38" fillId="10" borderId="95" xfId="0" applyFont="1" applyFill="1" applyBorder="1" applyAlignment="1">
      <alignment vertical="top" indent="6"/>
    </xf>
    <xf numFmtId="0" fontId="37" fillId="10" borderId="90" xfId="0" applyFont="1" applyFill="1" applyBorder="1" applyAlignment="1">
      <alignment vertical="top" indent="8"/>
    </xf>
    <xf numFmtId="0" fontId="38" fillId="10" borderId="95" xfId="0" applyFont="1" applyFill="1" applyBorder="1" applyAlignment="1">
      <alignment vertical="top" indent="2"/>
    </xf>
    <xf numFmtId="0" fontId="37" fillId="10" borderId="90" xfId="0" applyFont="1" applyFill="1" applyBorder="1" applyAlignment="1">
      <alignment vertical="top" indent="6"/>
    </xf>
    <xf numFmtId="0" fontId="38" fillId="10" borderId="95" xfId="0" applyFont="1" applyFill="1" applyBorder="1" applyAlignment="1">
      <alignment vertical="top" indent="4"/>
    </xf>
    <xf numFmtId="0" fontId="32" fillId="10" borderId="90" xfId="0" applyFont="1" applyFill="1" applyBorder="1"/>
    <xf numFmtId="0" fontId="38" fillId="10" borderId="18" xfId="0" applyFont="1" applyFill="1" applyBorder="1" applyAlignment="1">
      <alignment vertical="top"/>
    </xf>
    <xf numFmtId="0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right"/>
    </xf>
    <xf numFmtId="9" fontId="29" fillId="0" borderId="0" xfId="0" applyNumberFormat="1" applyFont="1" applyFill="1" applyBorder="1" applyAlignment="1">
      <alignment horizontal="right"/>
    </xf>
    <xf numFmtId="3" fontId="29" fillId="0" borderId="0" xfId="0" applyNumberFormat="1" applyFont="1" applyFill="1" applyBorder="1"/>
    <xf numFmtId="165" fontId="31" fillId="2" borderId="104" xfId="53" applyNumberFormat="1" applyFont="1" applyFill="1" applyBorder="1" applyAlignment="1">
      <alignment horizontal="left"/>
    </xf>
    <xf numFmtId="165" fontId="31" fillId="2" borderId="105" xfId="53" applyNumberFormat="1" applyFont="1" applyFill="1" applyBorder="1" applyAlignment="1">
      <alignment horizontal="left"/>
    </xf>
    <xf numFmtId="165" fontId="31" fillId="2" borderId="46" xfId="53" applyNumberFormat="1" applyFont="1" applyFill="1" applyBorder="1" applyAlignment="1">
      <alignment horizontal="left"/>
    </xf>
    <xf numFmtId="3" fontId="31" fillId="2" borderId="46" xfId="53" applyNumberFormat="1" applyFont="1" applyFill="1" applyBorder="1" applyAlignment="1">
      <alignment horizontal="left"/>
    </xf>
    <xf numFmtId="3" fontId="31" fillId="2" borderId="50" xfId="53" applyNumberFormat="1" applyFont="1" applyFill="1" applyBorder="1" applyAlignment="1">
      <alignment horizontal="left"/>
    </xf>
    <xf numFmtId="0" fontId="32" fillId="0" borderId="56" xfId="0" applyFont="1" applyFill="1" applyBorder="1"/>
    <xf numFmtId="0" fontId="32" fillId="0" borderId="57" xfId="0" applyFont="1" applyFill="1" applyBorder="1"/>
    <xf numFmtId="165" fontId="32" fillId="0" borderId="57" xfId="0" applyNumberFormat="1" applyFont="1" applyFill="1" applyBorder="1"/>
    <xf numFmtId="165" fontId="32" fillId="0" borderId="57" xfId="0" applyNumberFormat="1" applyFont="1" applyFill="1" applyBorder="1" applyAlignment="1">
      <alignment horizontal="right"/>
    </xf>
    <xf numFmtId="3" fontId="32" fillId="0" borderId="57" xfId="0" applyNumberFormat="1" applyFont="1" applyFill="1" applyBorder="1"/>
    <xf numFmtId="3" fontId="32" fillId="0" borderId="58" xfId="0" applyNumberFormat="1" applyFont="1" applyFill="1" applyBorder="1"/>
    <xf numFmtId="0" fontId="32" fillId="0" borderId="66" xfId="0" applyFont="1" applyFill="1" applyBorder="1"/>
    <xf numFmtId="0" fontId="32" fillId="0" borderId="67" xfId="0" applyFont="1" applyFill="1" applyBorder="1"/>
    <xf numFmtId="165" fontId="32" fillId="0" borderId="67" xfId="0" applyNumberFormat="1" applyFont="1" applyFill="1" applyBorder="1"/>
    <xf numFmtId="165" fontId="32" fillId="0" borderId="67" xfId="0" applyNumberFormat="1" applyFont="1" applyFill="1" applyBorder="1" applyAlignment="1">
      <alignment horizontal="right"/>
    </xf>
    <xf numFmtId="3" fontId="32" fillId="0" borderId="67" xfId="0" applyNumberFormat="1" applyFont="1" applyFill="1" applyBorder="1"/>
    <xf numFmtId="3" fontId="32" fillId="0" borderId="68" xfId="0" applyNumberFormat="1" applyFont="1" applyFill="1" applyBorder="1"/>
    <xf numFmtId="0" fontId="32" fillId="0" borderId="59" xfId="0" applyFont="1" applyFill="1" applyBorder="1"/>
    <xf numFmtId="0" fontId="32" fillId="0" borderId="60" xfId="0" applyFont="1" applyFill="1" applyBorder="1"/>
    <xf numFmtId="165" fontId="32" fillId="0" borderId="60" xfId="0" applyNumberFormat="1" applyFont="1" applyFill="1" applyBorder="1"/>
    <xf numFmtId="165" fontId="32" fillId="0" borderId="60" xfId="0" applyNumberFormat="1" applyFont="1" applyFill="1" applyBorder="1" applyAlignment="1">
      <alignment horizontal="right"/>
    </xf>
    <xf numFmtId="3" fontId="32" fillId="0" borderId="60" xfId="0" applyNumberFormat="1" applyFont="1" applyFill="1" applyBorder="1"/>
    <xf numFmtId="3" fontId="32" fillId="0" borderId="61" xfId="0" applyNumberFormat="1" applyFont="1" applyFill="1" applyBorder="1"/>
    <xf numFmtId="0" fontId="3" fillId="2" borderId="104" xfId="79" applyFont="1" applyFill="1" applyBorder="1" applyAlignment="1">
      <alignment horizontal="left"/>
    </xf>
    <xf numFmtId="3" fontId="3" fillId="2" borderId="73" xfId="80" applyNumberFormat="1" applyFont="1" applyFill="1" applyBorder="1"/>
    <xf numFmtId="3" fontId="3" fillId="2" borderId="74" xfId="80" applyNumberFormat="1" applyFont="1" applyFill="1" applyBorder="1"/>
    <xf numFmtId="9" fontId="3" fillId="2" borderId="72" xfId="80" applyNumberFormat="1" applyFont="1" applyFill="1" applyBorder="1"/>
    <xf numFmtId="9" fontId="3" fillId="2" borderId="73" xfId="80" applyNumberFormat="1" applyFont="1" applyFill="1" applyBorder="1"/>
    <xf numFmtId="9" fontId="3" fillId="2" borderId="74" xfId="80" applyNumberFormat="1" applyFont="1" applyFill="1" applyBorder="1"/>
    <xf numFmtId="9" fontId="32" fillId="0" borderId="57" xfId="0" applyNumberFormat="1" applyFont="1" applyFill="1" applyBorder="1"/>
    <xf numFmtId="9" fontId="32" fillId="0" borderId="58" xfId="0" applyNumberFormat="1" applyFont="1" applyFill="1" applyBorder="1"/>
    <xf numFmtId="9" fontId="32" fillId="0" borderId="67" xfId="0" applyNumberFormat="1" applyFont="1" applyFill="1" applyBorder="1"/>
    <xf numFmtId="9" fontId="32" fillId="0" borderId="68" xfId="0" applyNumberFormat="1" applyFont="1" applyFill="1" applyBorder="1"/>
    <xf numFmtId="9" fontId="32" fillId="0" borderId="60" xfId="0" applyNumberFormat="1" applyFont="1" applyFill="1" applyBorder="1"/>
    <xf numFmtId="9" fontId="32" fillId="0" borderId="61" xfId="0" applyNumberFormat="1" applyFont="1" applyFill="1" applyBorder="1"/>
    <xf numFmtId="0" fontId="39" fillId="0" borderId="87" xfId="0" applyFont="1" applyFill="1" applyBorder="1"/>
    <xf numFmtId="0" fontId="39" fillId="0" borderId="85" xfId="0" applyFont="1" applyFill="1" applyBorder="1" applyAlignment="1">
      <alignment horizontal="left" indent="1"/>
    </xf>
    <xf numFmtId="0" fontId="39" fillId="0" borderId="86" xfId="0" applyFont="1" applyFill="1" applyBorder="1" applyAlignment="1">
      <alignment horizontal="left" indent="1"/>
    </xf>
    <xf numFmtId="9" fontId="32" fillId="0" borderId="79" xfId="0" applyNumberFormat="1" applyFont="1" applyFill="1" applyBorder="1"/>
    <xf numFmtId="9" fontId="32" fillId="0" borderId="69" xfId="0" applyNumberFormat="1" applyFont="1" applyFill="1" applyBorder="1"/>
    <xf numFmtId="9" fontId="32" fillId="0" borderId="77" xfId="0" applyNumberFormat="1" applyFont="1" applyFill="1" applyBorder="1"/>
    <xf numFmtId="3" fontId="32" fillId="0" borderId="56" xfId="0" applyNumberFormat="1" applyFont="1" applyFill="1" applyBorder="1"/>
    <xf numFmtId="3" fontId="32" fillId="0" borderId="66" xfId="0" applyNumberFormat="1" applyFont="1" applyFill="1" applyBorder="1"/>
    <xf numFmtId="3" fontId="32" fillId="0" borderId="59" xfId="0" applyNumberFormat="1" applyFont="1" applyFill="1" applyBorder="1"/>
    <xf numFmtId="9" fontId="32" fillId="0" borderId="83" xfId="0" applyNumberFormat="1" applyFont="1" applyFill="1" applyBorder="1"/>
    <xf numFmtId="9" fontId="32" fillId="0" borderId="81" xfId="0" applyNumberFormat="1" applyFont="1" applyFill="1" applyBorder="1"/>
    <xf numFmtId="9" fontId="32" fillId="0" borderId="82" xfId="0" applyNumberFormat="1" applyFont="1" applyFill="1" applyBorder="1"/>
    <xf numFmtId="174" fontId="39" fillId="4" borderId="106" xfId="0" applyNumberFormat="1" applyFont="1" applyFill="1" applyBorder="1" applyAlignment="1">
      <alignment horizontal="center"/>
    </xf>
    <xf numFmtId="174" fontId="39" fillId="4" borderId="107" xfId="0" applyNumberFormat="1" applyFont="1" applyFill="1" applyBorder="1" applyAlignment="1">
      <alignment horizontal="center"/>
    </xf>
    <xf numFmtId="174" fontId="32" fillId="0" borderId="108" xfId="0" applyNumberFormat="1" applyFont="1" applyBorder="1" applyAlignment="1">
      <alignment horizontal="right"/>
    </xf>
    <xf numFmtId="174" fontId="32" fillId="0" borderId="109" xfId="0" applyNumberFormat="1" applyFont="1" applyBorder="1" applyAlignment="1">
      <alignment horizontal="right"/>
    </xf>
    <xf numFmtId="174" fontId="32" fillId="0" borderId="109" xfId="0" applyNumberFormat="1" applyFont="1" applyBorder="1" applyAlignment="1">
      <alignment horizontal="right" wrapText="1"/>
    </xf>
    <xf numFmtId="176" fontId="32" fillId="0" borderId="108" xfId="0" applyNumberFormat="1" applyFont="1" applyBorder="1" applyAlignment="1">
      <alignment horizontal="right"/>
    </xf>
    <xf numFmtId="176" fontId="32" fillId="0" borderId="109" xfId="0" applyNumberFormat="1" applyFont="1" applyBorder="1" applyAlignment="1">
      <alignment horizontal="right"/>
    </xf>
    <xf numFmtId="174" fontId="32" fillId="0" borderId="110" xfId="0" applyNumberFormat="1" applyFont="1" applyBorder="1" applyAlignment="1">
      <alignment horizontal="right"/>
    </xf>
    <xf numFmtId="174" fontId="32" fillId="0" borderId="111" xfId="0" applyNumberFormat="1" applyFont="1" applyBorder="1" applyAlignment="1">
      <alignment horizontal="right"/>
    </xf>
    <xf numFmtId="0" fontId="39" fillId="2" borderId="83" xfId="0" applyFont="1" applyFill="1" applyBorder="1" applyAlignment="1">
      <alignment horizontal="center" vertical="center"/>
    </xf>
    <xf numFmtId="0" fontId="53" fillId="2" borderId="82" xfId="0" applyFont="1" applyFill="1" applyBorder="1" applyAlignment="1">
      <alignment horizontal="center" vertical="center" wrapText="1"/>
    </xf>
    <xf numFmtId="175" fontId="32" fillId="2" borderId="83" xfId="0" applyNumberFormat="1" applyFont="1" applyFill="1" applyBorder="1" applyAlignment="1"/>
    <xf numFmtId="175" fontId="32" fillId="0" borderId="81" xfId="0" applyNumberFormat="1" applyFont="1" applyBorder="1"/>
    <xf numFmtId="175" fontId="32" fillId="0" borderId="112" xfId="0" applyNumberFormat="1" applyFont="1" applyBorder="1"/>
    <xf numFmtId="174" fontId="39" fillId="4" borderId="83" xfId="0" applyNumberFormat="1" applyFont="1" applyFill="1" applyBorder="1" applyAlignment="1"/>
    <xf numFmtId="174" fontId="32" fillId="0" borderId="81" xfId="0" applyNumberFormat="1" applyFont="1" applyBorder="1"/>
    <xf numFmtId="174" fontId="32" fillId="0" borderId="82" xfId="0" applyNumberFormat="1" applyFont="1" applyBorder="1"/>
    <xf numFmtId="174" fontId="39" fillId="2" borderId="83" xfId="0" applyNumberFormat="1" applyFont="1" applyFill="1" applyBorder="1" applyAlignment="1"/>
    <xf numFmtId="174" fontId="32" fillId="0" borderId="112" xfId="0" applyNumberFormat="1" applyFont="1" applyBorder="1"/>
    <xf numFmtId="174" fontId="32" fillId="0" borderId="83" xfId="0" applyNumberFormat="1" applyFont="1" applyBorder="1"/>
    <xf numFmtId="174" fontId="39" fillId="4" borderId="113" xfId="0" applyNumberFormat="1" applyFont="1" applyFill="1" applyBorder="1" applyAlignment="1">
      <alignment horizontal="center"/>
    </xf>
    <xf numFmtId="174" fontId="32" fillId="0" borderId="114" xfId="0" applyNumberFormat="1" applyFont="1" applyBorder="1" applyAlignment="1">
      <alignment horizontal="right"/>
    </xf>
    <xf numFmtId="176" fontId="32" fillId="0" borderId="114" xfId="0" applyNumberFormat="1" applyFont="1" applyBorder="1" applyAlignment="1">
      <alignment horizontal="right"/>
    </xf>
    <xf numFmtId="174" fontId="32" fillId="0" borderId="115" xfId="0" applyNumberFormat="1" applyFont="1" applyBorder="1" applyAlignment="1">
      <alignment horizontal="right"/>
    </xf>
    <xf numFmtId="0" fontId="0" fillId="0" borderId="15" xfId="0" applyBorder="1"/>
    <xf numFmtId="174" fontId="39" fillId="4" borderId="62" xfId="0" applyNumberFormat="1" applyFont="1" applyFill="1" applyBorder="1" applyAlignment="1">
      <alignment horizontal="center"/>
    </xf>
    <xf numFmtId="174" fontId="32" fillId="0" borderId="64" xfId="0" applyNumberFormat="1" applyFont="1" applyBorder="1" applyAlignment="1">
      <alignment horizontal="right"/>
    </xf>
    <xf numFmtId="176" fontId="32" fillId="0" borderId="64" xfId="0" applyNumberFormat="1" applyFont="1" applyBorder="1" applyAlignment="1">
      <alignment horizontal="right"/>
    </xf>
    <xf numFmtId="174" fontId="32" fillId="0" borderId="75" xfId="0" applyNumberFormat="1" applyFont="1" applyBorder="1" applyAlignment="1">
      <alignment horizontal="right"/>
    </xf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48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17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96" bestFit="1" customWidth="1"/>
    <col min="2" max="2" width="102.21875" style="96" bestFit="1" customWidth="1"/>
    <col min="3" max="3" width="16.109375" style="42" hidden="1" customWidth="1"/>
    <col min="4" max="16384" width="8.88671875" style="96"/>
  </cols>
  <sheetData>
    <row r="1" spans="1:3" ht="18.600000000000001" customHeight="1" thickBot="1" x14ac:dyDescent="0.4">
      <c r="A1" s="258" t="s">
        <v>63</v>
      </c>
      <c r="B1" s="258"/>
    </row>
    <row r="2" spans="1:3" ht="14.4" customHeight="1" thickBot="1" x14ac:dyDescent="0.35">
      <c r="A2" s="175" t="s">
        <v>205</v>
      </c>
      <c r="B2" s="41"/>
    </row>
    <row r="3" spans="1:3" ht="14.4" customHeight="1" thickBot="1" x14ac:dyDescent="0.35">
      <c r="A3" s="254" t="s">
        <v>79</v>
      </c>
      <c r="B3" s="255"/>
    </row>
    <row r="4" spans="1:3" ht="14.4" customHeight="1" x14ac:dyDescent="0.3">
      <c r="A4" s="109" t="str">
        <f t="shared" ref="A4:A7" si="0">HYPERLINK("#'"&amp;C4&amp;"'!A1",C4)</f>
        <v>Motivace</v>
      </c>
      <c r="B4" s="61" t="s">
        <v>73</v>
      </c>
      <c r="C4" s="42" t="s">
        <v>74</v>
      </c>
    </row>
    <row r="5" spans="1:3" ht="14.4" customHeight="1" x14ac:dyDescent="0.3">
      <c r="A5" s="110" t="str">
        <f t="shared" si="0"/>
        <v>HI</v>
      </c>
      <c r="B5" s="62" t="s">
        <v>76</v>
      </c>
      <c r="C5" s="42" t="s">
        <v>66</v>
      </c>
    </row>
    <row r="6" spans="1:3" ht="14.4" customHeight="1" x14ac:dyDescent="0.3">
      <c r="A6" s="111" t="str">
        <f t="shared" si="0"/>
        <v>Man Tab</v>
      </c>
      <c r="B6" s="63" t="s">
        <v>207</v>
      </c>
      <c r="C6" s="42" t="s">
        <v>67</v>
      </c>
    </row>
    <row r="7" spans="1:3" ht="14.4" customHeight="1" thickBot="1" x14ac:dyDescent="0.35">
      <c r="A7" s="112" t="str">
        <f t="shared" si="0"/>
        <v>HV</v>
      </c>
      <c r="B7" s="64" t="s">
        <v>45</v>
      </c>
      <c r="C7" s="42" t="s">
        <v>50</v>
      </c>
    </row>
    <row r="8" spans="1:3" ht="14.4" customHeight="1" thickBot="1" x14ac:dyDescent="0.35">
      <c r="A8" s="65"/>
      <c r="B8" s="65"/>
    </row>
    <row r="9" spans="1:3" ht="14.4" customHeight="1" thickBot="1" x14ac:dyDescent="0.35">
      <c r="A9" s="256" t="s">
        <v>64</v>
      </c>
      <c r="B9" s="255"/>
    </row>
    <row r="10" spans="1:3" ht="14.4" customHeight="1" x14ac:dyDescent="0.3">
      <c r="A10" s="113" t="str">
        <f t="shared" ref="A10" si="1">HYPERLINK("#'"&amp;C10&amp;"'!A1",C10)</f>
        <v>Léky Žádanky</v>
      </c>
      <c r="B10" s="62" t="s">
        <v>77</v>
      </c>
      <c r="C10" s="42" t="s">
        <v>68</v>
      </c>
    </row>
    <row r="11" spans="1:3" ht="14.4" customHeight="1" x14ac:dyDescent="0.3">
      <c r="A11" s="111" t="str">
        <f t="shared" ref="A11:A15" si="2">HYPERLINK("#'"&amp;C11&amp;"'!A1",C11)</f>
        <v>LŽ Detail</v>
      </c>
      <c r="B11" s="63" t="s">
        <v>94</v>
      </c>
      <c r="C11" s="42" t="s">
        <v>69</v>
      </c>
    </row>
    <row r="12" spans="1:3" ht="14.4" customHeight="1" x14ac:dyDescent="0.3">
      <c r="A12" s="111" t="str">
        <f t="shared" si="2"/>
        <v>LŽ Statim</v>
      </c>
      <c r="B12" s="249" t="s">
        <v>193</v>
      </c>
      <c r="C12" s="42" t="s">
        <v>203</v>
      </c>
    </row>
    <row r="13" spans="1:3" ht="14.4" customHeight="1" x14ac:dyDescent="0.3">
      <c r="A13" s="113" t="str">
        <f t="shared" ref="A13" si="3">HYPERLINK("#'"&amp;C13&amp;"'!A1",C13)</f>
        <v>Materiál Žádanky</v>
      </c>
      <c r="B13" s="63" t="s">
        <v>78</v>
      </c>
      <c r="C13" s="42" t="s">
        <v>70</v>
      </c>
    </row>
    <row r="14" spans="1:3" ht="14.4" customHeight="1" x14ac:dyDescent="0.3">
      <c r="A14" s="111" t="str">
        <f t="shared" si="2"/>
        <v>MŽ Detail</v>
      </c>
      <c r="B14" s="63" t="s">
        <v>1143</v>
      </c>
      <c r="C14" s="42" t="s">
        <v>71</v>
      </c>
    </row>
    <row r="15" spans="1:3" ht="14.4" customHeight="1" thickBot="1" x14ac:dyDescent="0.35">
      <c r="A15" s="113" t="str">
        <f t="shared" si="2"/>
        <v>Osobní náklady</v>
      </c>
      <c r="B15" s="63" t="s">
        <v>61</v>
      </c>
      <c r="C15" s="42" t="s">
        <v>72</v>
      </c>
    </row>
    <row r="16" spans="1:3" ht="14.4" customHeight="1" thickBot="1" x14ac:dyDescent="0.35">
      <c r="A16" s="66"/>
      <c r="B16" s="66"/>
    </row>
    <row r="17" spans="1:2" ht="14.4" customHeight="1" thickBot="1" x14ac:dyDescent="0.35">
      <c r="A17" s="257" t="s">
        <v>65</v>
      </c>
      <c r="B17" s="255"/>
    </row>
  </sheetData>
  <mergeCells count="4">
    <mergeCell ref="A3:B3"/>
    <mergeCell ref="A9:B9"/>
    <mergeCell ref="A17:B17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378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96" hidden="1" customWidth="1" outlineLevel="1"/>
    <col min="2" max="2" width="28.33203125" style="96" hidden="1" customWidth="1" outlineLevel="1"/>
    <col min="3" max="3" width="5.33203125" style="165" bestFit="1" customWidth="1" collapsed="1"/>
    <col min="4" max="4" width="18.77734375" style="169" customWidth="1"/>
    <col min="5" max="5" width="9" style="165" bestFit="1" customWidth="1"/>
    <col min="6" max="6" width="18.77734375" style="169" customWidth="1"/>
    <col min="7" max="7" width="12.44140625" style="165" hidden="1" customWidth="1" outlineLevel="1"/>
    <col min="8" max="8" width="25.77734375" style="165" customWidth="1" collapsed="1"/>
    <col min="9" max="9" width="7.77734375" style="163" customWidth="1"/>
    <col min="10" max="10" width="10" style="163" customWidth="1"/>
    <col min="11" max="11" width="11.109375" style="163" customWidth="1"/>
    <col min="12" max="16384" width="8.88671875" style="96"/>
  </cols>
  <sheetData>
    <row r="1" spans="1:11" ht="18.600000000000001" customHeight="1" thickBot="1" x14ac:dyDescent="0.4">
      <c r="A1" s="294" t="s">
        <v>1143</v>
      </c>
      <c r="B1" s="259"/>
      <c r="C1" s="259"/>
      <c r="D1" s="259"/>
      <c r="E1" s="259"/>
      <c r="F1" s="259"/>
      <c r="G1" s="259"/>
      <c r="H1" s="259"/>
      <c r="I1" s="259"/>
      <c r="J1" s="259"/>
      <c r="K1" s="259"/>
    </row>
    <row r="2" spans="1:11" ht="14.4" customHeight="1" thickBot="1" x14ac:dyDescent="0.35">
      <c r="A2" s="175" t="s">
        <v>205</v>
      </c>
      <c r="B2" s="57"/>
      <c r="C2" s="167"/>
      <c r="D2" s="167"/>
      <c r="E2" s="167"/>
      <c r="F2" s="167"/>
      <c r="G2" s="167"/>
      <c r="H2" s="167"/>
      <c r="I2" s="168"/>
      <c r="J2" s="168"/>
      <c r="K2" s="168"/>
    </row>
    <row r="3" spans="1:11" ht="14.4" customHeight="1" thickBot="1" x14ac:dyDescent="0.35">
      <c r="A3" s="57"/>
      <c r="B3" s="57"/>
      <c r="C3" s="290"/>
      <c r="D3" s="291"/>
      <c r="E3" s="291"/>
      <c r="F3" s="291"/>
      <c r="G3" s="291"/>
      <c r="H3" s="108" t="s">
        <v>75</v>
      </c>
      <c r="I3" s="71">
        <f>IF(J3&lt;&gt;0,K3/J3,0)</f>
        <v>28.872232590860936</v>
      </c>
      <c r="J3" s="71">
        <f>SUBTOTAL(9,J5:J1048576)</f>
        <v>399709.6</v>
      </c>
      <c r="K3" s="72">
        <f>SUBTOTAL(9,K5:K1048576)</f>
        <v>11540508.539999988</v>
      </c>
    </row>
    <row r="4" spans="1:11" s="164" customFormat="1" ht="14.4" customHeight="1" thickBot="1" x14ac:dyDescent="0.35">
      <c r="A4" s="338" t="s">
        <v>3</v>
      </c>
      <c r="B4" s="339" t="s">
        <v>4</v>
      </c>
      <c r="C4" s="339" t="s">
        <v>0</v>
      </c>
      <c r="D4" s="339" t="s">
        <v>5</v>
      </c>
      <c r="E4" s="339" t="s">
        <v>6</v>
      </c>
      <c r="F4" s="339" t="s">
        <v>1</v>
      </c>
      <c r="G4" s="339" t="s">
        <v>54</v>
      </c>
      <c r="H4" s="340" t="s">
        <v>10</v>
      </c>
      <c r="I4" s="341" t="s">
        <v>81</v>
      </c>
      <c r="J4" s="341" t="s">
        <v>12</v>
      </c>
      <c r="K4" s="342" t="s">
        <v>89</v>
      </c>
    </row>
    <row r="5" spans="1:11" ht="14.4" customHeight="1" x14ac:dyDescent="0.3">
      <c r="A5" s="343" t="s">
        <v>379</v>
      </c>
      <c r="B5" s="344" t="s">
        <v>500</v>
      </c>
      <c r="C5" s="345" t="s">
        <v>384</v>
      </c>
      <c r="D5" s="346" t="s">
        <v>501</v>
      </c>
      <c r="E5" s="345" t="s">
        <v>1123</v>
      </c>
      <c r="F5" s="346" t="s">
        <v>1124</v>
      </c>
      <c r="G5" s="345" t="s">
        <v>511</v>
      </c>
      <c r="H5" s="345" t="s">
        <v>512</v>
      </c>
      <c r="I5" s="347">
        <v>2.88</v>
      </c>
      <c r="J5" s="347">
        <v>3000</v>
      </c>
      <c r="K5" s="348">
        <v>8625</v>
      </c>
    </row>
    <row r="6" spans="1:11" ht="14.4" customHeight="1" x14ac:dyDescent="0.3">
      <c r="A6" s="349" t="s">
        <v>379</v>
      </c>
      <c r="B6" s="350" t="s">
        <v>500</v>
      </c>
      <c r="C6" s="351" t="s">
        <v>384</v>
      </c>
      <c r="D6" s="352" t="s">
        <v>501</v>
      </c>
      <c r="E6" s="351" t="s">
        <v>1123</v>
      </c>
      <c r="F6" s="352" t="s">
        <v>1124</v>
      </c>
      <c r="G6" s="351" t="s">
        <v>513</v>
      </c>
      <c r="H6" s="351" t="s">
        <v>514</v>
      </c>
      <c r="I6" s="353">
        <v>5.73</v>
      </c>
      <c r="J6" s="353">
        <v>130</v>
      </c>
      <c r="K6" s="354">
        <v>744.68</v>
      </c>
    </row>
    <row r="7" spans="1:11" ht="14.4" customHeight="1" x14ac:dyDescent="0.3">
      <c r="A7" s="349" t="s">
        <v>379</v>
      </c>
      <c r="B7" s="350" t="s">
        <v>500</v>
      </c>
      <c r="C7" s="351" t="s">
        <v>384</v>
      </c>
      <c r="D7" s="352" t="s">
        <v>501</v>
      </c>
      <c r="E7" s="351" t="s">
        <v>1123</v>
      </c>
      <c r="F7" s="352" t="s">
        <v>1124</v>
      </c>
      <c r="G7" s="351" t="s">
        <v>515</v>
      </c>
      <c r="H7" s="351" t="s">
        <v>516</v>
      </c>
      <c r="I7" s="353">
        <v>3.1033333333333335</v>
      </c>
      <c r="J7" s="353">
        <v>360</v>
      </c>
      <c r="K7" s="354">
        <v>1117.2</v>
      </c>
    </row>
    <row r="8" spans="1:11" ht="14.4" customHeight="1" x14ac:dyDescent="0.3">
      <c r="A8" s="349" t="s">
        <v>379</v>
      </c>
      <c r="B8" s="350" t="s">
        <v>500</v>
      </c>
      <c r="C8" s="351" t="s">
        <v>384</v>
      </c>
      <c r="D8" s="352" t="s">
        <v>501</v>
      </c>
      <c r="E8" s="351" t="s">
        <v>1123</v>
      </c>
      <c r="F8" s="352" t="s">
        <v>1124</v>
      </c>
      <c r="G8" s="351" t="s">
        <v>517</v>
      </c>
      <c r="H8" s="351" t="s">
        <v>518</v>
      </c>
      <c r="I8" s="353">
        <v>3.7842857142857143</v>
      </c>
      <c r="J8" s="353">
        <v>640</v>
      </c>
      <c r="K8" s="354">
        <v>2421.6000000000004</v>
      </c>
    </row>
    <row r="9" spans="1:11" ht="14.4" customHeight="1" x14ac:dyDescent="0.3">
      <c r="A9" s="349" t="s">
        <v>379</v>
      </c>
      <c r="B9" s="350" t="s">
        <v>500</v>
      </c>
      <c r="C9" s="351" t="s">
        <v>384</v>
      </c>
      <c r="D9" s="352" t="s">
        <v>501</v>
      </c>
      <c r="E9" s="351" t="s">
        <v>1123</v>
      </c>
      <c r="F9" s="352" t="s">
        <v>1124</v>
      </c>
      <c r="G9" s="351" t="s">
        <v>519</v>
      </c>
      <c r="H9" s="351" t="s">
        <v>520</v>
      </c>
      <c r="I9" s="353">
        <v>1.84</v>
      </c>
      <c r="J9" s="353">
        <v>1400</v>
      </c>
      <c r="K9" s="354">
        <v>2576</v>
      </c>
    </row>
    <row r="10" spans="1:11" ht="14.4" customHeight="1" x14ac:dyDescent="0.3">
      <c r="A10" s="349" t="s">
        <v>379</v>
      </c>
      <c r="B10" s="350" t="s">
        <v>500</v>
      </c>
      <c r="C10" s="351" t="s">
        <v>384</v>
      </c>
      <c r="D10" s="352" t="s">
        <v>501</v>
      </c>
      <c r="E10" s="351" t="s">
        <v>1123</v>
      </c>
      <c r="F10" s="352" t="s">
        <v>1124</v>
      </c>
      <c r="G10" s="351" t="s">
        <v>521</v>
      </c>
      <c r="H10" s="351" t="s">
        <v>522</v>
      </c>
      <c r="I10" s="353">
        <v>14.210000000000003</v>
      </c>
      <c r="J10" s="353">
        <v>860</v>
      </c>
      <c r="K10" s="354">
        <v>12220.6</v>
      </c>
    </row>
    <row r="11" spans="1:11" ht="14.4" customHeight="1" x14ac:dyDescent="0.3">
      <c r="A11" s="349" t="s">
        <v>379</v>
      </c>
      <c r="B11" s="350" t="s">
        <v>500</v>
      </c>
      <c r="C11" s="351" t="s">
        <v>384</v>
      </c>
      <c r="D11" s="352" t="s">
        <v>501</v>
      </c>
      <c r="E11" s="351" t="s">
        <v>1123</v>
      </c>
      <c r="F11" s="352" t="s">
        <v>1124</v>
      </c>
      <c r="G11" s="351" t="s">
        <v>523</v>
      </c>
      <c r="H11" s="351" t="s">
        <v>524</v>
      </c>
      <c r="I11" s="353">
        <v>9.75</v>
      </c>
      <c r="J11" s="353">
        <v>40</v>
      </c>
      <c r="K11" s="354">
        <v>390</v>
      </c>
    </row>
    <row r="12" spans="1:11" ht="14.4" customHeight="1" x14ac:dyDescent="0.3">
      <c r="A12" s="349" t="s">
        <v>379</v>
      </c>
      <c r="B12" s="350" t="s">
        <v>500</v>
      </c>
      <c r="C12" s="351" t="s">
        <v>384</v>
      </c>
      <c r="D12" s="352" t="s">
        <v>501</v>
      </c>
      <c r="E12" s="351" t="s">
        <v>1123</v>
      </c>
      <c r="F12" s="352" t="s">
        <v>1124</v>
      </c>
      <c r="G12" s="351" t="s">
        <v>525</v>
      </c>
      <c r="H12" s="351" t="s">
        <v>526</v>
      </c>
      <c r="I12" s="353">
        <v>8.5299999999999994</v>
      </c>
      <c r="J12" s="353">
        <v>50</v>
      </c>
      <c r="K12" s="354">
        <v>426.5</v>
      </c>
    </row>
    <row r="13" spans="1:11" ht="14.4" customHeight="1" x14ac:dyDescent="0.3">
      <c r="A13" s="349" t="s">
        <v>379</v>
      </c>
      <c r="B13" s="350" t="s">
        <v>500</v>
      </c>
      <c r="C13" s="351" t="s">
        <v>384</v>
      </c>
      <c r="D13" s="352" t="s">
        <v>501</v>
      </c>
      <c r="E13" s="351" t="s">
        <v>1123</v>
      </c>
      <c r="F13" s="352" t="s">
        <v>1124</v>
      </c>
      <c r="G13" s="351" t="s">
        <v>527</v>
      </c>
      <c r="H13" s="351" t="s">
        <v>528</v>
      </c>
      <c r="I13" s="353">
        <v>210.64</v>
      </c>
      <c r="J13" s="353">
        <v>2</v>
      </c>
      <c r="K13" s="354">
        <v>421.28</v>
      </c>
    </row>
    <row r="14" spans="1:11" ht="14.4" customHeight="1" x14ac:dyDescent="0.3">
      <c r="A14" s="349" t="s">
        <v>379</v>
      </c>
      <c r="B14" s="350" t="s">
        <v>500</v>
      </c>
      <c r="C14" s="351" t="s">
        <v>384</v>
      </c>
      <c r="D14" s="352" t="s">
        <v>501</v>
      </c>
      <c r="E14" s="351" t="s">
        <v>1123</v>
      </c>
      <c r="F14" s="352" t="s">
        <v>1124</v>
      </c>
      <c r="G14" s="351" t="s">
        <v>529</v>
      </c>
      <c r="H14" s="351" t="s">
        <v>530</v>
      </c>
      <c r="I14" s="353">
        <v>0.40200000000000002</v>
      </c>
      <c r="J14" s="353">
        <v>24000</v>
      </c>
      <c r="K14" s="354">
        <v>9601</v>
      </c>
    </row>
    <row r="15" spans="1:11" ht="14.4" customHeight="1" x14ac:dyDescent="0.3">
      <c r="A15" s="349" t="s">
        <v>379</v>
      </c>
      <c r="B15" s="350" t="s">
        <v>500</v>
      </c>
      <c r="C15" s="351" t="s">
        <v>384</v>
      </c>
      <c r="D15" s="352" t="s">
        <v>501</v>
      </c>
      <c r="E15" s="351" t="s">
        <v>1123</v>
      </c>
      <c r="F15" s="352" t="s">
        <v>1124</v>
      </c>
      <c r="G15" s="351" t="s">
        <v>531</v>
      </c>
      <c r="H15" s="351" t="s">
        <v>532</v>
      </c>
      <c r="I15" s="353">
        <v>27.639999999999997</v>
      </c>
      <c r="J15" s="353">
        <v>38</v>
      </c>
      <c r="K15" s="354">
        <v>1045.3399999999999</v>
      </c>
    </row>
    <row r="16" spans="1:11" ht="14.4" customHeight="1" x14ac:dyDescent="0.3">
      <c r="A16" s="349" t="s">
        <v>379</v>
      </c>
      <c r="B16" s="350" t="s">
        <v>500</v>
      </c>
      <c r="C16" s="351" t="s">
        <v>384</v>
      </c>
      <c r="D16" s="352" t="s">
        <v>501</v>
      </c>
      <c r="E16" s="351" t="s">
        <v>1123</v>
      </c>
      <c r="F16" s="352" t="s">
        <v>1124</v>
      </c>
      <c r="G16" s="351" t="s">
        <v>533</v>
      </c>
      <c r="H16" s="351" t="s">
        <v>534</v>
      </c>
      <c r="I16" s="353">
        <v>39.655000000000001</v>
      </c>
      <c r="J16" s="353">
        <v>40</v>
      </c>
      <c r="K16" s="354">
        <v>1586.2</v>
      </c>
    </row>
    <row r="17" spans="1:11" ht="14.4" customHeight="1" x14ac:dyDescent="0.3">
      <c r="A17" s="349" t="s">
        <v>379</v>
      </c>
      <c r="B17" s="350" t="s">
        <v>500</v>
      </c>
      <c r="C17" s="351" t="s">
        <v>384</v>
      </c>
      <c r="D17" s="352" t="s">
        <v>501</v>
      </c>
      <c r="E17" s="351" t="s">
        <v>1123</v>
      </c>
      <c r="F17" s="352" t="s">
        <v>1124</v>
      </c>
      <c r="G17" s="351" t="s">
        <v>535</v>
      </c>
      <c r="H17" s="351" t="s">
        <v>536</v>
      </c>
      <c r="I17" s="353">
        <v>26.45</v>
      </c>
      <c r="J17" s="353">
        <v>600</v>
      </c>
      <c r="K17" s="354">
        <v>15870</v>
      </c>
    </row>
    <row r="18" spans="1:11" ht="14.4" customHeight="1" x14ac:dyDescent="0.3">
      <c r="A18" s="349" t="s">
        <v>379</v>
      </c>
      <c r="B18" s="350" t="s">
        <v>500</v>
      </c>
      <c r="C18" s="351" t="s">
        <v>384</v>
      </c>
      <c r="D18" s="352" t="s">
        <v>501</v>
      </c>
      <c r="E18" s="351" t="s">
        <v>1123</v>
      </c>
      <c r="F18" s="352" t="s">
        <v>1124</v>
      </c>
      <c r="G18" s="351" t="s">
        <v>537</v>
      </c>
      <c r="H18" s="351" t="s">
        <v>538</v>
      </c>
      <c r="I18" s="353">
        <v>0.3828571428571429</v>
      </c>
      <c r="J18" s="353">
        <v>10500</v>
      </c>
      <c r="K18" s="354">
        <v>4020</v>
      </c>
    </row>
    <row r="19" spans="1:11" ht="14.4" customHeight="1" x14ac:dyDescent="0.3">
      <c r="A19" s="349" t="s">
        <v>379</v>
      </c>
      <c r="B19" s="350" t="s">
        <v>500</v>
      </c>
      <c r="C19" s="351" t="s">
        <v>384</v>
      </c>
      <c r="D19" s="352" t="s">
        <v>501</v>
      </c>
      <c r="E19" s="351" t="s">
        <v>1123</v>
      </c>
      <c r="F19" s="352" t="s">
        <v>1124</v>
      </c>
      <c r="G19" s="351" t="s">
        <v>539</v>
      </c>
      <c r="H19" s="351" t="s">
        <v>540</v>
      </c>
      <c r="I19" s="353">
        <v>61.220000000000006</v>
      </c>
      <c r="J19" s="353">
        <v>8</v>
      </c>
      <c r="K19" s="354">
        <v>489.76000000000005</v>
      </c>
    </row>
    <row r="20" spans="1:11" ht="14.4" customHeight="1" x14ac:dyDescent="0.3">
      <c r="A20" s="349" t="s">
        <v>379</v>
      </c>
      <c r="B20" s="350" t="s">
        <v>500</v>
      </c>
      <c r="C20" s="351" t="s">
        <v>384</v>
      </c>
      <c r="D20" s="352" t="s">
        <v>501</v>
      </c>
      <c r="E20" s="351" t="s">
        <v>1123</v>
      </c>
      <c r="F20" s="352" t="s">
        <v>1124</v>
      </c>
      <c r="G20" s="351" t="s">
        <v>541</v>
      </c>
      <c r="H20" s="351" t="s">
        <v>542</v>
      </c>
      <c r="I20" s="353">
        <v>30.173333333333336</v>
      </c>
      <c r="J20" s="353">
        <v>70</v>
      </c>
      <c r="K20" s="354">
        <v>2112</v>
      </c>
    </row>
    <row r="21" spans="1:11" ht="14.4" customHeight="1" x14ac:dyDescent="0.3">
      <c r="A21" s="349" t="s">
        <v>379</v>
      </c>
      <c r="B21" s="350" t="s">
        <v>500</v>
      </c>
      <c r="C21" s="351" t="s">
        <v>384</v>
      </c>
      <c r="D21" s="352" t="s">
        <v>501</v>
      </c>
      <c r="E21" s="351" t="s">
        <v>1123</v>
      </c>
      <c r="F21" s="352" t="s">
        <v>1124</v>
      </c>
      <c r="G21" s="351" t="s">
        <v>543</v>
      </c>
      <c r="H21" s="351" t="s">
        <v>544</v>
      </c>
      <c r="I21" s="353">
        <v>4.2628571428571425</v>
      </c>
      <c r="J21" s="353">
        <v>700</v>
      </c>
      <c r="K21" s="354">
        <v>2984</v>
      </c>
    </row>
    <row r="22" spans="1:11" ht="14.4" customHeight="1" x14ac:dyDescent="0.3">
      <c r="A22" s="349" t="s">
        <v>379</v>
      </c>
      <c r="B22" s="350" t="s">
        <v>500</v>
      </c>
      <c r="C22" s="351" t="s">
        <v>384</v>
      </c>
      <c r="D22" s="352" t="s">
        <v>501</v>
      </c>
      <c r="E22" s="351" t="s">
        <v>1123</v>
      </c>
      <c r="F22" s="352" t="s">
        <v>1124</v>
      </c>
      <c r="G22" s="351" t="s">
        <v>545</v>
      </c>
      <c r="H22" s="351" t="s">
        <v>546</v>
      </c>
      <c r="I22" s="353">
        <v>3.3930000000000007</v>
      </c>
      <c r="J22" s="353">
        <v>122250</v>
      </c>
      <c r="K22" s="354">
        <v>416027.25</v>
      </c>
    </row>
    <row r="23" spans="1:11" ht="14.4" customHeight="1" x14ac:dyDescent="0.3">
      <c r="A23" s="349" t="s">
        <v>379</v>
      </c>
      <c r="B23" s="350" t="s">
        <v>500</v>
      </c>
      <c r="C23" s="351" t="s">
        <v>384</v>
      </c>
      <c r="D23" s="352" t="s">
        <v>501</v>
      </c>
      <c r="E23" s="351" t="s">
        <v>1123</v>
      </c>
      <c r="F23" s="352" t="s">
        <v>1124</v>
      </c>
      <c r="G23" s="351" t="s">
        <v>547</v>
      </c>
      <c r="H23" s="351" t="s">
        <v>548</v>
      </c>
      <c r="I23" s="353">
        <v>8.5779999999999994</v>
      </c>
      <c r="J23" s="353">
        <v>492</v>
      </c>
      <c r="K23" s="354">
        <v>4220.28</v>
      </c>
    </row>
    <row r="24" spans="1:11" ht="14.4" customHeight="1" x14ac:dyDescent="0.3">
      <c r="A24" s="349" t="s">
        <v>379</v>
      </c>
      <c r="B24" s="350" t="s">
        <v>500</v>
      </c>
      <c r="C24" s="351" t="s">
        <v>384</v>
      </c>
      <c r="D24" s="352" t="s">
        <v>501</v>
      </c>
      <c r="E24" s="351" t="s">
        <v>1123</v>
      </c>
      <c r="F24" s="352" t="s">
        <v>1124</v>
      </c>
      <c r="G24" s="351" t="s">
        <v>549</v>
      </c>
      <c r="H24" s="351" t="s">
        <v>550</v>
      </c>
      <c r="I24" s="353">
        <v>357.46</v>
      </c>
      <c r="J24" s="353">
        <v>72</v>
      </c>
      <c r="K24" s="354">
        <v>25736.92</v>
      </c>
    </row>
    <row r="25" spans="1:11" ht="14.4" customHeight="1" x14ac:dyDescent="0.3">
      <c r="A25" s="349" t="s">
        <v>379</v>
      </c>
      <c r="B25" s="350" t="s">
        <v>500</v>
      </c>
      <c r="C25" s="351" t="s">
        <v>384</v>
      </c>
      <c r="D25" s="352" t="s">
        <v>501</v>
      </c>
      <c r="E25" s="351" t="s">
        <v>1123</v>
      </c>
      <c r="F25" s="352" t="s">
        <v>1124</v>
      </c>
      <c r="G25" s="351" t="s">
        <v>551</v>
      </c>
      <c r="H25" s="351" t="s">
        <v>552</v>
      </c>
      <c r="I25" s="353">
        <v>64.905000000000001</v>
      </c>
      <c r="J25" s="353">
        <v>48</v>
      </c>
      <c r="K25" s="354">
        <v>3115.3900000000003</v>
      </c>
    </row>
    <row r="26" spans="1:11" ht="14.4" customHeight="1" x14ac:dyDescent="0.3">
      <c r="A26" s="349" t="s">
        <v>379</v>
      </c>
      <c r="B26" s="350" t="s">
        <v>500</v>
      </c>
      <c r="C26" s="351" t="s">
        <v>384</v>
      </c>
      <c r="D26" s="352" t="s">
        <v>501</v>
      </c>
      <c r="E26" s="351" t="s">
        <v>1123</v>
      </c>
      <c r="F26" s="352" t="s">
        <v>1124</v>
      </c>
      <c r="G26" s="351" t="s">
        <v>553</v>
      </c>
      <c r="H26" s="351" t="s">
        <v>554</v>
      </c>
      <c r="I26" s="353">
        <v>10.72</v>
      </c>
      <c r="J26" s="353">
        <v>120</v>
      </c>
      <c r="K26" s="354">
        <v>1286.1600000000001</v>
      </c>
    </row>
    <row r="27" spans="1:11" ht="14.4" customHeight="1" x14ac:dyDescent="0.3">
      <c r="A27" s="349" t="s">
        <v>379</v>
      </c>
      <c r="B27" s="350" t="s">
        <v>500</v>
      </c>
      <c r="C27" s="351" t="s">
        <v>384</v>
      </c>
      <c r="D27" s="352" t="s">
        <v>501</v>
      </c>
      <c r="E27" s="351" t="s">
        <v>1123</v>
      </c>
      <c r="F27" s="352" t="s">
        <v>1124</v>
      </c>
      <c r="G27" s="351" t="s">
        <v>555</v>
      </c>
      <c r="H27" s="351" t="s">
        <v>556</v>
      </c>
      <c r="I27" s="353">
        <v>9.27</v>
      </c>
      <c r="J27" s="353">
        <v>240</v>
      </c>
      <c r="K27" s="354">
        <v>2224.56</v>
      </c>
    </row>
    <row r="28" spans="1:11" ht="14.4" customHeight="1" x14ac:dyDescent="0.3">
      <c r="A28" s="349" t="s">
        <v>379</v>
      </c>
      <c r="B28" s="350" t="s">
        <v>500</v>
      </c>
      <c r="C28" s="351" t="s">
        <v>384</v>
      </c>
      <c r="D28" s="352" t="s">
        <v>501</v>
      </c>
      <c r="E28" s="351" t="s">
        <v>1123</v>
      </c>
      <c r="F28" s="352" t="s">
        <v>1124</v>
      </c>
      <c r="G28" s="351" t="s">
        <v>557</v>
      </c>
      <c r="H28" s="351" t="s">
        <v>558</v>
      </c>
      <c r="I28" s="353">
        <v>9.98</v>
      </c>
      <c r="J28" s="353">
        <v>60</v>
      </c>
      <c r="K28" s="354">
        <v>598.79999999999995</v>
      </c>
    </row>
    <row r="29" spans="1:11" ht="14.4" customHeight="1" x14ac:dyDescent="0.3">
      <c r="A29" s="349" t="s">
        <v>379</v>
      </c>
      <c r="B29" s="350" t="s">
        <v>500</v>
      </c>
      <c r="C29" s="351" t="s">
        <v>384</v>
      </c>
      <c r="D29" s="352" t="s">
        <v>501</v>
      </c>
      <c r="E29" s="351" t="s">
        <v>1123</v>
      </c>
      <c r="F29" s="352" t="s">
        <v>1124</v>
      </c>
      <c r="G29" s="351" t="s">
        <v>559</v>
      </c>
      <c r="H29" s="351" t="s">
        <v>560</v>
      </c>
      <c r="I29" s="353">
        <v>46.09</v>
      </c>
      <c r="J29" s="353">
        <v>2</v>
      </c>
      <c r="K29" s="354">
        <v>92.18</v>
      </c>
    </row>
    <row r="30" spans="1:11" ht="14.4" customHeight="1" x14ac:dyDescent="0.3">
      <c r="A30" s="349" t="s">
        <v>379</v>
      </c>
      <c r="B30" s="350" t="s">
        <v>500</v>
      </c>
      <c r="C30" s="351" t="s">
        <v>384</v>
      </c>
      <c r="D30" s="352" t="s">
        <v>501</v>
      </c>
      <c r="E30" s="351" t="s">
        <v>1123</v>
      </c>
      <c r="F30" s="352" t="s">
        <v>1124</v>
      </c>
      <c r="G30" s="351" t="s">
        <v>561</v>
      </c>
      <c r="H30" s="351" t="s">
        <v>562</v>
      </c>
      <c r="I30" s="353">
        <v>98.38</v>
      </c>
      <c r="J30" s="353">
        <v>40</v>
      </c>
      <c r="K30" s="354">
        <v>3935.2</v>
      </c>
    </row>
    <row r="31" spans="1:11" ht="14.4" customHeight="1" x14ac:dyDescent="0.3">
      <c r="A31" s="349" t="s">
        <v>379</v>
      </c>
      <c r="B31" s="350" t="s">
        <v>500</v>
      </c>
      <c r="C31" s="351" t="s">
        <v>384</v>
      </c>
      <c r="D31" s="352" t="s">
        <v>501</v>
      </c>
      <c r="E31" s="351" t="s">
        <v>1123</v>
      </c>
      <c r="F31" s="352" t="s">
        <v>1124</v>
      </c>
      <c r="G31" s="351" t="s">
        <v>563</v>
      </c>
      <c r="H31" s="351" t="s">
        <v>564</v>
      </c>
      <c r="I31" s="353">
        <v>1.6200000000000006</v>
      </c>
      <c r="J31" s="353">
        <v>8750</v>
      </c>
      <c r="K31" s="354">
        <v>14183.8</v>
      </c>
    </row>
    <row r="32" spans="1:11" ht="14.4" customHeight="1" x14ac:dyDescent="0.3">
      <c r="A32" s="349" t="s">
        <v>379</v>
      </c>
      <c r="B32" s="350" t="s">
        <v>500</v>
      </c>
      <c r="C32" s="351" t="s">
        <v>384</v>
      </c>
      <c r="D32" s="352" t="s">
        <v>501</v>
      </c>
      <c r="E32" s="351" t="s">
        <v>1123</v>
      </c>
      <c r="F32" s="352" t="s">
        <v>1124</v>
      </c>
      <c r="G32" s="351" t="s">
        <v>565</v>
      </c>
      <c r="H32" s="351" t="s">
        <v>566</v>
      </c>
      <c r="I32" s="353">
        <v>215.58250000000001</v>
      </c>
      <c r="J32" s="353">
        <v>48</v>
      </c>
      <c r="K32" s="354">
        <v>10363.41</v>
      </c>
    </row>
    <row r="33" spans="1:11" ht="14.4" customHeight="1" x14ac:dyDescent="0.3">
      <c r="A33" s="349" t="s">
        <v>379</v>
      </c>
      <c r="B33" s="350" t="s">
        <v>500</v>
      </c>
      <c r="C33" s="351" t="s">
        <v>384</v>
      </c>
      <c r="D33" s="352" t="s">
        <v>501</v>
      </c>
      <c r="E33" s="351" t="s">
        <v>1123</v>
      </c>
      <c r="F33" s="352" t="s">
        <v>1124</v>
      </c>
      <c r="G33" s="351" t="s">
        <v>567</v>
      </c>
      <c r="H33" s="351" t="s">
        <v>568</v>
      </c>
      <c r="I33" s="353">
        <v>0.85166666666666657</v>
      </c>
      <c r="J33" s="353">
        <v>2300</v>
      </c>
      <c r="K33" s="354">
        <v>1958</v>
      </c>
    </row>
    <row r="34" spans="1:11" ht="14.4" customHeight="1" x14ac:dyDescent="0.3">
      <c r="A34" s="349" t="s">
        <v>379</v>
      </c>
      <c r="B34" s="350" t="s">
        <v>500</v>
      </c>
      <c r="C34" s="351" t="s">
        <v>384</v>
      </c>
      <c r="D34" s="352" t="s">
        <v>501</v>
      </c>
      <c r="E34" s="351" t="s">
        <v>1123</v>
      </c>
      <c r="F34" s="352" t="s">
        <v>1124</v>
      </c>
      <c r="G34" s="351" t="s">
        <v>569</v>
      </c>
      <c r="H34" s="351" t="s">
        <v>570</v>
      </c>
      <c r="I34" s="353">
        <v>1.5183333333333333</v>
      </c>
      <c r="J34" s="353">
        <v>1550</v>
      </c>
      <c r="K34" s="354">
        <v>2354</v>
      </c>
    </row>
    <row r="35" spans="1:11" ht="14.4" customHeight="1" x14ac:dyDescent="0.3">
      <c r="A35" s="349" t="s">
        <v>379</v>
      </c>
      <c r="B35" s="350" t="s">
        <v>500</v>
      </c>
      <c r="C35" s="351" t="s">
        <v>384</v>
      </c>
      <c r="D35" s="352" t="s">
        <v>501</v>
      </c>
      <c r="E35" s="351" t="s">
        <v>1123</v>
      </c>
      <c r="F35" s="352" t="s">
        <v>1124</v>
      </c>
      <c r="G35" s="351" t="s">
        <v>571</v>
      </c>
      <c r="H35" s="351" t="s">
        <v>572</v>
      </c>
      <c r="I35" s="353">
        <v>2.0625</v>
      </c>
      <c r="J35" s="353">
        <v>900</v>
      </c>
      <c r="K35" s="354">
        <v>1855</v>
      </c>
    </row>
    <row r="36" spans="1:11" ht="14.4" customHeight="1" x14ac:dyDescent="0.3">
      <c r="A36" s="349" t="s">
        <v>379</v>
      </c>
      <c r="B36" s="350" t="s">
        <v>500</v>
      </c>
      <c r="C36" s="351" t="s">
        <v>384</v>
      </c>
      <c r="D36" s="352" t="s">
        <v>501</v>
      </c>
      <c r="E36" s="351" t="s">
        <v>1123</v>
      </c>
      <c r="F36" s="352" t="s">
        <v>1124</v>
      </c>
      <c r="G36" s="351" t="s">
        <v>573</v>
      </c>
      <c r="H36" s="351" t="s">
        <v>574</v>
      </c>
      <c r="I36" s="353">
        <v>3.3666666666666671</v>
      </c>
      <c r="J36" s="353">
        <v>600</v>
      </c>
      <c r="K36" s="354">
        <v>2020</v>
      </c>
    </row>
    <row r="37" spans="1:11" ht="14.4" customHeight="1" x14ac:dyDescent="0.3">
      <c r="A37" s="349" t="s">
        <v>379</v>
      </c>
      <c r="B37" s="350" t="s">
        <v>500</v>
      </c>
      <c r="C37" s="351" t="s">
        <v>384</v>
      </c>
      <c r="D37" s="352" t="s">
        <v>501</v>
      </c>
      <c r="E37" s="351" t="s">
        <v>1123</v>
      </c>
      <c r="F37" s="352" t="s">
        <v>1124</v>
      </c>
      <c r="G37" s="351" t="s">
        <v>575</v>
      </c>
      <c r="H37" s="351" t="s">
        <v>576</v>
      </c>
      <c r="I37" s="353">
        <v>18.753333333333334</v>
      </c>
      <c r="J37" s="353">
        <v>60</v>
      </c>
      <c r="K37" s="354">
        <v>1125.18</v>
      </c>
    </row>
    <row r="38" spans="1:11" ht="14.4" customHeight="1" x14ac:dyDescent="0.3">
      <c r="A38" s="349" t="s">
        <v>379</v>
      </c>
      <c r="B38" s="350" t="s">
        <v>500</v>
      </c>
      <c r="C38" s="351" t="s">
        <v>384</v>
      </c>
      <c r="D38" s="352" t="s">
        <v>501</v>
      </c>
      <c r="E38" s="351" t="s">
        <v>1123</v>
      </c>
      <c r="F38" s="352" t="s">
        <v>1124</v>
      </c>
      <c r="G38" s="351" t="s">
        <v>577</v>
      </c>
      <c r="H38" s="351" t="s">
        <v>578</v>
      </c>
      <c r="I38" s="353">
        <v>0.28000000000000003</v>
      </c>
      <c r="J38" s="353">
        <v>12000</v>
      </c>
      <c r="K38" s="354">
        <v>3381</v>
      </c>
    </row>
    <row r="39" spans="1:11" ht="14.4" customHeight="1" x14ac:dyDescent="0.3">
      <c r="A39" s="349" t="s">
        <v>379</v>
      </c>
      <c r="B39" s="350" t="s">
        <v>500</v>
      </c>
      <c r="C39" s="351" t="s">
        <v>384</v>
      </c>
      <c r="D39" s="352" t="s">
        <v>501</v>
      </c>
      <c r="E39" s="351" t="s">
        <v>1123</v>
      </c>
      <c r="F39" s="352" t="s">
        <v>1124</v>
      </c>
      <c r="G39" s="351" t="s">
        <v>579</v>
      </c>
      <c r="H39" s="351" t="s">
        <v>580</v>
      </c>
      <c r="I39" s="353">
        <v>96.6</v>
      </c>
      <c r="J39" s="353">
        <v>10</v>
      </c>
      <c r="K39" s="354">
        <v>966</v>
      </c>
    </row>
    <row r="40" spans="1:11" ht="14.4" customHeight="1" x14ac:dyDescent="0.3">
      <c r="A40" s="349" t="s">
        <v>379</v>
      </c>
      <c r="B40" s="350" t="s">
        <v>500</v>
      </c>
      <c r="C40" s="351" t="s">
        <v>384</v>
      </c>
      <c r="D40" s="352" t="s">
        <v>501</v>
      </c>
      <c r="E40" s="351" t="s">
        <v>1123</v>
      </c>
      <c r="F40" s="352" t="s">
        <v>1124</v>
      </c>
      <c r="G40" s="351" t="s">
        <v>581</v>
      </c>
      <c r="H40" s="351" t="s">
        <v>582</v>
      </c>
      <c r="I40" s="353">
        <v>664.6</v>
      </c>
      <c r="J40" s="353">
        <v>60</v>
      </c>
      <c r="K40" s="354">
        <v>39876.25</v>
      </c>
    </row>
    <row r="41" spans="1:11" ht="14.4" customHeight="1" x14ac:dyDescent="0.3">
      <c r="A41" s="349" t="s">
        <v>379</v>
      </c>
      <c r="B41" s="350" t="s">
        <v>500</v>
      </c>
      <c r="C41" s="351" t="s">
        <v>384</v>
      </c>
      <c r="D41" s="352" t="s">
        <v>501</v>
      </c>
      <c r="E41" s="351" t="s">
        <v>1123</v>
      </c>
      <c r="F41" s="352" t="s">
        <v>1124</v>
      </c>
      <c r="G41" s="351" t="s">
        <v>583</v>
      </c>
      <c r="H41" s="351" t="s">
        <v>584</v>
      </c>
      <c r="I41" s="353">
        <v>167.83</v>
      </c>
      <c r="J41" s="353">
        <v>15</v>
      </c>
      <c r="K41" s="354">
        <v>2517.4499999999998</v>
      </c>
    </row>
    <row r="42" spans="1:11" ht="14.4" customHeight="1" x14ac:dyDescent="0.3">
      <c r="A42" s="349" t="s">
        <v>379</v>
      </c>
      <c r="B42" s="350" t="s">
        <v>500</v>
      </c>
      <c r="C42" s="351" t="s">
        <v>384</v>
      </c>
      <c r="D42" s="352" t="s">
        <v>501</v>
      </c>
      <c r="E42" s="351" t="s">
        <v>1123</v>
      </c>
      <c r="F42" s="352" t="s">
        <v>1124</v>
      </c>
      <c r="G42" s="351" t="s">
        <v>585</v>
      </c>
      <c r="H42" s="351" t="s">
        <v>586</v>
      </c>
      <c r="I42" s="353">
        <v>38.4</v>
      </c>
      <c r="J42" s="353">
        <v>90</v>
      </c>
      <c r="K42" s="354">
        <v>3456.06</v>
      </c>
    </row>
    <row r="43" spans="1:11" ht="14.4" customHeight="1" x14ac:dyDescent="0.3">
      <c r="A43" s="349" t="s">
        <v>379</v>
      </c>
      <c r="B43" s="350" t="s">
        <v>500</v>
      </c>
      <c r="C43" s="351" t="s">
        <v>384</v>
      </c>
      <c r="D43" s="352" t="s">
        <v>501</v>
      </c>
      <c r="E43" s="351" t="s">
        <v>1123</v>
      </c>
      <c r="F43" s="352" t="s">
        <v>1124</v>
      </c>
      <c r="G43" s="351" t="s">
        <v>587</v>
      </c>
      <c r="H43" s="351" t="s">
        <v>588</v>
      </c>
      <c r="I43" s="353">
        <v>517.5</v>
      </c>
      <c r="J43" s="353">
        <v>40</v>
      </c>
      <c r="K43" s="354">
        <v>20700</v>
      </c>
    </row>
    <row r="44" spans="1:11" ht="14.4" customHeight="1" x14ac:dyDescent="0.3">
      <c r="A44" s="349" t="s">
        <v>379</v>
      </c>
      <c r="B44" s="350" t="s">
        <v>500</v>
      </c>
      <c r="C44" s="351" t="s">
        <v>384</v>
      </c>
      <c r="D44" s="352" t="s">
        <v>501</v>
      </c>
      <c r="E44" s="351" t="s">
        <v>1123</v>
      </c>
      <c r="F44" s="352" t="s">
        <v>1124</v>
      </c>
      <c r="G44" s="351" t="s">
        <v>589</v>
      </c>
      <c r="H44" s="351" t="s">
        <v>590</v>
      </c>
      <c r="I44" s="353">
        <v>167.83</v>
      </c>
      <c r="J44" s="353">
        <v>75</v>
      </c>
      <c r="K44" s="354">
        <v>12587.259999999998</v>
      </c>
    </row>
    <row r="45" spans="1:11" ht="14.4" customHeight="1" x14ac:dyDescent="0.3">
      <c r="A45" s="349" t="s">
        <v>379</v>
      </c>
      <c r="B45" s="350" t="s">
        <v>500</v>
      </c>
      <c r="C45" s="351" t="s">
        <v>384</v>
      </c>
      <c r="D45" s="352" t="s">
        <v>501</v>
      </c>
      <c r="E45" s="351" t="s">
        <v>1123</v>
      </c>
      <c r="F45" s="352" t="s">
        <v>1124</v>
      </c>
      <c r="G45" s="351" t="s">
        <v>591</v>
      </c>
      <c r="H45" s="351" t="s">
        <v>592</v>
      </c>
      <c r="I45" s="353">
        <v>661.25</v>
      </c>
      <c r="J45" s="353">
        <v>10</v>
      </c>
      <c r="K45" s="354">
        <v>6612.5</v>
      </c>
    </row>
    <row r="46" spans="1:11" ht="14.4" customHeight="1" x14ac:dyDescent="0.3">
      <c r="A46" s="349" t="s">
        <v>379</v>
      </c>
      <c r="B46" s="350" t="s">
        <v>500</v>
      </c>
      <c r="C46" s="351" t="s">
        <v>384</v>
      </c>
      <c r="D46" s="352" t="s">
        <v>501</v>
      </c>
      <c r="E46" s="351" t="s">
        <v>1123</v>
      </c>
      <c r="F46" s="352" t="s">
        <v>1124</v>
      </c>
      <c r="G46" s="351" t="s">
        <v>593</v>
      </c>
      <c r="H46" s="351" t="s">
        <v>594</v>
      </c>
      <c r="I46" s="353">
        <v>344.58</v>
      </c>
      <c r="J46" s="353">
        <v>10</v>
      </c>
      <c r="K46" s="354">
        <v>3445.81</v>
      </c>
    </row>
    <row r="47" spans="1:11" ht="14.4" customHeight="1" x14ac:dyDescent="0.3">
      <c r="A47" s="349" t="s">
        <v>379</v>
      </c>
      <c r="B47" s="350" t="s">
        <v>500</v>
      </c>
      <c r="C47" s="351" t="s">
        <v>384</v>
      </c>
      <c r="D47" s="352" t="s">
        <v>501</v>
      </c>
      <c r="E47" s="351" t="s">
        <v>1123</v>
      </c>
      <c r="F47" s="352" t="s">
        <v>1124</v>
      </c>
      <c r="G47" s="351" t="s">
        <v>595</v>
      </c>
      <c r="H47" s="351" t="s">
        <v>596</v>
      </c>
      <c r="I47" s="353">
        <v>138</v>
      </c>
      <c r="J47" s="353">
        <v>120</v>
      </c>
      <c r="K47" s="354">
        <v>16560</v>
      </c>
    </row>
    <row r="48" spans="1:11" ht="14.4" customHeight="1" x14ac:dyDescent="0.3">
      <c r="A48" s="349" t="s">
        <v>379</v>
      </c>
      <c r="B48" s="350" t="s">
        <v>500</v>
      </c>
      <c r="C48" s="351" t="s">
        <v>384</v>
      </c>
      <c r="D48" s="352" t="s">
        <v>501</v>
      </c>
      <c r="E48" s="351" t="s">
        <v>1123</v>
      </c>
      <c r="F48" s="352" t="s">
        <v>1124</v>
      </c>
      <c r="G48" s="351" t="s">
        <v>597</v>
      </c>
      <c r="H48" s="351" t="s">
        <v>598</v>
      </c>
      <c r="I48" s="353">
        <v>15.75</v>
      </c>
      <c r="J48" s="353">
        <v>40</v>
      </c>
      <c r="K48" s="354">
        <v>630.19000000000005</v>
      </c>
    </row>
    <row r="49" spans="1:11" ht="14.4" customHeight="1" x14ac:dyDescent="0.3">
      <c r="A49" s="349" t="s">
        <v>379</v>
      </c>
      <c r="B49" s="350" t="s">
        <v>500</v>
      </c>
      <c r="C49" s="351" t="s">
        <v>384</v>
      </c>
      <c r="D49" s="352" t="s">
        <v>501</v>
      </c>
      <c r="E49" s="351" t="s">
        <v>1123</v>
      </c>
      <c r="F49" s="352" t="s">
        <v>1124</v>
      </c>
      <c r="G49" s="351" t="s">
        <v>599</v>
      </c>
      <c r="H49" s="351" t="s">
        <v>600</v>
      </c>
      <c r="I49" s="353">
        <v>21.06</v>
      </c>
      <c r="J49" s="353">
        <v>70</v>
      </c>
      <c r="K49" s="354">
        <v>1474.5</v>
      </c>
    </row>
    <row r="50" spans="1:11" ht="14.4" customHeight="1" x14ac:dyDescent="0.3">
      <c r="A50" s="349" t="s">
        <v>379</v>
      </c>
      <c r="B50" s="350" t="s">
        <v>500</v>
      </c>
      <c r="C50" s="351" t="s">
        <v>384</v>
      </c>
      <c r="D50" s="352" t="s">
        <v>501</v>
      </c>
      <c r="E50" s="351" t="s">
        <v>1125</v>
      </c>
      <c r="F50" s="352" t="s">
        <v>1126</v>
      </c>
      <c r="G50" s="351" t="s">
        <v>601</v>
      </c>
      <c r="H50" s="351" t="s">
        <v>602</v>
      </c>
      <c r="I50" s="353">
        <v>11.623333333333335</v>
      </c>
      <c r="J50" s="353">
        <v>120</v>
      </c>
      <c r="K50" s="354">
        <v>1395.4</v>
      </c>
    </row>
    <row r="51" spans="1:11" ht="14.4" customHeight="1" x14ac:dyDescent="0.3">
      <c r="A51" s="349" t="s">
        <v>379</v>
      </c>
      <c r="B51" s="350" t="s">
        <v>500</v>
      </c>
      <c r="C51" s="351" t="s">
        <v>384</v>
      </c>
      <c r="D51" s="352" t="s">
        <v>501</v>
      </c>
      <c r="E51" s="351" t="s">
        <v>1125</v>
      </c>
      <c r="F51" s="352" t="s">
        <v>1126</v>
      </c>
      <c r="G51" s="351" t="s">
        <v>603</v>
      </c>
      <c r="H51" s="351" t="s">
        <v>604</v>
      </c>
      <c r="I51" s="353">
        <v>16.39</v>
      </c>
      <c r="J51" s="353">
        <v>20</v>
      </c>
      <c r="K51" s="354">
        <v>327.8</v>
      </c>
    </row>
    <row r="52" spans="1:11" ht="14.4" customHeight="1" x14ac:dyDescent="0.3">
      <c r="A52" s="349" t="s">
        <v>379</v>
      </c>
      <c r="B52" s="350" t="s">
        <v>500</v>
      </c>
      <c r="C52" s="351" t="s">
        <v>384</v>
      </c>
      <c r="D52" s="352" t="s">
        <v>501</v>
      </c>
      <c r="E52" s="351" t="s">
        <v>1125</v>
      </c>
      <c r="F52" s="352" t="s">
        <v>1126</v>
      </c>
      <c r="G52" s="351" t="s">
        <v>605</v>
      </c>
      <c r="H52" s="351" t="s">
        <v>606</v>
      </c>
      <c r="I52" s="353">
        <v>2.9042857142857139</v>
      </c>
      <c r="J52" s="353">
        <v>3200</v>
      </c>
      <c r="K52" s="354">
        <v>9294</v>
      </c>
    </row>
    <row r="53" spans="1:11" ht="14.4" customHeight="1" x14ac:dyDescent="0.3">
      <c r="A53" s="349" t="s">
        <v>379</v>
      </c>
      <c r="B53" s="350" t="s">
        <v>500</v>
      </c>
      <c r="C53" s="351" t="s">
        <v>384</v>
      </c>
      <c r="D53" s="352" t="s">
        <v>501</v>
      </c>
      <c r="E53" s="351" t="s">
        <v>1125</v>
      </c>
      <c r="F53" s="352" t="s">
        <v>1126</v>
      </c>
      <c r="G53" s="351" t="s">
        <v>607</v>
      </c>
      <c r="H53" s="351" t="s">
        <v>608</v>
      </c>
      <c r="I53" s="353">
        <v>7.43</v>
      </c>
      <c r="J53" s="353">
        <v>170</v>
      </c>
      <c r="K53" s="354">
        <v>1263.1000000000001</v>
      </c>
    </row>
    <row r="54" spans="1:11" ht="14.4" customHeight="1" x14ac:dyDescent="0.3">
      <c r="A54" s="349" t="s">
        <v>379</v>
      </c>
      <c r="B54" s="350" t="s">
        <v>500</v>
      </c>
      <c r="C54" s="351" t="s">
        <v>384</v>
      </c>
      <c r="D54" s="352" t="s">
        <v>501</v>
      </c>
      <c r="E54" s="351" t="s">
        <v>1125</v>
      </c>
      <c r="F54" s="352" t="s">
        <v>1126</v>
      </c>
      <c r="G54" s="351" t="s">
        <v>609</v>
      </c>
      <c r="H54" s="351" t="s">
        <v>610</v>
      </c>
      <c r="I54" s="353">
        <v>12.73</v>
      </c>
      <c r="J54" s="353">
        <v>500</v>
      </c>
      <c r="K54" s="354">
        <v>6364.8600000000006</v>
      </c>
    </row>
    <row r="55" spans="1:11" ht="14.4" customHeight="1" x14ac:dyDescent="0.3">
      <c r="A55" s="349" t="s">
        <v>379</v>
      </c>
      <c r="B55" s="350" t="s">
        <v>500</v>
      </c>
      <c r="C55" s="351" t="s">
        <v>384</v>
      </c>
      <c r="D55" s="352" t="s">
        <v>501</v>
      </c>
      <c r="E55" s="351" t="s">
        <v>1125</v>
      </c>
      <c r="F55" s="352" t="s">
        <v>1126</v>
      </c>
      <c r="G55" s="351" t="s">
        <v>611</v>
      </c>
      <c r="H55" s="351" t="s">
        <v>612</v>
      </c>
      <c r="I55" s="353">
        <v>12.726666666666667</v>
      </c>
      <c r="J55" s="353">
        <v>700</v>
      </c>
      <c r="K55" s="354">
        <v>8909.41</v>
      </c>
    </row>
    <row r="56" spans="1:11" ht="14.4" customHeight="1" x14ac:dyDescent="0.3">
      <c r="A56" s="349" t="s">
        <v>379</v>
      </c>
      <c r="B56" s="350" t="s">
        <v>500</v>
      </c>
      <c r="C56" s="351" t="s">
        <v>384</v>
      </c>
      <c r="D56" s="352" t="s">
        <v>501</v>
      </c>
      <c r="E56" s="351" t="s">
        <v>1125</v>
      </c>
      <c r="F56" s="352" t="s">
        <v>1126</v>
      </c>
      <c r="G56" s="351" t="s">
        <v>613</v>
      </c>
      <c r="H56" s="351" t="s">
        <v>614</v>
      </c>
      <c r="I56" s="353">
        <v>12.73</v>
      </c>
      <c r="J56" s="353">
        <v>100</v>
      </c>
      <c r="K56" s="354">
        <v>1273</v>
      </c>
    </row>
    <row r="57" spans="1:11" ht="14.4" customHeight="1" x14ac:dyDescent="0.3">
      <c r="A57" s="349" t="s">
        <v>379</v>
      </c>
      <c r="B57" s="350" t="s">
        <v>500</v>
      </c>
      <c r="C57" s="351" t="s">
        <v>384</v>
      </c>
      <c r="D57" s="352" t="s">
        <v>501</v>
      </c>
      <c r="E57" s="351" t="s">
        <v>1125</v>
      </c>
      <c r="F57" s="352" t="s">
        <v>1126</v>
      </c>
      <c r="G57" s="351" t="s">
        <v>615</v>
      </c>
      <c r="H57" s="351" t="s">
        <v>616</v>
      </c>
      <c r="I57" s="353">
        <v>12.726666666666667</v>
      </c>
      <c r="J57" s="353">
        <v>300</v>
      </c>
      <c r="K57" s="354">
        <v>3817.14</v>
      </c>
    </row>
    <row r="58" spans="1:11" ht="14.4" customHeight="1" x14ac:dyDescent="0.3">
      <c r="A58" s="349" t="s">
        <v>379</v>
      </c>
      <c r="B58" s="350" t="s">
        <v>500</v>
      </c>
      <c r="C58" s="351" t="s">
        <v>384</v>
      </c>
      <c r="D58" s="352" t="s">
        <v>501</v>
      </c>
      <c r="E58" s="351" t="s">
        <v>1125</v>
      </c>
      <c r="F58" s="352" t="s">
        <v>1126</v>
      </c>
      <c r="G58" s="351" t="s">
        <v>617</v>
      </c>
      <c r="H58" s="351" t="s">
        <v>618</v>
      </c>
      <c r="I58" s="353">
        <v>0.98166666666666658</v>
      </c>
      <c r="J58" s="353">
        <v>1100</v>
      </c>
      <c r="K58" s="354">
        <v>1071</v>
      </c>
    </row>
    <row r="59" spans="1:11" ht="14.4" customHeight="1" x14ac:dyDescent="0.3">
      <c r="A59" s="349" t="s">
        <v>379</v>
      </c>
      <c r="B59" s="350" t="s">
        <v>500</v>
      </c>
      <c r="C59" s="351" t="s">
        <v>384</v>
      </c>
      <c r="D59" s="352" t="s">
        <v>501</v>
      </c>
      <c r="E59" s="351" t="s">
        <v>1125</v>
      </c>
      <c r="F59" s="352" t="s">
        <v>1126</v>
      </c>
      <c r="G59" s="351" t="s">
        <v>619</v>
      </c>
      <c r="H59" s="351" t="s">
        <v>620</v>
      </c>
      <c r="I59" s="353">
        <v>1.5057142857142856</v>
      </c>
      <c r="J59" s="353">
        <v>2900</v>
      </c>
      <c r="K59" s="354">
        <v>4358</v>
      </c>
    </row>
    <row r="60" spans="1:11" ht="14.4" customHeight="1" x14ac:dyDescent="0.3">
      <c r="A60" s="349" t="s">
        <v>379</v>
      </c>
      <c r="B60" s="350" t="s">
        <v>500</v>
      </c>
      <c r="C60" s="351" t="s">
        <v>384</v>
      </c>
      <c r="D60" s="352" t="s">
        <v>501</v>
      </c>
      <c r="E60" s="351" t="s">
        <v>1125</v>
      </c>
      <c r="F60" s="352" t="s">
        <v>1126</v>
      </c>
      <c r="G60" s="351" t="s">
        <v>621</v>
      </c>
      <c r="H60" s="351" t="s">
        <v>622</v>
      </c>
      <c r="I60" s="353">
        <v>0.43499999999999994</v>
      </c>
      <c r="J60" s="353">
        <v>400</v>
      </c>
      <c r="K60" s="354">
        <v>174</v>
      </c>
    </row>
    <row r="61" spans="1:11" ht="14.4" customHeight="1" x14ac:dyDescent="0.3">
      <c r="A61" s="349" t="s">
        <v>379</v>
      </c>
      <c r="B61" s="350" t="s">
        <v>500</v>
      </c>
      <c r="C61" s="351" t="s">
        <v>384</v>
      </c>
      <c r="D61" s="352" t="s">
        <v>501</v>
      </c>
      <c r="E61" s="351" t="s">
        <v>1125</v>
      </c>
      <c r="F61" s="352" t="s">
        <v>1126</v>
      </c>
      <c r="G61" s="351" t="s">
        <v>623</v>
      </c>
      <c r="H61" s="351" t="s">
        <v>624</v>
      </c>
      <c r="I61" s="353">
        <v>1.8525</v>
      </c>
      <c r="J61" s="353">
        <v>400</v>
      </c>
      <c r="K61" s="354">
        <v>740.65</v>
      </c>
    </row>
    <row r="62" spans="1:11" ht="14.4" customHeight="1" x14ac:dyDescent="0.3">
      <c r="A62" s="349" t="s">
        <v>379</v>
      </c>
      <c r="B62" s="350" t="s">
        <v>500</v>
      </c>
      <c r="C62" s="351" t="s">
        <v>384</v>
      </c>
      <c r="D62" s="352" t="s">
        <v>501</v>
      </c>
      <c r="E62" s="351" t="s">
        <v>1125</v>
      </c>
      <c r="F62" s="352" t="s">
        <v>1126</v>
      </c>
      <c r="G62" s="351" t="s">
        <v>625</v>
      </c>
      <c r="H62" s="351" t="s">
        <v>626</v>
      </c>
      <c r="I62" s="353">
        <v>68.510000000000005</v>
      </c>
      <c r="J62" s="353">
        <v>200</v>
      </c>
      <c r="K62" s="354">
        <v>13702.04</v>
      </c>
    </row>
    <row r="63" spans="1:11" ht="14.4" customHeight="1" x14ac:dyDescent="0.3">
      <c r="A63" s="349" t="s">
        <v>379</v>
      </c>
      <c r="B63" s="350" t="s">
        <v>500</v>
      </c>
      <c r="C63" s="351" t="s">
        <v>384</v>
      </c>
      <c r="D63" s="352" t="s">
        <v>501</v>
      </c>
      <c r="E63" s="351" t="s">
        <v>1125</v>
      </c>
      <c r="F63" s="352" t="s">
        <v>1126</v>
      </c>
      <c r="G63" s="351" t="s">
        <v>627</v>
      </c>
      <c r="H63" s="351" t="s">
        <v>628</v>
      </c>
      <c r="I63" s="353">
        <v>6.17</v>
      </c>
      <c r="J63" s="353">
        <v>50</v>
      </c>
      <c r="K63" s="354">
        <v>308.5</v>
      </c>
    </row>
    <row r="64" spans="1:11" ht="14.4" customHeight="1" x14ac:dyDescent="0.3">
      <c r="A64" s="349" t="s">
        <v>379</v>
      </c>
      <c r="B64" s="350" t="s">
        <v>500</v>
      </c>
      <c r="C64" s="351" t="s">
        <v>384</v>
      </c>
      <c r="D64" s="352" t="s">
        <v>501</v>
      </c>
      <c r="E64" s="351" t="s">
        <v>1125</v>
      </c>
      <c r="F64" s="352" t="s">
        <v>1126</v>
      </c>
      <c r="G64" s="351" t="s">
        <v>627</v>
      </c>
      <c r="H64" s="351" t="s">
        <v>629</v>
      </c>
      <c r="I64" s="353">
        <v>6.2100000000000009</v>
      </c>
      <c r="J64" s="353">
        <v>170</v>
      </c>
      <c r="K64" s="354">
        <v>1055.5</v>
      </c>
    </row>
    <row r="65" spans="1:11" ht="14.4" customHeight="1" x14ac:dyDescent="0.3">
      <c r="A65" s="349" t="s">
        <v>379</v>
      </c>
      <c r="B65" s="350" t="s">
        <v>500</v>
      </c>
      <c r="C65" s="351" t="s">
        <v>384</v>
      </c>
      <c r="D65" s="352" t="s">
        <v>501</v>
      </c>
      <c r="E65" s="351" t="s">
        <v>1125</v>
      </c>
      <c r="F65" s="352" t="s">
        <v>1126</v>
      </c>
      <c r="G65" s="351" t="s">
        <v>630</v>
      </c>
      <c r="H65" s="351" t="s">
        <v>631</v>
      </c>
      <c r="I65" s="353">
        <v>74.740000000000009</v>
      </c>
      <c r="J65" s="353">
        <v>280</v>
      </c>
      <c r="K65" s="354">
        <v>21011.57</v>
      </c>
    </row>
    <row r="66" spans="1:11" ht="14.4" customHeight="1" x14ac:dyDescent="0.3">
      <c r="A66" s="349" t="s">
        <v>379</v>
      </c>
      <c r="B66" s="350" t="s">
        <v>500</v>
      </c>
      <c r="C66" s="351" t="s">
        <v>384</v>
      </c>
      <c r="D66" s="352" t="s">
        <v>501</v>
      </c>
      <c r="E66" s="351" t="s">
        <v>1125</v>
      </c>
      <c r="F66" s="352" t="s">
        <v>1126</v>
      </c>
      <c r="G66" s="351" t="s">
        <v>632</v>
      </c>
      <c r="H66" s="351" t="s">
        <v>633</v>
      </c>
      <c r="I66" s="353">
        <v>79.643333333333331</v>
      </c>
      <c r="J66" s="353">
        <v>280</v>
      </c>
      <c r="K66" s="354">
        <v>22337.599999999999</v>
      </c>
    </row>
    <row r="67" spans="1:11" ht="14.4" customHeight="1" x14ac:dyDescent="0.3">
      <c r="A67" s="349" t="s">
        <v>379</v>
      </c>
      <c r="B67" s="350" t="s">
        <v>500</v>
      </c>
      <c r="C67" s="351" t="s">
        <v>384</v>
      </c>
      <c r="D67" s="352" t="s">
        <v>501</v>
      </c>
      <c r="E67" s="351" t="s">
        <v>1125</v>
      </c>
      <c r="F67" s="352" t="s">
        <v>1126</v>
      </c>
      <c r="G67" s="351" t="s">
        <v>634</v>
      </c>
      <c r="H67" s="351" t="s">
        <v>635</v>
      </c>
      <c r="I67" s="353">
        <v>5.5650000000000004</v>
      </c>
      <c r="J67" s="353">
        <v>2150</v>
      </c>
      <c r="K67" s="354">
        <v>11962.199999999999</v>
      </c>
    </row>
    <row r="68" spans="1:11" ht="14.4" customHeight="1" x14ac:dyDescent="0.3">
      <c r="A68" s="349" t="s">
        <v>379</v>
      </c>
      <c r="B68" s="350" t="s">
        <v>500</v>
      </c>
      <c r="C68" s="351" t="s">
        <v>384</v>
      </c>
      <c r="D68" s="352" t="s">
        <v>501</v>
      </c>
      <c r="E68" s="351" t="s">
        <v>1125</v>
      </c>
      <c r="F68" s="352" t="s">
        <v>1126</v>
      </c>
      <c r="G68" s="351" t="s">
        <v>636</v>
      </c>
      <c r="H68" s="351" t="s">
        <v>637</v>
      </c>
      <c r="I68" s="353">
        <v>187.67250000000001</v>
      </c>
      <c r="J68" s="353">
        <v>19</v>
      </c>
      <c r="K68" s="354">
        <v>3535.62</v>
      </c>
    </row>
    <row r="69" spans="1:11" ht="14.4" customHeight="1" x14ac:dyDescent="0.3">
      <c r="A69" s="349" t="s">
        <v>379</v>
      </c>
      <c r="B69" s="350" t="s">
        <v>500</v>
      </c>
      <c r="C69" s="351" t="s">
        <v>384</v>
      </c>
      <c r="D69" s="352" t="s">
        <v>501</v>
      </c>
      <c r="E69" s="351" t="s">
        <v>1125</v>
      </c>
      <c r="F69" s="352" t="s">
        <v>1126</v>
      </c>
      <c r="G69" s="351" t="s">
        <v>638</v>
      </c>
      <c r="H69" s="351" t="s">
        <v>639</v>
      </c>
      <c r="I69" s="353">
        <v>9.5033333333333321</v>
      </c>
      <c r="J69" s="353">
        <v>260</v>
      </c>
      <c r="K69" s="354">
        <v>2492.6</v>
      </c>
    </row>
    <row r="70" spans="1:11" ht="14.4" customHeight="1" x14ac:dyDescent="0.3">
      <c r="A70" s="349" t="s">
        <v>379</v>
      </c>
      <c r="B70" s="350" t="s">
        <v>500</v>
      </c>
      <c r="C70" s="351" t="s">
        <v>384</v>
      </c>
      <c r="D70" s="352" t="s">
        <v>501</v>
      </c>
      <c r="E70" s="351" t="s">
        <v>1125</v>
      </c>
      <c r="F70" s="352" t="s">
        <v>1126</v>
      </c>
      <c r="G70" s="351" t="s">
        <v>640</v>
      </c>
      <c r="H70" s="351" t="s">
        <v>641</v>
      </c>
      <c r="I70" s="353">
        <v>4.2324999999999999</v>
      </c>
      <c r="J70" s="353">
        <v>3500</v>
      </c>
      <c r="K70" s="354">
        <v>14815</v>
      </c>
    </row>
    <row r="71" spans="1:11" ht="14.4" customHeight="1" x14ac:dyDescent="0.3">
      <c r="A71" s="349" t="s">
        <v>379</v>
      </c>
      <c r="B71" s="350" t="s">
        <v>500</v>
      </c>
      <c r="C71" s="351" t="s">
        <v>384</v>
      </c>
      <c r="D71" s="352" t="s">
        <v>501</v>
      </c>
      <c r="E71" s="351" t="s">
        <v>1125</v>
      </c>
      <c r="F71" s="352" t="s">
        <v>1126</v>
      </c>
      <c r="G71" s="351" t="s">
        <v>642</v>
      </c>
      <c r="H71" s="351" t="s">
        <v>643</v>
      </c>
      <c r="I71" s="353">
        <v>31.34</v>
      </c>
      <c r="J71" s="353">
        <v>50</v>
      </c>
      <c r="K71" s="354">
        <v>1566.85</v>
      </c>
    </row>
    <row r="72" spans="1:11" ht="14.4" customHeight="1" x14ac:dyDescent="0.3">
      <c r="A72" s="349" t="s">
        <v>379</v>
      </c>
      <c r="B72" s="350" t="s">
        <v>500</v>
      </c>
      <c r="C72" s="351" t="s">
        <v>384</v>
      </c>
      <c r="D72" s="352" t="s">
        <v>501</v>
      </c>
      <c r="E72" s="351" t="s">
        <v>1125</v>
      </c>
      <c r="F72" s="352" t="s">
        <v>1126</v>
      </c>
      <c r="G72" s="351" t="s">
        <v>644</v>
      </c>
      <c r="H72" s="351" t="s">
        <v>645</v>
      </c>
      <c r="I72" s="353">
        <v>11.13</v>
      </c>
      <c r="J72" s="353">
        <v>200</v>
      </c>
      <c r="K72" s="354">
        <v>2226.4</v>
      </c>
    </row>
    <row r="73" spans="1:11" ht="14.4" customHeight="1" x14ac:dyDescent="0.3">
      <c r="A73" s="349" t="s">
        <v>379</v>
      </c>
      <c r="B73" s="350" t="s">
        <v>500</v>
      </c>
      <c r="C73" s="351" t="s">
        <v>384</v>
      </c>
      <c r="D73" s="352" t="s">
        <v>501</v>
      </c>
      <c r="E73" s="351" t="s">
        <v>1125</v>
      </c>
      <c r="F73" s="352" t="s">
        <v>1126</v>
      </c>
      <c r="G73" s="351" t="s">
        <v>646</v>
      </c>
      <c r="H73" s="351" t="s">
        <v>647</v>
      </c>
      <c r="I73" s="353">
        <v>2.9</v>
      </c>
      <c r="J73" s="353">
        <v>300</v>
      </c>
      <c r="K73" s="354">
        <v>870</v>
      </c>
    </row>
    <row r="74" spans="1:11" ht="14.4" customHeight="1" x14ac:dyDescent="0.3">
      <c r="A74" s="349" t="s">
        <v>379</v>
      </c>
      <c r="B74" s="350" t="s">
        <v>500</v>
      </c>
      <c r="C74" s="351" t="s">
        <v>384</v>
      </c>
      <c r="D74" s="352" t="s">
        <v>501</v>
      </c>
      <c r="E74" s="351" t="s">
        <v>1125</v>
      </c>
      <c r="F74" s="352" t="s">
        <v>1126</v>
      </c>
      <c r="G74" s="351" t="s">
        <v>648</v>
      </c>
      <c r="H74" s="351" t="s">
        <v>649</v>
      </c>
      <c r="I74" s="353">
        <v>2.8999999999999995</v>
      </c>
      <c r="J74" s="353">
        <v>1910</v>
      </c>
      <c r="K74" s="354">
        <v>5539</v>
      </c>
    </row>
    <row r="75" spans="1:11" ht="14.4" customHeight="1" x14ac:dyDescent="0.3">
      <c r="A75" s="349" t="s">
        <v>379</v>
      </c>
      <c r="B75" s="350" t="s">
        <v>500</v>
      </c>
      <c r="C75" s="351" t="s">
        <v>384</v>
      </c>
      <c r="D75" s="352" t="s">
        <v>501</v>
      </c>
      <c r="E75" s="351" t="s">
        <v>1125</v>
      </c>
      <c r="F75" s="352" t="s">
        <v>1126</v>
      </c>
      <c r="G75" s="351" t="s">
        <v>650</v>
      </c>
      <c r="H75" s="351" t="s">
        <v>651</v>
      </c>
      <c r="I75" s="353">
        <v>2.9033333333333333</v>
      </c>
      <c r="J75" s="353">
        <v>1940</v>
      </c>
      <c r="K75" s="354">
        <v>5632.8</v>
      </c>
    </row>
    <row r="76" spans="1:11" ht="14.4" customHeight="1" x14ac:dyDescent="0.3">
      <c r="A76" s="349" t="s">
        <v>379</v>
      </c>
      <c r="B76" s="350" t="s">
        <v>500</v>
      </c>
      <c r="C76" s="351" t="s">
        <v>384</v>
      </c>
      <c r="D76" s="352" t="s">
        <v>501</v>
      </c>
      <c r="E76" s="351" t="s">
        <v>1125</v>
      </c>
      <c r="F76" s="352" t="s">
        <v>1126</v>
      </c>
      <c r="G76" s="351" t="s">
        <v>652</v>
      </c>
      <c r="H76" s="351" t="s">
        <v>653</v>
      </c>
      <c r="I76" s="353">
        <v>2.9028571428571426</v>
      </c>
      <c r="J76" s="353">
        <v>2400</v>
      </c>
      <c r="K76" s="354">
        <v>6966</v>
      </c>
    </row>
    <row r="77" spans="1:11" ht="14.4" customHeight="1" x14ac:dyDescent="0.3">
      <c r="A77" s="349" t="s">
        <v>379</v>
      </c>
      <c r="B77" s="350" t="s">
        <v>500</v>
      </c>
      <c r="C77" s="351" t="s">
        <v>384</v>
      </c>
      <c r="D77" s="352" t="s">
        <v>501</v>
      </c>
      <c r="E77" s="351" t="s">
        <v>1125</v>
      </c>
      <c r="F77" s="352" t="s">
        <v>1126</v>
      </c>
      <c r="G77" s="351" t="s">
        <v>654</v>
      </c>
      <c r="H77" s="351" t="s">
        <v>655</v>
      </c>
      <c r="I77" s="353">
        <v>37.15</v>
      </c>
      <c r="J77" s="353">
        <v>60</v>
      </c>
      <c r="K77" s="354">
        <v>2228.8200000000002</v>
      </c>
    </row>
    <row r="78" spans="1:11" ht="14.4" customHeight="1" x14ac:dyDescent="0.3">
      <c r="A78" s="349" t="s">
        <v>379</v>
      </c>
      <c r="B78" s="350" t="s">
        <v>500</v>
      </c>
      <c r="C78" s="351" t="s">
        <v>384</v>
      </c>
      <c r="D78" s="352" t="s">
        <v>501</v>
      </c>
      <c r="E78" s="351" t="s">
        <v>1125</v>
      </c>
      <c r="F78" s="352" t="s">
        <v>1126</v>
      </c>
      <c r="G78" s="351" t="s">
        <v>656</v>
      </c>
      <c r="H78" s="351" t="s">
        <v>657</v>
      </c>
      <c r="I78" s="353">
        <v>91.720000000000013</v>
      </c>
      <c r="J78" s="353">
        <v>115</v>
      </c>
      <c r="K78" s="354">
        <v>10547.6</v>
      </c>
    </row>
    <row r="79" spans="1:11" ht="14.4" customHeight="1" x14ac:dyDescent="0.3">
      <c r="A79" s="349" t="s">
        <v>379</v>
      </c>
      <c r="B79" s="350" t="s">
        <v>500</v>
      </c>
      <c r="C79" s="351" t="s">
        <v>384</v>
      </c>
      <c r="D79" s="352" t="s">
        <v>501</v>
      </c>
      <c r="E79" s="351" t="s">
        <v>1125</v>
      </c>
      <c r="F79" s="352" t="s">
        <v>1126</v>
      </c>
      <c r="G79" s="351" t="s">
        <v>658</v>
      </c>
      <c r="H79" s="351" t="s">
        <v>659</v>
      </c>
      <c r="I79" s="353">
        <v>12.105714285714285</v>
      </c>
      <c r="J79" s="353">
        <v>650</v>
      </c>
      <c r="K79" s="354">
        <v>7869</v>
      </c>
    </row>
    <row r="80" spans="1:11" ht="14.4" customHeight="1" x14ac:dyDescent="0.3">
      <c r="A80" s="349" t="s">
        <v>379</v>
      </c>
      <c r="B80" s="350" t="s">
        <v>500</v>
      </c>
      <c r="C80" s="351" t="s">
        <v>384</v>
      </c>
      <c r="D80" s="352" t="s">
        <v>501</v>
      </c>
      <c r="E80" s="351" t="s">
        <v>1125</v>
      </c>
      <c r="F80" s="352" t="s">
        <v>1126</v>
      </c>
      <c r="G80" s="351" t="s">
        <v>660</v>
      </c>
      <c r="H80" s="351" t="s">
        <v>661</v>
      </c>
      <c r="I80" s="353">
        <v>18.39</v>
      </c>
      <c r="J80" s="353">
        <v>12</v>
      </c>
      <c r="K80" s="354">
        <v>220.7</v>
      </c>
    </row>
    <row r="81" spans="1:11" ht="14.4" customHeight="1" x14ac:dyDescent="0.3">
      <c r="A81" s="349" t="s">
        <v>379</v>
      </c>
      <c r="B81" s="350" t="s">
        <v>500</v>
      </c>
      <c r="C81" s="351" t="s">
        <v>384</v>
      </c>
      <c r="D81" s="352" t="s">
        <v>501</v>
      </c>
      <c r="E81" s="351" t="s">
        <v>1125</v>
      </c>
      <c r="F81" s="352" t="s">
        <v>1126</v>
      </c>
      <c r="G81" s="351" t="s">
        <v>662</v>
      </c>
      <c r="H81" s="351" t="s">
        <v>663</v>
      </c>
      <c r="I81" s="353">
        <v>56.389999999999993</v>
      </c>
      <c r="J81" s="353">
        <v>870</v>
      </c>
      <c r="K81" s="354">
        <v>49056.299999999996</v>
      </c>
    </row>
    <row r="82" spans="1:11" ht="14.4" customHeight="1" x14ac:dyDescent="0.3">
      <c r="A82" s="349" t="s">
        <v>379</v>
      </c>
      <c r="B82" s="350" t="s">
        <v>500</v>
      </c>
      <c r="C82" s="351" t="s">
        <v>384</v>
      </c>
      <c r="D82" s="352" t="s">
        <v>501</v>
      </c>
      <c r="E82" s="351" t="s">
        <v>1125</v>
      </c>
      <c r="F82" s="352" t="s">
        <v>1126</v>
      </c>
      <c r="G82" s="351" t="s">
        <v>664</v>
      </c>
      <c r="H82" s="351" t="s">
        <v>665</v>
      </c>
      <c r="I82" s="353">
        <v>13.2</v>
      </c>
      <c r="J82" s="353">
        <v>20</v>
      </c>
      <c r="K82" s="354">
        <v>264</v>
      </c>
    </row>
    <row r="83" spans="1:11" ht="14.4" customHeight="1" x14ac:dyDescent="0.3">
      <c r="A83" s="349" t="s">
        <v>379</v>
      </c>
      <c r="B83" s="350" t="s">
        <v>500</v>
      </c>
      <c r="C83" s="351" t="s">
        <v>384</v>
      </c>
      <c r="D83" s="352" t="s">
        <v>501</v>
      </c>
      <c r="E83" s="351" t="s">
        <v>1125</v>
      </c>
      <c r="F83" s="352" t="s">
        <v>1126</v>
      </c>
      <c r="G83" s="351" t="s">
        <v>666</v>
      </c>
      <c r="H83" s="351" t="s">
        <v>667</v>
      </c>
      <c r="I83" s="353">
        <v>13.2</v>
      </c>
      <c r="J83" s="353">
        <v>80</v>
      </c>
      <c r="K83" s="354">
        <v>1056</v>
      </c>
    </row>
    <row r="84" spans="1:11" ht="14.4" customHeight="1" x14ac:dyDescent="0.3">
      <c r="A84" s="349" t="s">
        <v>379</v>
      </c>
      <c r="B84" s="350" t="s">
        <v>500</v>
      </c>
      <c r="C84" s="351" t="s">
        <v>384</v>
      </c>
      <c r="D84" s="352" t="s">
        <v>501</v>
      </c>
      <c r="E84" s="351" t="s">
        <v>1125</v>
      </c>
      <c r="F84" s="352" t="s">
        <v>1126</v>
      </c>
      <c r="G84" s="351" t="s">
        <v>668</v>
      </c>
      <c r="H84" s="351" t="s">
        <v>669</v>
      </c>
      <c r="I84" s="353">
        <v>13.2</v>
      </c>
      <c r="J84" s="353">
        <v>20</v>
      </c>
      <c r="K84" s="354">
        <v>264</v>
      </c>
    </row>
    <row r="85" spans="1:11" ht="14.4" customHeight="1" x14ac:dyDescent="0.3">
      <c r="A85" s="349" t="s">
        <v>379</v>
      </c>
      <c r="B85" s="350" t="s">
        <v>500</v>
      </c>
      <c r="C85" s="351" t="s">
        <v>384</v>
      </c>
      <c r="D85" s="352" t="s">
        <v>501</v>
      </c>
      <c r="E85" s="351" t="s">
        <v>1125</v>
      </c>
      <c r="F85" s="352" t="s">
        <v>1126</v>
      </c>
      <c r="G85" s="351" t="s">
        <v>670</v>
      </c>
      <c r="H85" s="351" t="s">
        <v>671</v>
      </c>
      <c r="I85" s="353">
        <v>20.96</v>
      </c>
      <c r="J85" s="353">
        <v>780</v>
      </c>
      <c r="K85" s="354">
        <v>16446.600000000002</v>
      </c>
    </row>
    <row r="86" spans="1:11" ht="14.4" customHeight="1" x14ac:dyDescent="0.3">
      <c r="A86" s="349" t="s">
        <v>379</v>
      </c>
      <c r="B86" s="350" t="s">
        <v>500</v>
      </c>
      <c r="C86" s="351" t="s">
        <v>384</v>
      </c>
      <c r="D86" s="352" t="s">
        <v>501</v>
      </c>
      <c r="E86" s="351" t="s">
        <v>1125</v>
      </c>
      <c r="F86" s="352" t="s">
        <v>1126</v>
      </c>
      <c r="G86" s="351" t="s">
        <v>672</v>
      </c>
      <c r="H86" s="351" t="s">
        <v>673</v>
      </c>
      <c r="I86" s="353">
        <v>13.195</v>
      </c>
      <c r="J86" s="353">
        <v>20</v>
      </c>
      <c r="K86" s="354">
        <v>263.89999999999998</v>
      </c>
    </row>
    <row r="87" spans="1:11" ht="14.4" customHeight="1" x14ac:dyDescent="0.3">
      <c r="A87" s="349" t="s">
        <v>379</v>
      </c>
      <c r="B87" s="350" t="s">
        <v>500</v>
      </c>
      <c r="C87" s="351" t="s">
        <v>384</v>
      </c>
      <c r="D87" s="352" t="s">
        <v>501</v>
      </c>
      <c r="E87" s="351" t="s">
        <v>1125</v>
      </c>
      <c r="F87" s="352" t="s">
        <v>1126</v>
      </c>
      <c r="G87" s="351" t="s">
        <v>674</v>
      </c>
      <c r="H87" s="351" t="s">
        <v>675</v>
      </c>
      <c r="I87" s="353">
        <v>6.66</v>
      </c>
      <c r="J87" s="353">
        <v>100</v>
      </c>
      <c r="K87" s="354">
        <v>666</v>
      </c>
    </row>
    <row r="88" spans="1:11" ht="14.4" customHeight="1" x14ac:dyDescent="0.3">
      <c r="A88" s="349" t="s">
        <v>379</v>
      </c>
      <c r="B88" s="350" t="s">
        <v>500</v>
      </c>
      <c r="C88" s="351" t="s">
        <v>384</v>
      </c>
      <c r="D88" s="352" t="s">
        <v>501</v>
      </c>
      <c r="E88" s="351" t="s">
        <v>1125</v>
      </c>
      <c r="F88" s="352" t="s">
        <v>1126</v>
      </c>
      <c r="G88" s="351" t="s">
        <v>676</v>
      </c>
      <c r="H88" s="351" t="s">
        <v>677</v>
      </c>
      <c r="I88" s="353">
        <v>6.6524999999999999</v>
      </c>
      <c r="J88" s="353">
        <v>120</v>
      </c>
      <c r="K88" s="354">
        <v>798.63</v>
      </c>
    </row>
    <row r="89" spans="1:11" ht="14.4" customHeight="1" x14ac:dyDescent="0.3">
      <c r="A89" s="349" t="s">
        <v>379</v>
      </c>
      <c r="B89" s="350" t="s">
        <v>500</v>
      </c>
      <c r="C89" s="351" t="s">
        <v>384</v>
      </c>
      <c r="D89" s="352" t="s">
        <v>501</v>
      </c>
      <c r="E89" s="351" t="s">
        <v>1125</v>
      </c>
      <c r="F89" s="352" t="s">
        <v>1126</v>
      </c>
      <c r="G89" s="351" t="s">
        <v>678</v>
      </c>
      <c r="H89" s="351" t="s">
        <v>679</v>
      </c>
      <c r="I89" s="353">
        <v>6.7</v>
      </c>
      <c r="J89" s="353">
        <v>10</v>
      </c>
      <c r="K89" s="354">
        <v>67</v>
      </c>
    </row>
    <row r="90" spans="1:11" ht="14.4" customHeight="1" x14ac:dyDescent="0.3">
      <c r="A90" s="349" t="s">
        <v>379</v>
      </c>
      <c r="B90" s="350" t="s">
        <v>500</v>
      </c>
      <c r="C90" s="351" t="s">
        <v>384</v>
      </c>
      <c r="D90" s="352" t="s">
        <v>501</v>
      </c>
      <c r="E90" s="351" t="s">
        <v>1125</v>
      </c>
      <c r="F90" s="352" t="s">
        <v>1126</v>
      </c>
      <c r="G90" s="351" t="s">
        <v>680</v>
      </c>
      <c r="H90" s="351" t="s">
        <v>681</v>
      </c>
      <c r="I90" s="353">
        <v>6.66</v>
      </c>
      <c r="J90" s="353">
        <v>50</v>
      </c>
      <c r="K90" s="354">
        <v>333</v>
      </c>
    </row>
    <row r="91" spans="1:11" ht="14.4" customHeight="1" x14ac:dyDescent="0.3">
      <c r="A91" s="349" t="s">
        <v>379</v>
      </c>
      <c r="B91" s="350" t="s">
        <v>500</v>
      </c>
      <c r="C91" s="351" t="s">
        <v>384</v>
      </c>
      <c r="D91" s="352" t="s">
        <v>501</v>
      </c>
      <c r="E91" s="351" t="s">
        <v>1125</v>
      </c>
      <c r="F91" s="352" t="s">
        <v>1126</v>
      </c>
      <c r="G91" s="351" t="s">
        <v>682</v>
      </c>
      <c r="H91" s="351" t="s">
        <v>683</v>
      </c>
      <c r="I91" s="353">
        <v>190.07</v>
      </c>
      <c r="J91" s="353">
        <v>40</v>
      </c>
      <c r="K91" s="354">
        <v>7602.65</v>
      </c>
    </row>
    <row r="92" spans="1:11" ht="14.4" customHeight="1" x14ac:dyDescent="0.3">
      <c r="A92" s="349" t="s">
        <v>379</v>
      </c>
      <c r="B92" s="350" t="s">
        <v>500</v>
      </c>
      <c r="C92" s="351" t="s">
        <v>384</v>
      </c>
      <c r="D92" s="352" t="s">
        <v>501</v>
      </c>
      <c r="E92" s="351" t="s">
        <v>1125</v>
      </c>
      <c r="F92" s="352" t="s">
        <v>1126</v>
      </c>
      <c r="G92" s="351" t="s">
        <v>684</v>
      </c>
      <c r="H92" s="351" t="s">
        <v>685</v>
      </c>
      <c r="I92" s="353">
        <v>300.33999999999997</v>
      </c>
      <c r="J92" s="353">
        <v>40</v>
      </c>
      <c r="K92" s="354">
        <v>12013.68</v>
      </c>
    </row>
    <row r="93" spans="1:11" ht="14.4" customHeight="1" x14ac:dyDescent="0.3">
      <c r="A93" s="349" t="s">
        <v>379</v>
      </c>
      <c r="B93" s="350" t="s">
        <v>500</v>
      </c>
      <c r="C93" s="351" t="s">
        <v>384</v>
      </c>
      <c r="D93" s="352" t="s">
        <v>501</v>
      </c>
      <c r="E93" s="351" t="s">
        <v>1125</v>
      </c>
      <c r="F93" s="352" t="s">
        <v>1126</v>
      </c>
      <c r="G93" s="351" t="s">
        <v>686</v>
      </c>
      <c r="H93" s="351" t="s">
        <v>687</v>
      </c>
      <c r="I93" s="353">
        <v>13.79</v>
      </c>
      <c r="J93" s="353">
        <v>175</v>
      </c>
      <c r="K93" s="354">
        <v>2413.9499999999998</v>
      </c>
    </row>
    <row r="94" spans="1:11" ht="14.4" customHeight="1" x14ac:dyDescent="0.3">
      <c r="A94" s="349" t="s">
        <v>379</v>
      </c>
      <c r="B94" s="350" t="s">
        <v>500</v>
      </c>
      <c r="C94" s="351" t="s">
        <v>384</v>
      </c>
      <c r="D94" s="352" t="s">
        <v>501</v>
      </c>
      <c r="E94" s="351" t="s">
        <v>1125</v>
      </c>
      <c r="F94" s="352" t="s">
        <v>1126</v>
      </c>
      <c r="G94" s="351" t="s">
        <v>688</v>
      </c>
      <c r="H94" s="351" t="s">
        <v>689</v>
      </c>
      <c r="I94" s="353">
        <v>2.335</v>
      </c>
      <c r="J94" s="353">
        <v>400</v>
      </c>
      <c r="K94" s="354">
        <v>934</v>
      </c>
    </row>
    <row r="95" spans="1:11" ht="14.4" customHeight="1" x14ac:dyDescent="0.3">
      <c r="A95" s="349" t="s">
        <v>379</v>
      </c>
      <c r="B95" s="350" t="s">
        <v>500</v>
      </c>
      <c r="C95" s="351" t="s">
        <v>384</v>
      </c>
      <c r="D95" s="352" t="s">
        <v>501</v>
      </c>
      <c r="E95" s="351" t="s">
        <v>1125</v>
      </c>
      <c r="F95" s="352" t="s">
        <v>1126</v>
      </c>
      <c r="G95" s="351" t="s">
        <v>690</v>
      </c>
      <c r="H95" s="351" t="s">
        <v>691</v>
      </c>
      <c r="I95" s="353">
        <v>21.02</v>
      </c>
      <c r="J95" s="353">
        <v>150</v>
      </c>
      <c r="K95" s="354">
        <v>3213.7400000000002</v>
      </c>
    </row>
    <row r="96" spans="1:11" ht="14.4" customHeight="1" x14ac:dyDescent="0.3">
      <c r="A96" s="349" t="s">
        <v>379</v>
      </c>
      <c r="B96" s="350" t="s">
        <v>500</v>
      </c>
      <c r="C96" s="351" t="s">
        <v>384</v>
      </c>
      <c r="D96" s="352" t="s">
        <v>501</v>
      </c>
      <c r="E96" s="351" t="s">
        <v>1125</v>
      </c>
      <c r="F96" s="352" t="s">
        <v>1126</v>
      </c>
      <c r="G96" s="351" t="s">
        <v>692</v>
      </c>
      <c r="H96" s="351" t="s">
        <v>693</v>
      </c>
      <c r="I96" s="353">
        <v>68.86</v>
      </c>
      <c r="J96" s="353">
        <v>30</v>
      </c>
      <c r="K96" s="354">
        <v>2065.88</v>
      </c>
    </row>
    <row r="97" spans="1:11" ht="14.4" customHeight="1" x14ac:dyDescent="0.3">
      <c r="A97" s="349" t="s">
        <v>379</v>
      </c>
      <c r="B97" s="350" t="s">
        <v>500</v>
      </c>
      <c r="C97" s="351" t="s">
        <v>384</v>
      </c>
      <c r="D97" s="352" t="s">
        <v>501</v>
      </c>
      <c r="E97" s="351" t="s">
        <v>1125</v>
      </c>
      <c r="F97" s="352" t="s">
        <v>1126</v>
      </c>
      <c r="G97" s="351" t="s">
        <v>692</v>
      </c>
      <c r="H97" s="351" t="s">
        <v>694</v>
      </c>
      <c r="I97" s="353">
        <v>60.66</v>
      </c>
      <c r="J97" s="353">
        <v>50</v>
      </c>
      <c r="K97" s="354">
        <v>3032.87</v>
      </c>
    </row>
    <row r="98" spans="1:11" ht="14.4" customHeight="1" x14ac:dyDescent="0.3">
      <c r="A98" s="349" t="s">
        <v>379</v>
      </c>
      <c r="B98" s="350" t="s">
        <v>500</v>
      </c>
      <c r="C98" s="351" t="s">
        <v>384</v>
      </c>
      <c r="D98" s="352" t="s">
        <v>501</v>
      </c>
      <c r="E98" s="351" t="s">
        <v>1125</v>
      </c>
      <c r="F98" s="352" t="s">
        <v>1126</v>
      </c>
      <c r="G98" s="351" t="s">
        <v>695</v>
      </c>
      <c r="H98" s="351" t="s">
        <v>696</v>
      </c>
      <c r="I98" s="353">
        <v>13.19</v>
      </c>
      <c r="J98" s="353">
        <v>100</v>
      </c>
      <c r="K98" s="354">
        <v>1318.9</v>
      </c>
    </row>
    <row r="99" spans="1:11" ht="14.4" customHeight="1" x14ac:dyDescent="0.3">
      <c r="A99" s="349" t="s">
        <v>379</v>
      </c>
      <c r="B99" s="350" t="s">
        <v>500</v>
      </c>
      <c r="C99" s="351" t="s">
        <v>384</v>
      </c>
      <c r="D99" s="352" t="s">
        <v>501</v>
      </c>
      <c r="E99" s="351" t="s">
        <v>1125</v>
      </c>
      <c r="F99" s="352" t="s">
        <v>1126</v>
      </c>
      <c r="G99" s="351" t="s">
        <v>697</v>
      </c>
      <c r="H99" s="351" t="s">
        <v>698</v>
      </c>
      <c r="I99" s="353">
        <v>71.39</v>
      </c>
      <c r="J99" s="353">
        <v>30</v>
      </c>
      <c r="K99" s="354">
        <v>2141.6999999999998</v>
      </c>
    </row>
    <row r="100" spans="1:11" ht="14.4" customHeight="1" x14ac:dyDescent="0.3">
      <c r="A100" s="349" t="s">
        <v>379</v>
      </c>
      <c r="B100" s="350" t="s">
        <v>500</v>
      </c>
      <c r="C100" s="351" t="s">
        <v>384</v>
      </c>
      <c r="D100" s="352" t="s">
        <v>501</v>
      </c>
      <c r="E100" s="351" t="s">
        <v>1125</v>
      </c>
      <c r="F100" s="352" t="s">
        <v>1126</v>
      </c>
      <c r="G100" s="351" t="s">
        <v>699</v>
      </c>
      <c r="H100" s="351" t="s">
        <v>700</v>
      </c>
      <c r="I100" s="353">
        <v>73.00333333333333</v>
      </c>
      <c r="J100" s="353">
        <v>100</v>
      </c>
      <c r="K100" s="354">
        <v>7332.5999999999995</v>
      </c>
    </row>
    <row r="101" spans="1:11" ht="14.4" customHeight="1" x14ac:dyDescent="0.3">
      <c r="A101" s="349" t="s">
        <v>379</v>
      </c>
      <c r="B101" s="350" t="s">
        <v>500</v>
      </c>
      <c r="C101" s="351" t="s">
        <v>384</v>
      </c>
      <c r="D101" s="352" t="s">
        <v>501</v>
      </c>
      <c r="E101" s="351" t="s">
        <v>1125</v>
      </c>
      <c r="F101" s="352" t="s">
        <v>1126</v>
      </c>
      <c r="G101" s="351" t="s">
        <v>701</v>
      </c>
      <c r="H101" s="351" t="s">
        <v>702</v>
      </c>
      <c r="I101" s="353">
        <v>28.05</v>
      </c>
      <c r="J101" s="353">
        <v>172</v>
      </c>
      <c r="K101" s="354">
        <v>4824.6399999999994</v>
      </c>
    </row>
    <row r="102" spans="1:11" ht="14.4" customHeight="1" x14ac:dyDescent="0.3">
      <c r="A102" s="349" t="s">
        <v>379</v>
      </c>
      <c r="B102" s="350" t="s">
        <v>500</v>
      </c>
      <c r="C102" s="351" t="s">
        <v>384</v>
      </c>
      <c r="D102" s="352" t="s">
        <v>501</v>
      </c>
      <c r="E102" s="351" t="s">
        <v>1125</v>
      </c>
      <c r="F102" s="352" t="s">
        <v>1126</v>
      </c>
      <c r="G102" s="351" t="s">
        <v>703</v>
      </c>
      <c r="H102" s="351" t="s">
        <v>704</v>
      </c>
      <c r="I102" s="353">
        <v>31.338333333333335</v>
      </c>
      <c r="J102" s="353">
        <v>370</v>
      </c>
      <c r="K102" s="354">
        <v>11595.390000000001</v>
      </c>
    </row>
    <row r="103" spans="1:11" ht="14.4" customHeight="1" x14ac:dyDescent="0.3">
      <c r="A103" s="349" t="s">
        <v>379</v>
      </c>
      <c r="B103" s="350" t="s">
        <v>500</v>
      </c>
      <c r="C103" s="351" t="s">
        <v>384</v>
      </c>
      <c r="D103" s="352" t="s">
        <v>501</v>
      </c>
      <c r="E103" s="351" t="s">
        <v>1125</v>
      </c>
      <c r="F103" s="352" t="s">
        <v>1126</v>
      </c>
      <c r="G103" s="351" t="s">
        <v>705</v>
      </c>
      <c r="H103" s="351" t="s">
        <v>706</v>
      </c>
      <c r="I103" s="353">
        <v>50.65</v>
      </c>
      <c r="J103" s="353">
        <v>1800</v>
      </c>
      <c r="K103" s="354">
        <v>91170.930000000008</v>
      </c>
    </row>
    <row r="104" spans="1:11" ht="14.4" customHeight="1" x14ac:dyDescent="0.3">
      <c r="A104" s="349" t="s">
        <v>379</v>
      </c>
      <c r="B104" s="350" t="s">
        <v>500</v>
      </c>
      <c r="C104" s="351" t="s">
        <v>384</v>
      </c>
      <c r="D104" s="352" t="s">
        <v>501</v>
      </c>
      <c r="E104" s="351" t="s">
        <v>1125</v>
      </c>
      <c r="F104" s="352" t="s">
        <v>1126</v>
      </c>
      <c r="G104" s="351" t="s">
        <v>707</v>
      </c>
      <c r="H104" s="351" t="s">
        <v>708</v>
      </c>
      <c r="I104" s="353">
        <v>563.45000000000005</v>
      </c>
      <c r="J104" s="353">
        <v>10</v>
      </c>
      <c r="K104" s="354">
        <v>5634.5</v>
      </c>
    </row>
    <row r="105" spans="1:11" ht="14.4" customHeight="1" x14ac:dyDescent="0.3">
      <c r="A105" s="349" t="s">
        <v>379</v>
      </c>
      <c r="B105" s="350" t="s">
        <v>500</v>
      </c>
      <c r="C105" s="351" t="s">
        <v>384</v>
      </c>
      <c r="D105" s="352" t="s">
        <v>501</v>
      </c>
      <c r="E105" s="351" t="s">
        <v>1125</v>
      </c>
      <c r="F105" s="352" t="s">
        <v>1126</v>
      </c>
      <c r="G105" s="351" t="s">
        <v>709</v>
      </c>
      <c r="H105" s="351" t="s">
        <v>710</v>
      </c>
      <c r="I105" s="353">
        <v>953.52</v>
      </c>
      <c r="J105" s="353">
        <v>10</v>
      </c>
      <c r="K105" s="354">
        <v>9535.2199999999993</v>
      </c>
    </row>
    <row r="106" spans="1:11" ht="14.4" customHeight="1" x14ac:dyDescent="0.3">
      <c r="A106" s="349" t="s">
        <v>379</v>
      </c>
      <c r="B106" s="350" t="s">
        <v>500</v>
      </c>
      <c r="C106" s="351" t="s">
        <v>384</v>
      </c>
      <c r="D106" s="352" t="s">
        <v>501</v>
      </c>
      <c r="E106" s="351" t="s">
        <v>1125</v>
      </c>
      <c r="F106" s="352" t="s">
        <v>1126</v>
      </c>
      <c r="G106" s="351" t="s">
        <v>711</v>
      </c>
      <c r="H106" s="351" t="s">
        <v>712</v>
      </c>
      <c r="I106" s="353">
        <v>10.74</v>
      </c>
      <c r="J106" s="353">
        <v>275</v>
      </c>
      <c r="K106" s="354">
        <v>2954.82</v>
      </c>
    </row>
    <row r="107" spans="1:11" ht="14.4" customHeight="1" x14ac:dyDescent="0.3">
      <c r="A107" s="349" t="s">
        <v>379</v>
      </c>
      <c r="B107" s="350" t="s">
        <v>500</v>
      </c>
      <c r="C107" s="351" t="s">
        <v>384</v>
      </c>
      <c r="D107" s="352" t="s">
        <v>501</v>
      </c>
      <c r="E107" s="351" t="s">
        <v>1125</v>
      </c>
      <c r="F107" s="352" t="s">
        <v>1126</v>
      </c>
      <c r="G107" s="351" t="s">
        <v>713</v>
      </c>
      <c r="H107" s="351" t="s">
        <v>714</v>
      </c>
      <c r="I107" s="353">
        <v>3.27</v>
      </c>
      <c r="J107" s="353">
        <v>100</v>
      </c>
      <c r="K107" s="354">
        <v>326.7</v>
      </c>
    </row>
    <row r="108" spans="1:11" ht="14.4" customHeight="1" x14ac:dyDescent="0.3">
      <c r="A108" s="349" t="s">
        <v>379</v>
      </c>
      <c r="B108" s="350" t="s">
        <v>500</v>
      </c>
      <c r="C108" s="351" t="s">
        <v>384</v>
      </c>
      <c r="D108" s="352" t="s">
        <v>501</v>
      </c>
      <c r="E108" s="351" t="s">
        <v>1125</v>
      </c>
      <c r="F108" s="352" t="s">
        <v>1126</v>
      </c>
      <c r="G108" s="351" t="s">
        <v>715</v>
      </c>
      <c r="H108" s="351" t="s">
        <v>716</v>
      </c>
      <c r="I108" s="353">
        <v>181.5</v>
      </c>
      <c r="J108" s="353">
        <v>40</v>
      </c>
      <c r="K108" s="354">
        <v>7260</v>
      </c>
    </row>
    <row r="109" spans="1:11" ht="14.4" customHeight="1" x14ac:dyDescent="0.3">
      <c r="A109" s="349" t="s">
        <v>379</v>
      </c>
      <c r="B109" s="350" t="s">
        <v>500</v>
      </c>
      <c r="C109" s="351" t="s">
        <v>384</v>
      </c>
      <c r="D109" s="352" t="s">
        <v>501</v>
      </c>
      <c r="E109" s="351" t="s">
        <v>1125</v>
      </c>
      <c r="F109" s="352" t="s">
        <v>1126</v>
      </c>
      <c r="G109" s="351" t="s">
        <v>717</v>
      </c>
      <c r="H109" s="351" t="s">
        <v>718</v>
      </c>
      <c r="I109" s="353">
        <v>280.77999999999997</v>
      </c>
      <c r="J109" s="353">
        <v>50</v>
      </c>
      <c r="K109" s="354">
        <v>14039.03</v>
      </c>
    </row>
    <row r="110" spans="1:11" ht="14.4" customHeight="1" x14ac:dyDescent="0.3">
      <c r="A110" s="349" t="s">
        <v>379</v>
      </c>
      <c r="B110" s="350" t="s">
        <v>500</v>
      </c>
      <c r="C110" s="351" t="s">
        <v>384</v>
      </c>
      <c r="D110" s="352" t="s">
        <v>501</v>
      </c>
      <c r="E110" s="351" t="s">
        <v>1125</v>
      </c>
      <c r="F110" s="352" t="s">
        <v>1126</v>
      </c>
      <c r="G110" s="351" t="s">
        <v>719</v>
      </c>
      <c r="H110" s="351" t="s">
        <v>720</v>
      </c>
      <c r="I110" s="353">
        <v>49.545000000000002</v>
      </c>
      <c r="J110" s="353">
        <v>100</v>
      </c>
      <c r="K110" s="354">
        <v>4954.34</v>
      </c>
    </row>
    <row r="111" spans="1:11" ht="14.4" customHeight="1" x14ac:dyDescent="0.3">
      <c r="A111" s="349" t="s">
        <v>379</v>
      </c>
      <c r="B111" s="350" t="s">
        <v>500</v>
      </c>
      <c r="C111" s="351" t="s">
        <v>384</v>
      </c>
      <c r="D111" s="352" t="s">
        <v>501</v>
      </c>
      <c r="E111" s="351" t="s">
        <v>1125</v>
      </c>
      <c r="F111" s="352" t="s">
        <v>1126</v>
      </c>
      <c r="G111" s="351" t="s">
        <v>721</v>
      </c>
      <c r="H111" s="351" t="s">
        <v>722</v>
      </c>
      <c r="I111" s="353">
        <v>68.510000000000005</v>
      </c>
      <c r="J111" s="353">
        <v>200</v>
      </c>
      <c r="K111" s="354">
        <v>13702.04</v>
      </c>
    </row>
    <row r="112" spans="1:11" ht="14.4" customHeight="1" x14ac:dyDescent="0.3">
      <c r="A112" s="349" t="s">
        <v>379</v>
      </c>
      <c r="B112" s="350" t="s">
        <v>500</v>
      </c>
      <c r="C112" s="351" t="s">
        <v>384</v>
      </c>
      <c r="D112" s="352" t="s">
        <v>501</v>
      </c>
      <c r="E112" s="351" t="s">
        <v>1125</v>
      </c>
      <c r="F112" s="352" t="s">
        <v>1126</v>
      </c>
      <c r="G112" s="351" t="s">
        <v>723</v>
      </c>
      <c r="H112" s="351" t="s">
        <v>724</v>
      </c>
      <c r="I112" s="353">
        <v>31.94</v>
      </c>
      <c r="J112" s="353">
        <v>100</v>
      </c>
      <c r="K112" s="354">
        <v>3194.4</v>
      </c>
    </row>
    <row r="113" spans="1:11" ht="14.4" customHeight="1" x14ac:dyDescent="0.3">
      <c r="A113" s="349" t="s">
        <v>379</v>
      </c>
      <c r="B113" s="350" t="s">
        <v>500</v>
      </c>
      <c r="C113" s="351" t="s">
        <v>384</v>
      </c>
      <c r="D113" s="352" t="s">
        <v>501</v>
      </c>
      <c r="E113" s="351" t="s">
        <v>1125</v>
      </c>
      <c r="F113" s="352" t="s">
        <v>1126</v>
      </c>
      <c r="G113" s="351" t="s">
        <v>725</v>
      </c>
      <c r="H113" s="351" t="s">
        <v>726</v>
      </c>
      <c r="I113" s="353">
        <v>201.25</v>
      </c>
      <c r="J113" s="353">
        <v>4</v>
      </c>
      <c r="K113" s="354">
        <v>804.99</v>
      </c>
    </row>
    <row r="114" spans="1:11" ht="14.4" customHeight="1" x14ac:dyDescent="0.3">
      <c r="A114" s="349" t="s">
        <v>379</v>
      </c>
      <c r="B114" s="350" t="s">
        <v>500</v>
      </c>
      <c r="C114" s="351" t="s">
        <v>384</v>
      </c>
      <c r="D114" s="352" t="s">
        <v>501</v>
      </c>
      <c r="E114" s="351" t="s">
        <v>1125</v>
      </c>
      <c r="F114" s="352" t="s">
        <v>1126</v>
      </c>
      <c r="G114" s="351" t="s">
        <v>727</v>
      </c>
      <c r="H114" s="351" t="s">
        <v>728</v>
      </c>
      <c r="I114" s="353">
        <v>432.3</v>
      </c>
      <c r="J114" s="353">
        <v>28</v>
      </c>
      <c r="K114" s="354">
        <v>12104.3</v>
      </c>
    </row>
    <row r="115" spans="1:11" ht="14.4" customHeight="1" x14ac:dyDescent="0.3">
      <c r="A115" s="349" t="s">
        <v>379</v>
      </c>
      <c r="B115" s="350" t="s">
        <v>500</v>
      </c>
      <c r="C115" s="351" t="s">
        <v>384</v>
      </c>
      <c r="D115" s="352" t="s">
        <v>501</v>
      </c>
      <c r="E115" s="351" t="s">
        <v>1125</v>
      </c>
      <c r="F115" s="352" t="s">
        <v>1126</v>
      </c>
      <c r="G115" s="351" t="s">
        <v>729</v>
      </c>
      <c r="H115" s="351" t="s">
        <v>730</v>
      </c>
      <c r="I115" s="353">
        <v>8.02</v>
      </c>
      <c r="J115" s="353">
        <v>100</v>
      </c>
      <c r="K115" s="354">
        <v>802.24</v>
      </c>
    </row>
    <row r="116" spans="1:11" ht="14.4" customHeight="1" x14ac:dyDescent="0.3">
      <c r="A116" s="349" t="s">
        <v>379</v>
      </c>
      <c r="B116" s="350" t="s">
        <v>500</v>
      </c>
      <c r="C116" s="351" t="s">
        <v>384</v>
      </c>
      <c r="D116" s="352" t="s">
        <v>501</v>
      </c>
      <c r="E116" s="351" t="s">
        <v>1125</v>
      </c>
      <c r="F116" s="352" t="s">
        <v>1126</v>
      </c>
      <c r="G116" s="351" t="s">
        <v>731</v>
      </c>
      <c r="H116" s="351" t="s">
        <v>732</v>
      </c>
      <c r="I116" s="353">
        <v>19.97</v>
      </c>
      <c r="J116" s="353">
        <v>50</v>
      </c>
      <c r="K116" s="354">
        <v>998.25</v>
      </c>
    </row>
    <row r="117" spans="1:11" ht="14.4" customHeight="1" x14ac:dyDescent="0.3">
      <c r="A117" s="349" t="s">
        <v>379</v>
      </c>
      <c r="B117" s="350" t="s">
        <v>500</v>
      </c>
      <c r="C117" s="351" t="s">
        <v>384</v>
      </c>
      <c r="D117" s="352" t="s">
        <v>501</v>
      </c>
      <c r="E117" s="351" t="s">
        <v>1125</v>
      </c>
      <c r="F117" s="352" t="s">
        <v>1126</v>
      </c>
      <c r="G117" s="351" t="s">
        <v>733</v>
      </c>
      <c r="H117" s="351" t="s">
        <v>734</v>
      </c>
      <c r="I117" s="353">
        <v>91.84</v>
      </c>
      <c r="J117" s="353">
        <v>100</v>
      </c>
      <c r="K117" s="354">
        <v>9183.7999999999993</v>
      </c>
    </row>
    <row r="118" spans="1:11" ht="14.4" customHeight="1" x14ac:dyDescent="0.3">
      <c r="A118" s="349" t="s">
        <v>379</v>
      </c>
      <c r="B118" s="350" t="s">
        <v>500</v>
      </c>
      <c r="C118" s="351" t="s">
        <v>384</v>
      </c>
      <c r="D118" s="352" t="s">
        <v>501</v>
      </c>
      <c r="E118" s="351" t="s">
        <v>1125</v>
      </c>
      <c r="F118" s="352" t="s">
        <v>1126</v>
      </c>
      <c r="G118" s="351" t="s">
        <v>735</v>
      </c>
      <c r="H118" s="351" t="s">
        <v>736</v>
      </c>
      <c r="I118" s="353">
        <v>58.8</v>
      </c>
      <c r="J118" s="353">
        <v>160</v>
      </c>
      <c r="K118" s="354">
        <v>9408</v>
      </c>
    </row>
    <row r="119" spans="1:11" ht="14.4" customHeight="1" x14ac:dyDescent="0.3">
      <c r="A119" s="349" t="s">
        <v>379</v>
      </c>
      <c r="B119" s="350" t="s">
        <v>500</v>
      </c>
      <c r="C119" s="351" t="s">
        <v>384</v>
      </c>
      <c r="D119" s="352" t="s">
        <v>501</v>
      </c>
      <c r="E119" s="351" t="s">
        <v>1125</v>
      </c>
      <c r="F119" s="352" t="s">
        <v>1126</v>
      </c>
      <c r="G119" s="351" t="s">
        <v>737</v>
      </c>
      <c r="H119" s="351" t="s">
        <v>738</v>
      </c>
      <c r="I119" s="353">
        <v>15.61</v>
      </c>
      <c r="J119" s="353">
        <v>10</v>
      </c>
      <c r="K119" s="354">
        <v>156.1</v>
      </c>
    </row>
    <row r="120" spans="1:11" ht="14.4" customHeight="1" x14ac:dyDescent="0.3">
      <c r="A120" s="349" t="s">
        <v>379</v>
      </c>
      <c r="B120" s="350" t="s">
        <v>500</v>
      </c>
      <c r="C120" s="351" t="s">
        <v>384</v>
      </c>
      <c r="D120" s="352" t="s">
        <v>501</v>
      </c>
      <c r="E120" s="351" t="s">
        <v>1125</v>
      </c>
      <c r="F120" s="352" t="s">
        <v>1126</v>
      </c>
      <c r="G120" s="351" t="s">
        <v>739</v>
      </c>
      <c r="H120" s="351" t="s">
        <v>740</v>
      </c>
      <c r="I120" s="353">
        <v>43.56</v>
      </c>
      <c r="J120" s="353">
        <v>80</v>
      </c>
      <c r="K120" s="354">
        <v>3484.8</v>
      </c>
    </row>
    <row r="121" spans="1:11" ht="14.4" customHeight="1" x14ac:dyDescent="0.3">
      <c r="A121" s="349" t="s">
        <v>379</v>
      </c>
      <c r="B121" s="350" t="s">
        <v>500</v>
      </c>
      <c r="C121" s="351" t="s">
        <v>384</v>
      </c>
      <c r="D121" s="352" t="s">
        <v>501</v>
      </c>
      <c r="E121" s="351" t="s">
        <v>1125</v>
      </c>
      <c r="F121" s="352" t="s">
        <v>1126</v>
      </c>
      <c r="G121" s="351" t="s">
        <v>741</v>
      </c>
      <c r="H121" s="351" t="s">
        <v>742</v>
      </c>
      <c r="I121" s="353">
        <v>14273.16</v>
      </c>
      <c r="J121" s="353">
        <v>1</v>
      </c>
      <c r="K121" s="354">
        <v>14273.16</v>
      </c>
    </row>
    <row r="122" spans="1:11" ht="14.4" customHeight="1" x14ac:dyDescent="0.3">
      <c r="A122" s="349" t="s">
        <v>379</v>
      </c>
      <c r="B122" s="350" t="s">
        <v>500</v>
      </c>
      <c r="C122" s="351" t="s">
        <v>384</v>
      </c>
      <c r="D122" s="352" t="s">
        <v>501</v>
      </c>
      <c r="E122" s="351" t="s">
        <v>1125</v>
      </c>
      <c r="F122" s="352" t="s">
        <v>1126</v>
      </c>
      <c r="G122" s="351" t="s">
        <v>743</v>
      </c>
      <c r="H122" s="351" t="s">
        <v>744</v>
      </c>
      <c r="I122" s="353">
        <v>10324.700000000001</v>
      </c>
      <c r="J122" s="353">
        <v>1</v>
      </c>
      <c r="K122" s="354">
        <v>10324.700000000001</v>
      </c>
    </row>
    <row r="123" spans="1:11" ht="14.4" customHeight="1" x14ac:dyDescent="0.3">
      <c r="A123" s="349" t="s">
        <v>379</v>
      </c>
      <c r="B123" s="350" t="s">
        <v>500</v>
      </c>
      <c r="C123" s="351" t="s">
        <v>384</v>
      </c>
      <c r="D123" s="352" t="s">
        <v>501</v>
      </c>
      <c r="E123" s="351" t="s">
        <v>1127</v>
      </c>
      <c r="F123" s="352" t="s">
        <v>1128</v>
      </c>
      <c r="G123" s="351" t="s">
        <v>745</v>
      </c>
      <c r="H123" s="351" t="s">
        <v>746</v>
      </c>
      <c r="I123" s="353">
        <v>471.96</v>
      </c>
      <c r="J123" s="353">
        <v>1</v>
      </c>
      <c r="K123" s="354">
        <v>471.96</v>
      </c>
    </row>
    <row r="124" spans="1:11" ht="14.4" customHeight="1" x14ac:dyDescent="0.3">
      <c r="A124" s="349" t="s">
        <v>379</v>
      </c>
      <c r="B124" s="350" t="s">
        <v>500</v>
      </c>
      <c r="C124" s="351" t="s">
        <v>384</v>
      </c>
      <c r="D124" s="352" t="s">
        <v>501</v>
      </c>
      <c r="E124" s="351" t="s">
        <v>1127</v>
      </c>
      <c r="F124" s="352" t="s">
        <v>1128</v>
      </c>
      <c r="G124" s="351" t="s">
        <v>747</v>
      </c>
      <c r="H124" s="351" t="s">
        <v>748</v>
      </c>
      <c r="I124" s="353">
        <v>471.96</v>
      </c>
      <c r="J124" s="353">
        <v>1</v>
      </c>
      <c r="K124" s="354">
        <v>471.96</v>
      </c>
    </row>
    <row r="125" spans="1:11" ht="14.4" customHeight="1" x14ac:dyDescent="0.3">
      <c r="A125" s="349" t="s">
        <v>379</v>
      </c>
      <c r="B125" s="350" t="s">
        <v>500</v>
      </c>
      <c r="C125" s="351" t="s">
        <v>384</v>
      </c>
      <c r="D125" s="352" t="s">
        <v>501</v>
      </c>
      <c r="E125" s="351" t="s">
        <v>1127</v>
      </c>
      <c r="F125" s="352" t="s">
        <v>1128</v>
      </c>
      <c r="G125" s="351" t="s">
        <v>749</v>
      </c>
      <c r="H125" s="351" t="s">
        <v>750</v>
      </c>
      <c r="I125" s="353">
        <v>471.96</v>
      </c>
      <c r="J125" s="353">
        <v>1</v>
      </c>
      <c r="K125" s="354">
        <v>471.96</v>
      </c>
    </row>
    <row r="126" spans="1:11" ht="14.4" customHeight="1" x14ac:dyDescent="0.3">
      <c r="A126" s="349" t="s">
        <v>379</v>
      </c>
      <c r="B126" s="350" t="s">
        <v>500</v>
      </c>
      <c r="C126" s="351" t="s">
        <v>384</v>
      </c>
      <c r="D126" s="352" t="s">
        <v>501</v>
      </c>
      <c r="E126" s="351" t="s">
        <v>1129</v>
      </c>
      <c r="F126" s="352" t="s">
        <v>1130</v>
      </c>
      <c r="G126" s="351" t="s">
        <v>751</v>
      </c>
      <c r="H126" s="351" t="s">
        <v>752</v>
      </c>
      <c r="I126" s="353">
        <v>997.89</v>
      </c>
      <c r="J126" s="353">
        <v>48</v>
      </c>
      <c r="K126" s="354">
        <v>47898.58</v>
      </c>
    </row>
    <row r="127" spans="1:11" ht="14.4" customHeight="1" x14ac:dyDescent="0.3">
      <c r="A127" s="349" t="s">
        <v>379</v>
      </c>
      <c r="B127" s="350" t="s">
        <v>500</v>
      </c>
      <c r="C127" s="351" t="s">
        <v>384</v>
      </c>
      <c r="D127" s="352" t="s">
        <v>501</v>
      </c>
      <c r="E127" s="351" t="s">
        <v>1129</v>
      </c>
      <c r="F127" s="352" t="s">
        <v>1130</v>
      </c>
      <c r="G127" s="351" t="s">
        <v>751</v>
      </c>
      <c r="H127" s="351" t="s">
        <v>753</v>
      </c>
      <c r="I127" s="353">
        <v>996.16000000000008</v>
      </c>
      <c r="J127" s="353">
        <v>96</v>
      </c>
      <c r="K127" s="354">
        <v>95631.61</v>
      </c>
    </row>
    <row r="128" spans="1:11" ht="14.4" customHeight="1" x14ac:dyDescent="0.3">
      <c r="A128" s="349" t="s">
        <v>379</v>
      </c>
      <c r="B128" s="350" t="s">
        <v>500</v>
      </c>
      <c r="C128" s="351" t="s">
        <v>384</v>
      </c>
      <c r="D128" s="352" t="s">
        <v>501</v>
      </c>
      <c r="E128" s="351" t="s">
        <v>1129</v>
      </c>
      <c r="F128" s="352" t="s">
        <v>1130</v>
      </c>
      <c r="G128" s="351" t="s">
        <v>754</v>
      </c>
      <c r="H128" s="351" t="s">
        <v>755</v>
      </c>
      <c r="I128" s="353">
        <v>1791.2957142857142</v>
      </c>
      <c r="J128" s="353">
        <v>420</v>
      </c>
      <c r="K128" s="354">
        <v>752344.38000000012</v>
      </c>
    </row>
    <row r="129" spans="1:11" ht="14.4" customHeight="1" x14ac:dyDescent="0.3">
      <c r="A129" s="349" t="s">
        <v>379</v>
      </c>
      <c r="B129" s="350" t="s">
        <v>500</v>
      </c>
      <c r="C129" s="351" t="s">
        <v>384</v>
      </c>
      <c r="D129" s="352" t="s">
        <v>501</v>
      </c>
      <c r="E129" s="351" t="s">
        <v>1129</v>
      </c>
      <c r="F129" s="352" t="s">
        <v>1130</v>
      </c>
      <c r="G129" s="351" t="s">
        <v>756</v>
      </c>
      <c r="H129" s="351" t="s">
        <v>757</v>
      </c>
      <c r="I129" s="353">
        <v>86596.987999999998</v>
      </c>
      <c r="J129" s="353">
        <v>11.6</v>
      </c>
      <c r="K129" s="354">
        <v>1018716.53</v>
      </c>
    </row>
    <row r="130" spans="1:11" ht="14.4" customHeight="1" x14ac:dyDescent="0.3">
      <c r="A130" s="349" t="s">
        <v>379</v>
      </c>
      <c r="B130" s="350" t="s">
        <v>500</v>
      </c>
      <c r="C130" s="351" t="s">
        <v>384</v>
      </c>
      <c r="D130" s="352" t="s">
        <v>501</v>
      </c>
      <c r="E130" s="351" t="s">
        <v>1129</v>
      </c>
      <c r="F130" s="352" t="s">
        <v>1130</v>
      </c>
      <c r="G130" s="351" t="s">
        <v>758</v>
      </c>
      <c r="H130" s="351" t="s">
        <v>759</v>
      </c>
      <c r="I130" s="353">
        <v>87657.528000000006</v>
      </c>
      <c r="J130" s="353">
        <v>13</v>
      </c>
      <c r="K130" s="354">
        <v>1139490.3899999999</v>
      </c>
    </row>
    <row r="131" spans="1:11" ht="14.4" customHeight="1" x14ac:dyDescent="0.3">
      <c r="A131" s="349" t="s">
        <v>379</v>
      </c>
      <c r="B131" s="350" t="s">
        <v>500</v>
      </c>
      <c r="C131" s="351" t="s">
        <v>384</v>
      </c>
      <c r="D131" s="352" t="s">
        <v>501</v>
      </c>
      <c r="E131" s="351" t="s">
        <v>1129</v>
      </c>
      <c r="F131" s="352" t="s">
        <v>1130</v>
      </c>
      <c r="G131" s="351" t="s">
        <v>760</v>
      </c>
      <c r="H131" s="351" t="s">
        <v>761</v>
      </c>
      <c r="I131" s="353">
        <v>796.00999999999988</v>
      </c>
      <c r="J131" s="353">
        <v>130</v>
      </c>
      <c r="K131" s="354">
        <v>103489.84999999999</v>
      </c>
    </row>
    <row r="132" spans="1:11" ht="14.4" customHeight="1" x14ac:dyDescent="0.3">
      <c r="A132" s="349" t="s">
        <v>379</v>
      </c>
      <c r="B132" s="350" t="s">
        <v>500</v>
      </c>
      <c r="C132" s="351" t="s">
        <v>384</v>
      </c>
      <c r="D132" s="352" t="s">
        <v>501</v>
      </c>
      <c r="E132" s="351" t="s">
        <v>1129</v>
      </c>
      <c r="F132" s="352" t="s">
        <v>1130</v>
      </c>
      <c r="G132" s="351" t="s">
        <v>762</v>
      </c>
      <c r="H132" s="351" t="s">
        <v>763</v>
      </c>
      <c r="I132" s="353">
        <v>995.38199999999995</v>
      </c>
      <c r="J132" s="353">
        <v>140</v>
      </c>
      <c r="K132" s="354">
        <v>139301.25</v>
      </c>
    </row>
    <row r="133" spans="1:11" ht="14.4" customHeight="1" x14ac:dyDescent="0.3">
      <c r="A133" s="349" t="s">
        <v>379</v>
      </c>
      <c r="B133" s="350" t="s">
        <v>500</v>
      </c>
      <c r="C133" s="351" t="s">
        <v>384</v>
      </c>
      <c r="D133" s="352" t="s">
        <v>501</v>
      </c>
      <c r="E133" s="351" t="s">
        <v>1129</v>
      </c>
      <c r="F133" s="352" t="s">
        <v>1130</v>
      </c>
      <c r="G133" s="351" t="s">
        <v>764</v>
      </c>
      <c r="H133" s="351" t="s">
        <v>765</v>
      </c>
      <c r="I133" s="353">
        <v>1173.7574999999999</v>
      </c>
      <c r="J133" s="353">
        <v>160</v>
      </c>
      <c r="K133" s="354">
        <v>187801.38999999998</v>
      </c>
    </row>
    <row r="134" spans="1:11" ht="14.4" customHeight="1" x14ac:dyDescent="0.3">
      <c r="A134" s="349" t="s">
        <v>379</v>
      </c>
      <c r="B134" s="350" t="s">
        <v>500</v>
      </c>
      <c r="C134" s="351" t="s">
        <v>384</v>
      </c>
      <c r="D134" s="352" t="s">
        <v>501</v>
      </c>
      <c r="E134" s="351" t="s">
        <v>1129</v>
      </c>
      <c r="F134" s="352" t="s">
        <v>1130</v>
      </c>
      <c r="G134" s="351" t="s">
        <v>766</v>
      </c>
      <c r="H134" s="351" t="s">
        <v>767</v>
      </c>
      <c r="I134" s="353">
        <v>127501.86199999999</v>
      </c>
      <c r="J134" s="353">
        <v>13</v>
      </c>
      <c r="K134" s="354">
        <v>1657440.58</v>
      </c>
    </row>
    <row r="135" spans="1:11" ht="14.4" customHeight="1" x14ac:dyDescent="0.3">
      <c r="A135" s="349" t="s">
        <v>379</v>
      </c>
      <c r="B135" s="350" t="s">
        <v>500</v>
      </c>
      <c r="C135" s="351" t="s">
        <v>384</v>
      </c>
      <c r="D135" s="352" t="s">
        <v>501</v>
      </c>
      <c r="E135" s="351" t="s">
        <v>1129</v>
      </c>
      <c r="F135" s="352" t="s">
        <v>1130</v>
      </c>
      <c r="G135" s="351" t="s">
        <v>768</v>
      </c>
      <c r="H135" s="351" t="s">
        <v>769</v>
      </c>
      <c r="I135" s="353">
        <v>107579.69399999999</v>
      </c>
      <c r="J135" s="353">
        <v>13</v>
      </c>
      <c r="K135" s="354">
        <v>1398465.48</v>
      </c>
    </row>
    <row r="136" spans="1:11" ht="14.4" customHeight="1" x14ac:dyDescent="0.3">
      <c r="A136" s="349" t="s">
        <v>379</v>
      </c>
      <c r="B136" s="350" t="s">
        <v>500</v>
      </c>
      <c r="C136" s="351" t="s">
        <v>384</v>
      </c>
      <c r="D136" s="352" t="s">
        <v>501</v>
      </c>
      <c r="E136" s="351" t="s">
        <v>1129</v>
      </c>
      <c r="F136" s="352" t="s">
        <v>1130</v>
      </c>
      <c r="G136" s="351" t="s">
        <v>770</v>
      </c>
      <c r="H136" s="351" t="s">
        <v>771</v>
      </c>
      <c r="I136" s="353">
        <v>597.53</v>
      </c>
      <c r="J136" s="353">
        <v>10</v>
      </c>
      <c r="K136" s="354">
        <v>5975.34</v>
      </c>
    </row>
    <row r="137" spans="1:11" ht="14.4" customHeight="1" x14ac:dyDescent="0.3">
      <c r="A137" s="349" t="s">
        <v>379</v>
      </c>
      <c r="B137" s="350" t="s">
        <v>500</v>
      </c>
      <c r="C137" s="351" t="s">
        <v>384</v>
      </c>
      <c r="D137" s="352" t="s">
        <v>501</v>
      </c>
      <c r="E137" s="351" t="s">
        <v>1129</v>
      </c>
      <c r="F137" s="352" t="s">
        <v>1130</v>
      </c>
      <c r="G137" s="351" t="s">
        <v>772</v>
      </c>
      <c r="H137" s="351" t="s">
        <v>773</v>
      </c>
      <c r="I137" s="353">
        <v>155613.74</v>
      </c>
      <c r="J137" s="353">
        <v>1</v>
      </c>
      <c r="K137" s="354">
        <v>155613.74</v>
      </c>
    </row>
    <row r="138" spans="1:11" ht="14.4" customHeight="1" x14ac:dyDescent="0.3">
      <c r="A138" s="349" t="s">
        <v>379</v>
      </c>
      <c r="B138" s="350" t="s">
        <v>500</v>
      </c>
      <c r="C138" s="351" t="s">
        <v>384</v>
      </c>
      <c r="D138" s="352" t="s">
        <v>501</v>
      </c>
      <c r="E138" s="351" t="s">
        <v>1129</v>
      </c>
      <c r="F138" s="352" t="s">
        <v>1130</v>
      </c>
      <c r="G138" s="351" t="s">
        <v>774</v>
      </c>
      <c r="H138" s="351" t="s">
        <v>775</v>
      </c>
      <c r="I138" s="353">
        <v>13821.83</v>
      </c>
      <c r="J138" s="353">
        <v>2</v>
      </c>
      <c r="K138" s="354">
        <v>27643.66</v>
      </c>
    </row>
    <row r="139" spans="1:11" ht="14.4" customHeight="1" x14ac:dyDescent="0.3">
      <c r="A139" s="349" t="s">
        <v>379</v>
      </c>
      <c r="B139" s="350" t="s">
        <v>500</v>
      </c>
      <c r="C139" s="351" t="s">
        <v>384</v>
      </c>
      <c r="D139" s="352" t="s">
        <v>501</v>
      </c>
      <c r="E139" s="351" t="s">
        <v>1129</v>
      </c>
      <c r="F139" s="352" t="s">
        <v>1130</v>
      </c>
      <c r="G139" s="351" t="s">
        <v>776</v>
      </c>
      <c r="H139" s="351" t="s">
        <v>777</v>
      </c>
      <c r="I139" s="353">
        <v>597.64</v>
      </c>
      <c r="J139" s="353">
        <v>10</v>
      </c>
      <c r="K139" s="354">
        <v>5976.43</v>
      </c>
    </row>
    <row r="140" spans="1:11" ht="14.4" customHeight="1" x14ac:dyDescent="0.3">
      <c r="A140" s="349" t="s">
        <v>379</v>
      </c>
      <c r="B140" s="350" t="s">
        <v>500</v>
      </c>
      <c r="C140" s="351" t="s">
        <v>384</v>
      </c>
      <c r="D140" s="352" t="s">
        <v>501</v>
      </c>
      <c r="E140" s="351" t="s">
        <v>1131</v>
      </c>
      <c r="F140" s="352" t="s">
        <v>1132</v>
      </c>
      <c r="G140" s="351" t="s">
        <v>778</v>
      </c>
      <c r="H140" s="351" t="s">
        <v>779</v>
      </c>
      <c r="I140" s="353">
        <v>413.82</v>
      </c>
      <c r="J140" s="353">
        <v>2</v>
      </c>
      <c r="K140" s="354">
        <v>827.64</v>
      </c>
    </row>
    <row r="141" spans="1:11" ht="14.4" customHeight="1" x14ac:dyDescent="0.3">
      <c r="A141" s="349" t="s">
        <v>379</v>
      </c>
      <c r="B141" s="350" t="s">
        <v>500</v>
      </c>
      <c r="C141" s="351" t="s">
        <v>384</v>
      </c>
      <c r="D141" s="352" t="s">
        <v>501</v>
      </c>
      <c r="E141" s="351" t="s">
        <v>1133</v>
      </c>
      <c r="F141" s="352" t="s">
        <v>1134</v>
      </c>
      <c r="G141" s="351" t="s">
        <v>780</v>
      </c>
      <c r="H141" s="351" t="s">
        <v>781</v>
      </c>
      <c r="I141" s="353">
        <v>95.72</v>
      </c>
      <c r="J141" s="353">
        <v>30</v>
      </c>
      <c r="K141" s="354">
        <v>2871.65</v>
      </c>
    </row>
    <row r="142" spans="1:11" ht="14.4" customHeight="1" x14ac:dyDescent="0.3">
      <c r="A142" s="349" t="s">
        <v>379</v>
      </c>
      <c r="B142" s="350" t="s">
        <v>500</v>
      </c>
      <c r="C142" s="351" t="s">
        <v>384</v>
      </c>
      <c r="D142" s="352" t="s">
        <v>501</v>
      </c>
      <c r="E142" s="351" t="s">
        <v>1135</v>
      </c>
      <c r="F142" s="352" t="s">
        <v>1136</v>
      </c>
      <c r="G142" s="351" t="s">
        <v>782</v>
      </c>
      <c r="H142" s="351" t="s">
        <v>783</v>
      </c>
      <c r="I142" s="353">
        <v>8.17</v>
      </c>
      <c r="J142" s="353">
        <v>50</v>
      </c>
      <c r="K142" s="354">
        <v>408.5</v>
      </c>
    </row>
    <row r="143" spans="1:11" ht="14.4" customHeight="1" x14ac:dyDescent="0.3">
      <c r="A143" s="349" t="s">
        <v>379</v>
      </c>
      <c r="B143" s="350" t="s">
        <v>500</v>
      </c>
      <c r="C143" s="351" t="s">
        <v>384</v>
      </c>
      <c r="D143" s="352" t="s">
        <v>501</v>
      </c>
      <c r="E143" s="351" t="s">
        <v>1135</v>
      </c>
      <c r="F143" s="352" t="s">
        <v>1136</v>
      </c>
      <c r="G143" s="351" t="s">
        <v>784</v>
      </c>
      <c r="H143" s="351" t="s">
        <v>785</v>
      </c>
      <c r="I143" s="353">
        <v>46.576666666666675</v>
      </c>
      <c r="J143" s="353">
        <v>310</v>
      </c>
      <c r="K143" s="354">
        <v>14438.06</v>
      </c>
    </row>
    <row r="144" spans="1:11" ht="14.4" customHeight="1" x14ac:dyDescent="0.3">
      <c r="A144" s="349" t="s">
        <v>379</v>
      </c>
      <c r="B144" s="350" t="s">
        <v>500</v>
      </c>
      <c r="C144" s="351" t="s">
        <v>384</v>
      </c>
      <c r="D144" s="352" t="s">
        <v>501</v>
      </c>
      <c r="E144" s="351" t="s">
        <v>1135</v>
      </c>
      <c r="F144" s="352" t="s">
        <v>1136</v>
      </c>
      <c r="G144" s="351" t="s">
        <v>786</v>
      </c>
      <c r="H144" s="351" t="s">
        <v>787</v>
      </c>
      <c r="I144" s="353">
        <v>6125.13</v>
      </c>
      <c r="J144" s="353">
        <v>1</v>
      </c>
      <c r="K144" s="354">
        <v>6125.13</v>
      </c>
    </row>
    <row r="145" spans="1:11" ht="14.4" customHeight="1" x14ac:dyDescent="0.3">
      <c r="A145" s="349" t="s">
        <v>379</v>
      </c>
      <c r="B145" s="350" t="s">
        <v>500</v>
      </c>
      <c r="C145" s="351" t="s">
        <v>384</v>
      </c>
      <c r="D145" s="352" t="s">
        <v>501</v>
      </c>
      <c r="E145" s="351" t="s">
        <v>1137</v>
      </c>
      <c r="F145" s="352" t="s">
        <v>1138</v>
      </c>
      <c r="G145" s="351" t="s">
        <v>788</v>
      </c>
      <c r="H145" s="351" t="s">
        <v>789</v>
      </c>
      <c r="I145" s="353">
        <v>205.37</v>
      </c>
      <c r="J145" s="353">
        <v>192</v>
      </c>
      <c r="K145" s="354">
        <v>39431.78</v>
      </c>
    </row>
    <row r="146" spans="1:11" ht="14.4" customHeight="1" x14ac:dyDescent="0.3">
      <c r="A146" s="349" t="s">
        <v>379</v>
      </c>
      <c r="B146" s="350" t="s">
        <v>500</v>
      </c>
      <c r="C146" s="351" t="s">
        <v>384</v>
      </c>
      <c r="D146" s="352" t="s">
        <v>501</v>
      </c>
      <c r="E146" s="351" t="s">
        <v>1137</v>
      </c>
      <c r="F146" s="352" t="s">
        <v>1138</v>
      </c>
      <c r="G146" s="351" t="s">
        <v>790</v>
      </c>
      <c r="H146" s="351" t="s">
        <v>791</v>
      </c>
      <c r="I146" s="353">
        <v>149.25</v>
      </c>
      <c r="J146" s="353">
        <v>216</v>
      </c>
      <c r="K146" s="354">
        <v>32237.15</v>
      </c>
    </row>
    <row r="147" spans="1:11" ht="14.4" customHeight="1" x14ac:dyDescent="0.3">
      <c r="A147" s="349" t="s">
        <v>379</v>
      </c>
      <c r="B147" s="350" t="s">
        <v>500</v>
      </c>
      <c r="C147" s="351" t="s">
        <v>384</v>
      </c>
      <c r="D147" s="352" t="s">
        <v>501</v>
      </c>
      <c r="E147" s="351" t="s">
        <v>1137</v>
      </c>
      <c r="F147" s="352" t="s">
        <v>1138</v>
      </c>
      <c r="G147" s="351" t="s">
        <v>792</v>
      </c>
      <c r="H147" s="351" t="s">
        <v>793</v>
      </c>
      <c r="I147" s="353">
        <v>266.13000000000005</v>
      </c>
      <c r="J147" s="353">
        <v>720</v>
      </c>
      <c r="K147" s="354">
        <v>191611.9</v>
      </c>
    </row>
    <row r="148" spans="1:11" ht="14.4" customHeight="1" x14ac:dyDescent="0.3">
      <c r="A148" s="349" t="s">
        <v>379</v>
      </c>
      <c r="B148" s="350" t="s">
        <v>500</v>
      </c>
      <c r="C148" s="351" t="s">
        <v>384</v>
      </c>
      <c r="D148" s="352" t="s">
        <v>501</v>
      </c>
      <c r="E148" s="351" t="s">
        <v>1137</v>
      </c>
      <c r="F148" s="352" t="s">
        <v>1138</v>
      </c>
      <c r="G148" s="351" t="s">
        <v>794</v>
      </c>
      <c r="H148" s="351" t="s">
        <v>795</v>
      </c>
      <c r="I148" s="353">
        <v>59.77</v>
      </c>
      <c r="J148" s="353">
        <v>504</v>
      </c>
      <c r="K148" s="354">
        <v>30126.32</v>
      </c>
    </row>
    <row r="149" spans="1:11" ht="14.4" customHeight="1" x14ac:dyDescent="0.3">
      <c r="A149" s="349" t="s">
        <v>379</v>
      </c>
      <c r="B149" s="350" t="s">
        <v>500</v>
      </c>
      <c r="C149" s="351" t="s">
        <v>384</v>
      </c>
      <c r="D149" s="352" t="s">
        <v>501</v>
      </c>
      <c r="E149" s="351" t="s">
        <v>1137</v>
      </c>
      <c r="F149" s="352" t="s">
        <v>1138</v>
      </c>
      <c r="G149" s="351" t="s">
        <v>796</v>
      </c>
      <c r="H149" s="351" t="s">
        <v>797</v>
      </c>
      <c r="I149" s="353">
        <v>34.5</v>
      </c>
      <c r="J149" s="353">
        <v>1836</v>
      </c>
      <c r="K149" s="354">
        <v>63342</v>
      </c>
    </row>
    <row r="150" spans="1:11" ht="14.4" customHeight="1" x14ac:dyDescent="0.3">
      <c r="A150" s="349" t="s">
        <v>379</v>
      </c>
      <c r="B150" s="350" t="s">
        <v>500</v>
      </c>
      <c r="C150" s="351" t="s">
        <v>384</v>
      </c>
      <c r="D150" s="352" t="s">
        <v>501</v>
      </c>
      <c r="E150" s="351" t="s">
        <v>1137</v>
      </c>
      <c r="F150" s="352" t="s">
        <v>1138</v>
      </c>
      <c r="G150" s="351" t="s">
        <v>798</v>
      </c>
      <c r="H150" s="351" t="s">
        <v>799</v>
      </c>
      <c r="I150" s="353">
        <v>35.619999999999997</v>
      </c>
      <c r="J150" s="353">
        <v>72</v>
      </c>
      <c r="K150" s="354">
        <v>2564.3200000000002</v>
      </c>
    </row>
    <row r="151" spans="1:11" ht="14.4" customHeight="1" x14ac:dyDescent="0.3">
      <c r="A151" s="349" t="s">
        <v>379</v>
      </c>
      <c r="B151" s="350" t="s">
        <v>500</v>
      </c>
      <c r="C151" s="351" t="s">
        <v>384</v>
      </c>
      <c r="D151" s="352" t="s">
        <v>501</v>
      </c>
      <c r="E151" s="351" t="s">
        <v>1137</v>
      </c>
      <c r="F151" s="352" t="s">
        <v>1138</v>
      </c>
      <c r="G151" s="351" t="s">
        <v>800</v>
      </c>
      <c r="H151" s="351" t="s">
        <v>801</v>
      </c>
      <c r="I151" s="353">
        <v>414.29</v>
      </c>
      <c r="J151" s="353">
        <v>16</v>
      </c>
      <c r="K151" s="354">
        <v>6628.6</v>
      </c>
    </row>
    <row r="152" spans="1:11" ht="14.4" customHeight="1" x14ac:dyDescent="0.3">
      <c r="A152" s="349" t="s">
        <v>379</v>
      </c>
      <c r="B152" s="350" t="s">
        <v>500</v>
      </c>
      <c r="C152" s="351" t="s">
        <v>384</v>
      </c>
      <c r="D152" s="352" t="s">
        <v>501</v>
      </c>
      <c r="E152" s="351" t="s">
        <v>1137</v>
      </c>
      <c r="F152" s="352" t="s">
        <v>1138</v>
      </c>
      <c r="G152" s="351" t="s">
        <v>802</v>
      </c>
      <c r="H152" s="351" t="s">
        <v>803</v>
      </c>
      <c r="I152" s="353">
        <v>61.56</v>
      </c>
      <c r="J152" s="353">
        <v>72</v>
      </c>
      <c r="K152" s="354">
        <v>4431.9799999999996</v>
      </c>
    </row>
    <row r="153" spans="1:11" ht="14.4" customHeight="1" x14ac:dyDescent="0.3">
      <c r="A153" s="349" t="s">
        <v>379</v>
      </c>
      <c r="B153" s="350" t="s">
        <v>500</v>
      </c>
      <c r="C153" s="351" t="s">
        <v>384</v>
      </c>
      <c r="D153" s="352" t="s">
        <v>501</v>
      </c>
      <c r="E153" s="351" t="s">
        <v>1137</v>
      </c>
      <c r="F153" s="352" t="s">
        <v>1138</v>
      </c>
      <c r="G153" s="351" t="s">
        <v>804</v>
      </c>
      <c r="H153" s="351" t="s">
        <v>805</v>
      </c>
      <c r="I153" s="353">
        <v>50.12</v>
      </c>
      <c r="J153" s="353">
        <v>2088</v>
      </c>
      <c r="K153" s="354">
        <v>104644.29</v>
      </c>
    </row>
    <row r="154" spans="1:11" ht="14.4" customHeight="1" x14ac:dyDescent="0.3">
      <c r="A154" s="349" t="s">
        <v>379</v>
      </c>
      <c r="B154" s="350" t="s">
        <v>500</v>
      </c>
      <c r="C154" s="351" t="s">
        <v>384</v>
      </c>
      <c r="D154" s="352" t="s">
        <v>501</v>
      </c>
      <c r="E154" s="351" t="s">
        <v>1137</v>
      </c>
      <c r="F154" s="352" t="s">
        <v>1138</v>
      </c>
      <c r="G154" s="351" t="s">
        <v>806</v>
      </c>
      <c r="H154" s="351" t="s">
        <v>807</v>
      </c>
      <c r="I154" s="353">
        <v>50.12</v>
      </c>
      <c r="J154" s="353">
        <v>1044</v>
      </c>
      <c r="K154" s="354">
        <v>52322.47</v>
      </c>
    </row>
    <row r="155" spans="1:11" ht="14.4" customHeight="1" x14ac:dyDescent="0.3">
      <c r="A155" s="349" t="s">
        <v>379</v>
      </c>
      <c r="B155" s="350" t="s">
        <v>500</v>
      </c>
      <c r="C155" s="351" t="s">
        <v>384</v>
      </c>
      <c r="D155" s="352" t="s">
        <v>501</v>
      </c>
      <c r="E155" s="351" t="s">
        <v>1137</v>
      </c>
      <c r="F155" s="352" t="s">
        <v>1138</v>
      </c>
      <c r="G155" s="351" t="s">
        <v>808</v>
      </c>
      <c r="H155" s="351" t="s">
        <v>809</v>
      </c>
      <c r="I155" s="353">
        <v>50.12</v>
      </c>
      <c r="J155" s="353">
        <v>360</v>
      </c>
      <c r="K155" s="354">
        <v>18042.11</v>
      </c>
    </row>
    <row r="156" spans="1:11" ht="14.4" customHeight="1" x14ac:dyDescent="0.3">
      <c r="A156" s="349" t="s">
        <v>379</v>
      </c>
      <c r="B156" s="350" t="s">
        <v>500</v>
      </c>
      <c r="C156" s="351" t="s">
        <v>384</v>
      </c>
      <c r="D156" s="352" t="s">
        <v>501</v>
      </c>
      <c r="E156" s="351" t="s">
        <v>1137</v>
      </c>
      <c r="F156" s="352" t="s">
        <v>1138</v>
      </c>
      <c r="G156" s="351" t="s">
        <v>810</v>
      </c>
      <c r="H156" s="351" t="s">
        <v>811</v>
      </c>
      <c r="I156" s="353">
        <v>34.880000000000003</v>
      </c>
      <c r="J156" s="353">
        <v>2520</v>
      </c>
      <c r="K156" s="354">
        <v>87896.7</v>
      </c>
    </row>
    <row r="157" spans="1:11" ht="14.4" customHeight="1" x14ac:dyDescent="0.3">
      <c r="A157" s="349" t="s">
        <v>379</v>
      </c>
      <c r="B157" s="350" t="s">
        <v>500</v>
      </c>
      <c r="C157" s="351" t="s">
        <v>384</v>
      </c>
      <c r="D157" s="352" t="s">
        <v>501</v>
      </c>
      <c r="E157" s="351" t="s">
        <v>1137</v>
      </c>
      <c r="F157" s="352" t="s">
        <v>1138</v>
      </c>
      <c r="G157" s="351" t="s">
        <v>812</v>
      </c>
      <c r="H157" s="351" t="s">
        <v>813</v>
      </c>
      <c r="I157" s="353">
        <v>50.12</v>
      </c>
      <c r="J157" s="353">
        <v>1728</v>
      </c>
      <c r="K157" s="354">
        <v>86603.26</v>
      </c>
    </row>
    <row r="158" spans="1:11" ht="14.4" customHeight="1" x14ac:dyDescent="0.3">
      <c r="A158" s="349" t="s">
        <v>379</v>
      </c>
      <c r="B158" s="350" t="s">
        <v>500</v>
      </c>
      <c r="C158" s="351" t="s">
        <v>384</v>
      </c>
      <c r="D158" s="352" t="s">
        <v>501</v>
      </c>
      <c r="E158" s="351" t="s">
        <v>1137</v>
      </c>
      <c r="F158" s="352" t="s">
        <v>1138</v>
      </c>
      <c r="G158" s="351" t="s">
        <v>814</v>
      </c>
      <c r="H158" s="351" t="s">
        <v>815</v>
      </c>
      <c r="I158" s="353">
        <v>36.19</v>
      </c>
      <c r="J158" s="353">
        <v>528</v>
      </c>
      <c r="K158" s="354">
        <v>19108.59</v>
      </c>
    </row>
    <row r="159" spans="1:11" ht="14.4" customHeight="1" x14ac:dyDescent="0.3">
      <c r="A159" s="349" t="s">
        <v>379</v>
      </c>
      <c r="B159" s="350" t="s">
        <v>500</v>
      </c>
      <c r="C159" s="351" t="s">
        <v>384</v>
      </c>
      <c r="D159" s="352" t="s">
        <v>501</v>
      </c>
      <c r="E159" s="351" t="s">
        <v>1137</v>
      </c>
      <c r="F159" s="352" t="s">
        <v>1138</v>
      </c>
      <c r="G159" s="351" t="s">
        <v>816</v>
      </c>
      <c r="H159" s="351" t="s">
        <v>817</v>
      </c>
      <c r="I159" s="353">
        <v>245.97</v>
      </c>
      <c r="J159" s="353">
        <v>24</v>
      </c>
      <c r="K159" s="354">
        <v>5903.25</v>
      </c>
    </row>
    <row r="160" spans="1:11" ht="14.4" customHeight="1" x14ac:dyDescent="0.3">
      <c r="A160" s="349" t="s">
        <v>379</v>
      </c>
      <c r="B160" s="350" t="s">
        <v>500</v>
      </c>
      <c r="C160" s="351" t="s">
        <v>384</v>
      </c>
      <c r="D160" s="352" t="s">
        <v>501</v>
      </c>
      <c r="E160" s="351" t="s">
        <v>1137</v>
      </c>
      <c r="F160" s="352" t="s">
        <v>1138</v>
      </c>
      <c r="G160" s="351" t="s">
        <v>818</v>
      </c>
      <c r="H160" s="351" t="s">
        <v>819</v>
      </c>
      <c r="I160" s="353">
        <v>34.119999999999997</v>
      </c>
      <c r="J160" s="353">
        <v>144</v>
      </c>
      <c r="K160" s="354">
        <v>4913.32</v>
      </c>
    </row>
    <row r="161" spans="1:11" ht="14.4" customHeight="1" x14ac:dyDescent="0.3">
      <c r="A161" s="349" t="s">
        <v>379</v>
      </c>
      <c r="B161" s="350" t="s">
        <v>500</v>
      </c>
      <c r="C161" s="351" t="s">
        <v>384</v>
      </c>
      <c r="D161" s="352" t="s">
        <v>501</v>
      </c>
      <c r="E161" s="351" t="s">
        <v>1137</v>
      </c>
      <c r="F161" s="352" t="s">
        <v>1138</v>
      </c>
      <c r="G161" s="351" t="s">
        <v>820</v>
      </c>
      <c r="H161" s="351" t="s">
        <v>821</v>
      </c>
      <c r="I161" s="353">
        <v>216.29</v>
      </c>
      <c r="J161" s="353">
        <v>288</v>
      </c>
      <c r="K161" s="354">
        <v>62290.45</v>
      </c>
    </row>
    <row r="162" spans="1:11" ht="14.4" customHeight="1" x14ac:dyDescent="0.3">
      <c r="A162" s="349" t="s">
        <v>379</v>
      </c>
      <c r="B162" s="350" t="s">
        <v>500</v>
      </c>
      <c r="C162" s="351" t="s">
        <v>384</v>
      </c>
      <c r="D162" s="352" t="s">
        <v>501</v>
      </c>
      <c r="E162" s="351" t="s">
        <v>1137</v>
      </c>
      <c r="F162" s="352" t="s">
        <v>1138</v>
      </c>
      <c r="G162" s="351" t="s">
        <v>822</v>
      </c>
      <c r="H162" s="351" t="s">
        <v>823</v>
      </c>
      <c r="I162" s="353">
        <v>31.36</v>
      </c>
      <c r="J162" s="353">
        <v>2160</v>
      </c>
      <c r="K162" s="354">
        <v>67742.849999999991</v>
      </c>
    </row>
    <row r="163" spans="1:11" ht="14.4" customHeight="1" x14ac:dyDescent="0.3">
      <c r="A163" s="349" t="s">
        <v>379</v>
      </c>
      <c r="B163" s="350" t="s">
        <v>500</v>
      </c>
      <c r="C163" s="351" t="s">
        <v>384</v>
      </c>
      <c r="D163" s="352" t="s">
        <v>501</v>
      </c>
      <c r="E163" s="351" t="s">
        <v>1137</v>
      </c>
      <c r="F163" s="352" t="s">
        <v>1138</v>
      </c>
      <c r="G163" s="351" t="s">
        <v>824</v>
      </c>
      <c r="H163" s="351" t="s">
        <v>825</v>
      </c>
      <c r="I163" s="353">
        <v>99.35</v>
      </c>
      <c r="J163" s="353">
        <v>144</v>
      </c>
      <c r="K163" s="354">
        <v>14306.32</v>
      </c>
    </row>
    <row r="164" spans="1:11" ht="14.4" customHeight="1" x14ac:dyDescent="0.3">
      <c r="A164" s="349" t="s">
        <v>379</v>
      </c>
      <c r="B164" s="350" t="s">
        <v>500</v>
      </c>
      <c r="C164" s="351" t="s">
        <v>384</v>
      </c>
      <c r="D164" s="352" t="s">
        <v>501</v>
      </c>
      <c r="E164" s="351" t="s">
        <v>1137</v>
      </c>
      <c r="F164" s="352" t="s">
        <v>1138</v>
      </c>
      <c r="G164" s="351" t="s">
        <v>826</v>
      </c>
      <c r="H164" s="351" t="s">
        <v>827</v>
      </c>
      <c r="I164" s="353">
        <v>30.32</v>
      </c>
      <c r="J164" s="353">
        <v>3840</v>
      </c>
      <c r="K164" s="354">
        <v>116421.53</v>
      </c>
    </row>
    <row r="165" spans="1:11" ht="14.4" customHeight="1" x14ac:dyDescent="0.3">
      <c r="A165" s="349" t="s">
        <v>379</v>
      </c>
      <c r="B165" s="350" t="s">
        <v>500</v>
      </c>
      <c r="C165" s="351" t="s">
        <v>384</v>
      </c>
      <c r="D165" s="352" t="s">
        <v>501</v>
      </c>
      <c r="E165" s="351" t="s">
        <v>1137</v>
      </c>
      <c r="F165" s="352" t="s">
        <v>1138</v>
      </c>
      <c r="G165" s="351" t="s">
        <v>828</v>
      </c>
      <c r="H165" s="351" t="s">
        <v>829</v>
      </c>
      <c r="I165" s="353">
        <v>32.409999999999997</v>
      </c>
      <c r="J165" s="353">
        <v>600</v>
      </c>
      <c r="K165" s="354">
        <v>19445.349999999999</v>
      </c>
    </row>
    <row r="166" spans="1:11" ht="14.4" customHeight="1" x14ac:dyDescent="0.3">
      <c r="A166" s="349" t="s">
        <v>379</v>
      </c>
      <c r="B166" s="350" t="s">
        <v>500</v>
      </c>
      <c r="C166" s="351" t="s">
        <v>384</v>
      </c>
      <c r="D166" s="352" t="s">
        <v>501</v>
      </c>
      <c r="E166" s="351" t="s">
        <v>1137</v>
      </c>
      <c r="F166" s="352" t="s">
        <v>1138</v>
      </c>
      <c r="G166" s="351" t="s">
        <v>830</v>
      </c>
      <c r="H166" s="351" t="s">
        <v>831</v>
      </c>
      <c r="I166" s="353">
        <v>151.28</v>
      </c>
      <c r="J166" s="353">
        <v>180</v>
      </c>
      <c r="K166" s="354">
        <v>27230.53</v>
      </c>
    </row>
    <row r="167" spans="1:11" ht="14.4" customHeight="1" x14ac:dyDescent="0.3">
      <c r="A167" s="349" t="s">
        <v>379</v>
      </c>
      <c r="B167" s="350" t="s">
        <v>500</v>
      </c>
      <c r="C167" s="351" t="s">
        <v>384</v>
      </c>
      <c r="D167" s="352" t="s">
        <v>501</v>
      </c>
      <c r="E167" s="351" t="s">
        <v>1137</v>
      </c>
      <c r="F167" s="352" t="s">
        <v>1138</v>
      </c>
      <c r="G167" s="351" t="s">
        <v>832</v>
      </c>
      <c r="H167" s="351" t="s">
        <v>833</v>
      </c>
      <c r="I167" s="353">
        <v>26.9</v>
      </c>
      <c r="J167" s="353">
        <v>100</v>
      </c>
      <c r="K167" s="354">
        <v>2690.2</v>
      </c>
    </row>
    <row r="168" spans="1:11" ht="14.4" customHeight="1" x14ac:dyDescent="0.3">
      <c r="A168" s="349" t="s">
        <v>379</v>
      </c>
      <c r="B168" s="350" t="s">
        <v>500</v>
      </c>
      <c r="C168" s="351" t="s">
        <v>384</v>
      </c>
      <c r="D168" s="352" t="s">
        <v>501</v>
      </c>
      <c r="E168" s="351" t="s">
        <v>1137</v>
      </c>
      <c r="F168" s="352" t="s">
        <v>1138</v>
      </c>
      <c r="G168" s="351" t="s">
        <v>834</v>
      </c>
      <c r="H168" s="351" t="s">
        <v>835</v>
      </c>
      <c r="I168" s="353">
        <v>45.38</v>
      </c>
      <c r="J168" s="353">
        <v>288</v>
      </c>
      <c r="K168" s="354">
        <v>13069.16</v>
      </c>
    </row>
    <row r="169" spans="1:11" ht="14.4" customHeight="1" x14ac:dyDescent="0.3">
      <c r="A169" s="349" t="s">
        <v>379</v>
      </c>
      <c r="B169" s="350" t="s">
        <v>500</v>
      </c>
      <c r="C169" s="351" t="s">
        <v>384</v>
      </c>
      <c r="D169" s="352" t="s">
        <v>501</v>
      </c>
      <c r="E169" s="351" t="s">
        <v>1137</v>
      </c>
      <c r="F169" s="352" t="s">
        <v>1138</v>
      </c>
      <c r="G169" s="351" t="s">
        <v>836</v>
      </c>
      <c r="H169" s="351" t="s">
        <v>837</v>
      </c>
      <c r="I169" s="353">
        <v>97.83</v>
      </c>
      <c r="J169" s="353">
        <v>60</v>
      </c>
      <c r="K169" s="354">
        <v>5869.95</v>
      </c>
    </row>
    <row r="170" spans="1:11" ht="14.4" customHeight="1" x14ac:dyDescent="0.3">
      <c r="A170" s="349" t="s">
        <v>379</v>
      </c>
      <c r="B170" s="350" t="s">
        <v>500</v>
      </c>
      <c r="C170" s="351" t="s">
        <v>384</v>
      </c>
      <c r="D170" s="352" t="s">
        <v>501</v>
      </c>
      <c r="E170" s="351" t="s">
        <v>1137</v>
      </c>
      <c r="F170" s="352" t="s">
        <v>1138</v>
      </c>
      <c r="G170" s="351" t="s">
        <v>838</v>
      </c>
      <c r="H170" s="351" t="s">
        <v>839</v>
      </c>
      <c r="I170" s="353">
        <v>35.67</v>
      </c>
      <c r="J170" s="353">
        <v>40</v>
      </c>
      <c r="K170" s="354">
        <v>1426.99</v>
      </c>
    </row>
    <row r="171" spans="1:11" ht="14.4" customHeight="1" x14ac:dyDescent="0.3">
      <c r="A171" s="349" t="s">
        <v>379</v>
      </c>
      <c r="B171" s="350" t="s">
        <v>500</v>
      </c>
      <c r="C171" s="351" t="s">
        <v>384</v>
      </c>
      <c r="D171" s="352" t="s">
        <v>501</v>
      </c>
      <c r="E171" s="351" t="s">
        <v>1137</v>
      </c>
      <c r="F171" s="352" t="s">
        <v>1138</v>
      </c>
      <c r="G171" s="351" t="s">
        <v>840</v>
      </c>
      <c r="H171" s="351" t="s">
        <v>841</v>
      </c>
      <c r="I171" s="353">
        <v>50.12</v>
      </c>
      <c r="J171" s="353">
        <v>432</v>
      </c>
      <c r="K171" s="354">
        <v>21650.54</v>
      </c>
    </row>
    <row r="172" spans="1:11" ht="14.4" customHeight="1" x14ac:dyDescent="0.3">
      <c r="A172" s="349" t="s">
        <v>379</v>
      </c>
      <c r="B172" s="350" t="s">
        <v>500</v>
      </c>
      <c r="C172" s="351" t="s">
        <v>384</v>
      </c>
      <c r="D172" s="352" t="s">
        <v>501</v>
      </c>
      <c r="E172" s="351" t="s">
        <v>1137</v>
      </c>
      <c r="F172" s="352" t="s">
        <v>1138</v>
      </c>
      <c r="G172" s="351" t="s">
        <v>842</v>
      </c>
      <c r="H172" s="351" t="s">
        <v>843</v>
      </c>
      <c r="I172" s="353">
        <v>54.11</v>
      </c>
      <c r="J172" s="353">
        <v>252</v>
      </c>
      <c r="K172" s="354">
        <v>13635.09</v>
      </c>
    </row>
    <row r="173" spans="1:11" ht="14.4" customHeight="1" x14ac:dyDescent="0.3">
      <c r="A173" s="349" t="s">
        <v>379</v>
      </c>
      <c r="B173" s="350" t="s">
        <v>500</v>
      </c>
      <c r="C173" s="351" t="s">
        <v>384</v>
      </c>
      <c r="D173" s="352" t="s">
        <v>501</v>
      </c>
      <c r="E173" s="351" t="s">
        <v>1137</v>
      </c>
      <c r="F173" s="352" t="s">
        <v>1138</v>
      </c>
      <c r="G173" s="351" t="s">
        <v>844</v>
      </c>
      <c r="H173" s="351" t="s">
        <v>845</v>
      </c>
      <c r="I173" s="353">
        <v>357.95</v>
      </c>
      <c r="J173" s="353">
        <v>564</v>
      </c>
      <c r="K173" s="354">
        <v>201883.80000000002</v>
      </c>
    </row>
    <row r="174" spans="1:11" ht="14.4" customHeight="1" x14ac:dyDescent="0.3">
      <c r="A174" s="349" t="s">
        <v>379</v>
      </c>
      <c r="B174" s="350" t="s">
        <v>500</v>
      </c>
      <c r="C174" s="351" t="s">
        <v>384</v>
      </c>
      <c r="D174" s="352" t="s">
        <v>501</v>
      </c>
      <c r="E174" s="351" t="s">
        <v>1137</v>
      </c>
      <c r="F174" s="352" t="s">
        <v>1138</v>
      </c>
      <c r="G174" s="351" t="s">
        <v>846</v>
      </c>
      <c r="H174" s="351" t="s">
        <v>847</v>
      </c>
      <c r="I174" s="353">
        <v>141.19999999999999</v>
      </c>
      <c r="J174" s="353">
        <v>156</v>
      </c>
      <c r="K174" s="354">
        <v>22027.33</v>
      </c>
    </row>
    <row r="175" spans="1:11" ht="14.4" customHeight="1" x14ac:dyDescent="0.3">
      <c r="A175" s="349" t="s">
        <v>379</v>
      </c>
      <c r="B175" s="350" t="s">
        <v>500</v>
      </c>
      <c r="C175" s="351" t="s">
        <v>384</v>
      </c>
      <c r="D175" s="352" t="s">
        <v>501</v>
      </c>
      <c r="E175" s="351" t="s">
        <v>1137</v>
      </c>
      <c r="F175" s="352" t="s">
        <v>1138</v>
      </c>
      <c r="G175" s="351" t="s">
        <v>848</v>
      </c>
      <c r="H175" s="351" t="s">
        <v>849</v>
      </c>
      <c r="I175" s="353">
        <v>263.54000000000002</v>
      </c>
      <c r="J175" s="353">
        <v>36</v>
      </c>
      <c r="K175" s="354">
        <v>9487.41</v>
      </c>
    </row>
    <row r="176" spans="1:11" ht="14.4" customHeight="1" x14ac:dyDescent="0.3">
      <c r="A176" s="349" t="s">
        <v>379</v>
      </c>
      <c r="B176" s="350" t="s">
        <v>500</v>
      </c>
      <c r="C176" s="351" t="s">
        <v>384</v>
      </c>
      <c r="D176" s="352" t="s">
        <v>501</v>
      </c>
      <c r="E176" s="351" t="s">
        <v>1137</v>
      </c>
      <c r="F176" s="352" t="s">
        <v>1138</v>
      </c>
      <c r="G176" s="351" t="s">
        <v>850</v>
      </c>
      <c r="H176" s="351" t="s">
        <v>851</v>
      </c>
      <c r="I176" s="353">
        <v>77.02</v>
      </c>
      <c r="J176" s="353">
        <v>216</v>
      </c>
      <c r="K176" s="354">
        <v>16635.349999999999</v>
      </c>
    </row>
    <row r="177" spans="1:11" ht="14.4" customHeight="1" x14ac:dyDescent="0.3">
      <c r="A177" s="349" t="s">
        <v>379</v>
      </c>
      <c r="B177" s="350" t="s">
        <v>500</v>
      </c>
      <c r="C177" s="351" t="s">
        <v>384</v>
      </c>
      <c r="D177" s="352" t="s">
        <v>501</v>
      </c>
      <c r="E177" s="351" t="s">
        <v>1137</v>
      </c>
      <c r="F177" s="352" t="s">
        <v>1138</v>
      </c>
      <c r="G177" s="351" t="s">
        <v>852</v>
      </c>
      <c r="H177" s="351" t="s">
        <v>853</v>
      </c>
      <c r="I177" s="353">
        <v>70.73</v>
      </c>
      <c r="J177" s="353">
        <v>216</v>
      </c>
      <c r="K177" s="354">
        <v>15277.68</v>
      </c>
    </row>
    <row r="178" spans="1:11" ht="14.4" customHeight="1" x14ac:dyDescent="0.3">
      <c r="A178" s="349" t="s">
        <v>379</v>
      </c>
      <c r="B178" s="350" t="s">
        <v>500</v>
      </c>
      <c r="C178" s="351" t="s">
        <v>384</v>
      </c>
      <c r="D178" s="352" t="s">
        <v>501</v>
      </c>
      <c r="E178" s="351" t="s">
        <v>1137</v>
      </c>
      <c r="F178" s="352" t="s">
        <v>1138</v>
      </c>
      <c r="G178" s="351" t="s">
        <v>854</v>
      </c>
      <c r="H178" s="351" t="s">
        <v>855</v>
      </c>
      <c r="I178" s="353">
        <v>42.67</v>
      </c>
      <c r="J178" s="353">
        <v>96</v>
      </c>
      <c r="K178" s="354">
        <v>4095.84</v>
      </c>
    </row>
    <row r="179" spans="1:11" ht="14.4" customHeight="1" x14ac:dyDescent="0.3">
      <c r="A179" s="349" t="s">
        <v>379</v>
      </c>
      <c r="B179" s="350" t="s">
        <v>500</v>
      </c>
      <c r="C179" s="351" t="s">
        <v>384</v>
      </c>
      <c r="D179" s="352" t="s">
        <v>501</v>
      </c>
      <c r="E179" s="351" t="s">
        <v>1137</v>
      </c>
      <c r="F179" s="352" t="s">
        <v>1138</v>
      </c>
      <c r="G179" s="351" t="s">
        <v>856</v>
      </c>
      <c r="H179" s="351" t="s">
        <v>857</v>
      </c>
      <c r="I179" s="353">
        <v>181.42</v>
      </c>
      <c r="J179" s="353">
        <v>72</v>
      </c>
      <c r="K179" s="354">
        <v>13061.94</v>
      </c>
    </row>
    <row r="180" spans="1:11" ht="14.4" customHeight="1" x14ac:dyDescent="0.3">
      <c r="A180" s="349" t="s">
        <v>379</v>
      </c>
      <c r="B180" s="350" t="s">
        <v>500</v>
      </c>
      <c r="C180" s="351" t="s">
        <v>384</v>
      </c>
      <c r="D180" s="352" t="s">
        <v>501</v>
      </c>
      <c r="E180" s="351" t="s">
        <v>1137</v>
      </c>
      <c r="F180" s="352" t="s">
        <v>1138</v>
      </c>
      <c r="G180" s="351" t="s">
        <v>858</v>
      </c>
      <c r="H180" s="351" t="s">
        <v>859</v>
      </c>
      <c r="I180" s="353">
        <v>50.12</v>
      </c>
      <c r="J180" s="353">
        <v>288</v>
      </c>
      <c r="K180" s="354">
        <v>14433.7</v>
      </c>
    </row>
    <row r="181" spans="1:11" ht="14.4" customHeight="1" x14ac:dyDescent="0.3">
      <c r="A181" s="349" t="s">
        <v>379</v>
      </c>
      <c r="B181" s="350" t="s">
        <v>500</v>
      </c>
      <c r="C181" s="351" t="s">
        <v>384</v>
      </c>
      <c r="D181" s="352" t="s">
        <v>501</v>
      </c>
      <c r="E181" s="351" t="s">
        <v>1137</v>
      </c>
      <c r="F181" s="352" t="s">
        <v>1138</v>
      </c>
      <c r="G181" s="351" t="s">
        <v>860</v>
      </c>
      <c r="H181" s="351" t="s">
        <v>861</v>
      </c>
      <c r="I181" s="353">
        <v>31.36</v>
      </c>
      <c r="J181" s="353">
        <v>1440</v>
      </c>
      <c r="K181" s="354">
        <v>45163.270000000004</v>
      </c>
    </row>
    <row r="182" spans="1:11" ht="14.4" customHeight="1" x14ac:dyDescent="0.3">
      <c r="A182" s="349" t="s">
        <v>379</v>
      </c>
      <c r="B182" s="350" t="s">
        <v>500</v>
      </c>
      <c r="C182" s="351" t="s">
        <v>384</v>
      </c>
      <c r="D182" s="352" t="s">
        <v>501</v>
      </c>
      <c r="E182" s="351" t="s">
        <v>1137</v>
      </c>
      <c r="F182" s="352" t="s">
        <v>1138</v>
      </c>
      <c r="G182" s="351" t="s">
        <v>862</v>
      </c>
      <c r="H182" s="351" t="s">
        <v>863</v>
      </c>
      <c r="I182" s="353">
        <v>161.16999999999999</v>
      </c>
      <c r="J182" s="353">
        <v>576</v>
      </c>
      <c r="K182" s="354">
        <v>92833.959999999992</v>
      </c>
    </row>
    <row r="183" spans="1:11" ht="14.4" customHeight="1" x14ac:dyDescent="0.3">
      <c r="A183" s="349" t="s">
        <v>379</v>
      </c>
      <c r="B183" s="350" t="s">
        <v>500</v>
      </c>
      <c r="C183" s="351" t="s">
        <v>384</v>
      </c>
      <c r="D183" s="352" t="s">
        <v>501</v>
      </c>
      <c r="E183" s="351" t="s">
        <v>1137</v>
      </c>
      <c r="F183" s="352" t="s">
        <v>1138</v>
      </c>
      <c r="G183" s="351" t="s">
        <v>864</v>
      </c>
      <c r="H183" s="351" t="s">
        <v>865</v>
      </c>
      <c r="I183" s="353">
        <v>129.63999999999999</v>
      </c>
      <c r="J183" s="353">
        <v>288</v>
      </c>
      <c r="K183" s="354">
        <v>37337.019999999997</v>
      </c>
    </row>
    <row r="184" spans="1:11" ht="14.4" customHeight="1" x14ac:dyDescent="0.3">
      <c r="A184" s="349" t="s">
        <v>379</v>
      </c>
      <c r="B184" s="350" t="s">
        <v>500</v>
      </c>
      <c r="C184" s="351" t="s">
        <v>384</v>
      </c>
      <c r="D184" s="352" t="s">
        <v>501</v>
      </c>
      <c r="E184" s="351" t="s">
        <v>1137</v>
      </c>
      <c r="F184" s="352" t="s">
        <v>1138</v>
      </c>
      <c r="G184" s="351" t="s">
        <v>866</v>
      </c>
      <c r="H184" s="351" t="s">
        <v>867</v>
      </c>
      <c r="I184" s="353">
        <v>130.97999999999999</v>
      </c>
      <c r="J184" s="353">
        <v>180</v>
      </c>
      <c r="K184" s="354">
        <v>23575.58</v>
      </c>
    </row>
    <row r="185" spans="1:11" ht="14.4" customHeight="1" x14ac:dyDescent="0.3">
      <c r="A185" s="349" t="s">
        <v>379</v>
      </c>
      <c r="B185" s="350" t="s">
        <v>500</v>
      </c>
      <c r="C185" s="351" t="s">
        <v>384</v>
      </c>
      <c r="D185" s="352" t="s">
        <v>501</v>
      </c>
      <c r="E185" s="351" t="s">
        <v>1137</v>
      </c>
      <c r="F185" s="352" t="s">
        <v>1138</v>
      </c>
      <c r="G185" s="351" t="s">
        <v>868</v>
      </c>
      <c r="H185" s="351" t="s">
        <v>869</v>
      </c>
      <c r="I185" s="353">
        <v>146.93</v>
      </c>
      <c r="J185" s="353">
        <v>72</v>
      </c>
      <c r="K185" s="354">
        <v>10579.29</v>
      </c>
    </row>
    <row r="186" spans="1:11" ht="14.4" customHeight="1" x14ac:dyDescent="0.3">
      <c r="A186" s="349" t="s">
        <v>379</v>
      </c>
      <c r="B186" s="350" t="s">
        <v>500</v>
      </c>
      <c r="C186" s="351" t="s">
        <v>384</v>
      </c>
      <c r="D186" s="352" t="s">
        <v>501</v>
      </c>
      <c r="E186" s="351" t="s">
        <v>1137</v>
      </c>
      <c r="F186" s="352" t="s">
        <v>1138</v>
      </c>
      <c r="G186" s="351" t="s">
        <v>870</v>
      </c>
      <c r="H186" s="351" t="s">
        <v>871</v>
      </c>
      <c r="I186" s="353">
        <v>131.68</v>
      </c>
      <c r="J186" s="353">
        <v>72</v>
      </c>
      <c r="K186" s="354">
        <v>9480.74</v>
      </c>
    </row>
    <row r="187" spans="1:11" ht="14.4" customHeight="1" x14ac:dyDescent="0.3">
      <c r="A187" s="349" t="s">
        <v>379</v>
      </c>
      <c r="B187" s="350" t="s">
        <v>500</v>
      </c>
      <c r="C187" s="351" t="s">
        <v>384</v>
      </c>
      <c r="D187" s="352" t="s">
        <v>501</v>
      </c>
      <c r="E187" s="351" t="s">
        <v>1137</v>
      </c>
      <c r="F187" s="352" t="s">
        <v>1138</v>
      </c>
      <c r="G187" s="351" t="s">
        <v>872</v>
      </c>
      <c r="H187" s="351" t="s">
        <v>873</v>
      </c>
      <c r="I187" s="353">
        <v>189.47</v>
      </c>
      <c r="J187" s="353">
        <v>72</v>
      </c>
      <c r="K187" s="354">
        <v>13641.86</v>
      </c>
    </row>
    <row r="188" spans="1:11" ht="14.4" customHeight="1" x14ac:dyDescent="0.3">
      <c r="A188" s="349" t="s">
        <v>379</v>
      </c>
      <c r="B188" s="350" t="s">
        <v>500</v>
      </c>
      <c r="C188" s="351" t="s">
        <v>384</v>
      </c>
      <c r="D188" s="352" t="s">
        <v>501</v>
      </c>
      <c r="E188" s="351" t="s">
        <v>1137</v>
      </c>
      <c r="F188" s="352" t="s">
        <v>1138</v>
      </c>
      <c r="G188" s="351" t="s">
        <v>874</v>
      </c>
      <c r="H188" s="351" t="s">
        <v>875</v>
      </c>
      <c r="I188" s="353">
        <v>44.53</v>
      </c>
      <c r="J188" s="353">
        <v>288</v>
      </c>
      <c r="K188" s="354">
        <v>12824.06</v>
      </c>
    </row>
    <row r="189" spans="1:11" ht="14.4" customHeight="1" x14ac:dyDescent="0.3">
      <c r="A189" s="349" t="s">
        <v>379</v>
      </c>
      <c r="B189" s="350" t="s">
        <v>500</v>
      </c>
      <c r="C189" s="351" t="s">
        <v>384</v>
      </c>
      <c r="D189" s="352" t="s">
        <v>501</v>
      </c>
      <c r="E189" s="351" t="s">
        <v>1137</v>
      </c>
      <c r="F189" s="352" t="s">
        <v>1138</v>
      </c>
      <c r="G189" s="351" t="s">
        <v>876</v>
      </c>
      <c r="H189" s="351" t="s">
        <v>877</v>
      </c>
      <c r="I189" s="353">
        <v>263.54000000000002</v>
      </c>
      <c r="J189" s="353">
        <v>36</v>
      </c>
      <c r="K189" s="354">
        <v>9487.4</v>
      </c>
    </row>
    <row r="190" spans="1:11" ht="14.4" customHeight="1" x14ac:dyDescent="0.3">
      <c r="A190" s="349" t="s">
        <v>379</v>
      </c>
      <c r="B190" s="350" t="s">
        <v>500</v>
      </c>
      <c r="C190" s="351" t="s">
        <v>384</v>
      </c>
      <c r="D190" s="352" t="s">
        <v>501</v>
      </c>
      <c r="E190" s="351" t="s">
        <v>1137</v>
      </c>
      <c r="F190" s="352" t="s">
        <v>1138</v>
      </c>
      <c r="G190" s="351" t="s">
        <v>878</v>
      </c>
      <c r="H190" s="351" t="s">
        <v>879</v>
      </c>
      <c r="I190" s="353">
        <v>86.25</v>
      </c>
      <c r="J190" s="353">
        <v>720</v>
      </c>
      <c r="K190" s="354">
        <v>62100</v>
      </c>
    </row>
    <row r="191" spans="1:11" ht="14.4" customHeight="1" x14ac:dyDescent="0.3">
      <c r="A191" s="349" t="s">
        <v>379</v>
      </c>
      <c r="B191" s="350" t="s">
        <v>500</v>
      </c>
      <c r="C191" s="351" t="s">
        <v>384</v>
      </c>
      <c r="D191" s="352" t="s">
        <v>501</v>
      </c>
      <c r="E191" s="351" t="s">
        <v>1137</v>
      </c>
      <c r="F191" s="352" t="s">
        <v>1138</v>
      </c>
      <c r="G191" s="351" t="s">
        <v>880</v>
      </c>
      <c r="H191" s="351" t="s">
        <v>881</v>
      </c>
      <c r="I191" s="353">
        <v>34.840000000000003</v>
      </c>
      <c r="J191" s="353">
        <v>36</v>
      </c>
      <c r="K191" s="354">
        <v>1254.24</v>
      </c>
    </row>
    <row r="192" spans="1:11" ht="14.4" customHeight="1" x14ac:dyDescent="0.3">
      <c r="A192" s="349" t="s">
        <v>379</v>
      </c>
      <c r="B192" s="350" t="s">
        <v>500</v>
      </c>
      <c r="C192" s="351" t="s">
        <v>384</v>
      </c>
      <c r="D192" s="352" t="s">
        <v>501</v>
      </c>
      <c r="E192" s="351" t="s">
        <v>1137</v>
      </c>
      <c r="F192" s="352" t="s">
        <v>1138</v>
      </c>
      <c r="G192" s="351" t="s">
        <v>882</v>
      </c>
      <c r="H192" s="351" t="s">
        <v>883</v>
      </c>
      <c r="I192" s="353">
        <v>75.040000000000006</v>
      </c>
      <c r="J192" s="353">
        <v>324</v>
      </c>
      <c r="K192" s="354">
        <v>24312.42</v>
      </c>
    </row>
    <row r="193" spans="1:11" ht="14.4" customHeight="1" x14ac:dyDescent="0.3">
      <c r="A193" s="349" t="s">
        <v>379</v>
      </c>
      <c r="B193" s="350" t="s">
        <v>500</v>
      </c>
      <c r="C193" s="351" t="s">
        <v>384</v>
      </c>
      <c r="D193" s="352" t="s">
        <v>501</v>
      </c>
      <c r="E193" s="351" t="s">
        <v>1137</v>
      </c>
      <c r="F193" s="352" t="s">
        <v>1138</v>
      </c>
      <c r="G193" s="351" t="s">
        <v>884</v>
      </c>
      <c r="H193" s="351" t="s">
        <v>885</v>
      </c>
      <c r="I193" s="353">
        <v>177.26</v>
      </c>
      <c r="J193" s="353">
        <v>72</v>
      </c>
      <c r="K193" s="354">
        <v>12763</v>
      </c>
    </row>
    <row r="194" spans="1:11" ht="14.4" customHeight="1" x14ac:dyDescent="0.3">
      <c r="A194" s="349" t="s">
        <v>379</v>
      </c>
      <c r="B194" s="350" t="s">
        <v>500</v>
      </c>
      <c r="C194" s="351" t="s">
        <v>384</v>
      </c>
      <c r="D194" s="352" t="s">
        <v>501</v>
      </c>
      <c r="E194" s="351" t="s">
        <v>1137</v>
      </c>
      <c r="F194" s="352" t="s">
        <v>1138</v>
      </c>
      <c r="G194" s="351" t="s">
        <v>886</v>
      </c>
      <c r="H194" s="351" t="s">
        <v>887</v>
      </c>
      <c r="I194" s="353">
        <v>393.27</v>
      </c>
      <c r="J194" s="353">
        <v>72</v>
      </c>
      <c r="K194" s="354">
        <v>28315.67</v>
      </c>
    </row>
    <row r="195" spans="1:11" ht="14.4" customHeight="1" x14ac:dyDescent="0.3">
      <c r="A195" s="349" t="s">
        <v>379</v>
      </c>
      <c r="B195" s="350" t="s">
        <v>500</v>
      </c>
      <c r="C195" s="351" t="s">
        <v>384</v>
      </c>
      <c r="D195" s="352" t="s">
        <v>501</v>
      </c>
      <c r="E195" s="351" t="s">
        <v>1137</v>
      </c>
      <c r="F195" s="352" t="s">
        <v>1138</v>
      </c>
      <c r="G195" s="351" t="s">
        <v>888</v>
      </c>
      <c r="H195" s="351" t="s">
        <v>889</v>
      </c>
      <c r="I195" s="353">
        <v>46.96</v>
      </c>
      <c r="J195" s="353">
        <v>72</v>
      </c>
      <c r="K195" s="354">
        <v>3381</v>
      </c>
    </row>
    <row r="196" spans="1:11" ht="14.4" customHeight="1" x14ac:dyDescent="0.3">
      <c r="A196" s="349" t="s">
        <v>379</v>
      </c>
      <c r="B196" s="350" t="s">
        <v>500</v>
      </c>
      <c r="C196" s="351" t="s">
        <v>384</v>
      </c>
      <c r="D196" s="352" t="s">
        <v>501</v>
      </c>
      <c r="E196" s="351" t="s">
        <v>1137</v>
      </c>
      <c r="F196" s="352" t="s">
        <v>1138</v>
      </c>
      <c r="G196" s="351" t="s">
        <v>890</v>
      </c>
      <c r="H196" s="351" t="s">
        <v>891</v>
      </c>
      <c r="I196" s="353">
        <v>52.93</v>
      </c>
      <c r="J196" s="353">
        <v>108</v>
      </c>
      <c r="K196" s="354">
        <v>5716.93</v>
      </c>
    </row>
    <row r="197" spans="1:11" ht="14.4" customHeight="1" x14ac:dyDescent="0.3">
      <c r="A197" s="349" t="s">
        <v>379</v>
      </c>
      <c r="B197" s="350" t="s">
        <v>500</v>
      </c>
      <c r="C197" s="351" t="s">
        <v>384</v>
      </c>
      <c r="D197" s="352" t="s">
        <v>501</v>
      </c>
      <c r="E197" s="351" t="s">
        <v>1137</v>
      </c>
      <c r="F197" s="352" t="s">
        <v>1138</v>
      </c>
      <c r="G197" s="351" t="s">
        <v>892</v>
      </c>
      <c r="H197" s="351" t="s">
        <v>893</v>
      </c>
      <c r="I197" s="353">
        <v>371.45</v>
      </c>
      <c r="J197" s="353">
        <v>48</v>
      </c>
      <c r="K197" s="354">
        <v>17829.599999999999</v>
      </c>
    </row>
    <row r="198" spans="1:11" ht="14.4" customHeight="1" x14ac:dyDescent="0.3">
      <c r="A198" s="349" t="s">
        <v>379</v>
      </c>
      <c r="B198" s="350" t="s">
        <v>500</v>
      </c>
      <c r="C198" s="351" t="s">
        <v>384</v>
      </c>
      <c r="D198" s="352" t="s">
        <v>501</v>
      </c>
      <c r="E198" s="351" t="s">
        <v>1137</v>
      </c>
      <c r="F198" s="352" t="s">
        <v>1138</v>
      </c>
      <c r="G198" s="351" t="s">
        <v>894</v>
      </c>
      <c r="H198" s="351" t="s">
        <v>895</v>
      </c>
      <c r="I198" s="353">
        <v>330.21</v>
      </c>
      <c r="J198" s="353">
        <v>48</v>
      </c>
      <c r="K198" s="354">
        <v>15850.04</v>
      </c>
    </row>
    <row r="199" spans="1:11" ht="14.4" customHeight="1" x14ac:dyDescent="0.3">
      <c r="A199" s="349" t="s">
        <v>379</v>
      </c>
      <c r="B199" s="350" t="s">
        <v>500</v>
      </c>
      <c r="C199" s="351" t="s">
        <v>384</v>
      </c>
      <c r="D199" s="352" t="s">
        <v>501</v>
      </c>
      <c r="E199" s="351" t="s">
        <v>1137</v>
      </c>
      <c r="F199" s="352" t="s">
        <v>1138</v>
      </c>
      <c r="G199" s="351" t="s">
        <v>896</v>
      </c>
      <c r="H199" s="351" t="s">
        <v>897</v>
      </c>
      <c r="I199" s="353">
        <v>194.37</v>
      </c>
      <c r="J199" s="353">
        <v>24</v>
      </c>
      <c r="K199" s="354">
        <v>4664.91</v>
      </c>
    </row>
    <row r="200" spans="1:11" ht="14.4" customHeight="1" x14ac:dyDescent="0.3">
      <c r="A200" s="349" t="s">
        <v>379</v>
      </c>
      <c r="B200" s="350" t="s">
        <v>500</v>
      </c>
      <c r="C200" s="351" t="s">
        <v>384</v>
      </c>
      <c r="D200" s="352" t="s">
        <v>501</v>
      </c>
      <c r="E200" s="351" t="s">
        <v>1137</v>
      </c>
      <c r="F200" s="352" t="s">
        <v>1138</v>
      </c>
      <c r="G200" s="351" t="s">
        <v>898</v>
      </c>
      <c r="H200" s="351" t="s">
        <v>899</v>
      </c>
      <c r="I200" s="353">
        <v>42.669999999999995</v>
      </c>
      <c r="J200" s="353">
        <v>228</v>
      </c>
      <c r="K200" s="354">
        <v>9727.6200000000008</v>
      </c>
    </row>
    <row r="201" spans="1:11" ht="14.4" customHeight="1" x14ac:dyDescent="0.3">
      <c r="A201" s="349" t="s">
        <v>379</v>
      </c>
      <c r="B201" s="350" t="s">
        <v>500</v>
      </c>
      <c r="C201" s="351" t="s">
        <v>384</v>
      </c>
      <c r="D201" s="352" t="s">
        <v>501</v>
      </c>
      <c r="E201" s="351" t="s">
        <v>1137</v>
      </c>
      <c r="F201" s="352" t="s">
        <v>1138</v>
      </c>
      <c r="G201" s="351" t="s">
        <v>900</v>
      </c>
      <c r="H201" s="351" t="s">
        <v>901</v>
      </c>
      <c r="I201" s="353">
        <v>48.5</v>
      </c>
      <c r="J201" s="353">
        <v>36</v>
      </c>
      <c r="K201" s="354">
        <v>1745.84</v>
      </c>
    </row>
    <row r="202" spans="1:11" ht="14.4" customHeight="1" x14ac:dyDescent="0.3">
      <c r="A202" s="349" t="s">
        <v>379</v>
      </c>
      <c r="B202" s="350" t="s">
        <v>500</v>
      </c>
      <c r="C202" s="351" t="s">
        <v>384</v>
      </c>
      <c r="D202" s="352" t="s">
        <v>501</v>
      </c>
      <c r="E202" s="351" t="s">
        <v>1137</v>
      </c>
      <c r="F202" s="352" t="s">
        <v>1138</v>
      </c>
      <c r="G202" s="351" t="s">
        <v>902</v>
      </c>
      <c r="H202" s="351" t="s">
        <v>903</v>
      </c>
      <c r="I202" s="353">
        <v>116.57</v>
      </c>
      <c r="J202" s="353">
        <v>72</v>
      </c>
      <c r="K202" s="354">
        <v>8393.0400000000009</v>
      </c>
    </row>
    <row r="203" spans="1:11" ht="14.4" customHeight="1" x14ac:dyDescent="0.3">
      <c r="A203" s="349" t="s">
        <v>379</v>
      </c>
      <c r="B203" s="350" t="s">
        <v>500</v>
      </c>
      <c r="C203" s="351" t="s">
        <v>384</v>
      </c>
      <c r="D203" s="352" t="s">
        <v>501</v>
      </c>
      <c r="E203" s="351" t="s">
        <v>1137</v>
      </c>
      <c r="F203" s="352" t="s">
        <v>1138</v>
      </c>
      <c r="G203" s="351" t="s">
        <v>904</v>
      </c>
      <c r="H203" s="351" t="s">
        <v>905</v>
      </c>
      <c r="I203" s="353">
        <v>60.43</v>
      </c>
      <c r="J203" s="353">
        <v>144</v>
      </c>
      <c r="K203" s="354">
        <v>8702.2800000000007</v>
      </c>
    </row>
    <row r="204" spans="1:11" ht="14.4" customHeight="1" x14ac:dyDescent="0.3">
      <c r="A204" s="349" t="s">
        <v>379</v>
      </c>
      <c r="B204" s="350" t="s">
        <v>500</v>
      </c>
      <c r="C204" s="351" t="s">
        <v>384</v>
      </c>
      <c r="D204" s="352" t="s">
        <v>501</v>
      </c>
      <c r="E204" s="351" t="s">
        <v>1137</v>
      </c>
      <c r="F204" s="352" t="s">
        <v>1138</v>
      </c>
      <c r="G204" s="351" t="s">
        <v>906</v>
      </c>
      <c r="H204" s="351" t="s">
        <v>907</v>
      </c>
      <c r="I204" s="353">
        <v>175.69</v>
      </c>
      <c r="J204" s="353">
        <v>60</v>
      </c>
      <c r="K204" s="354">
        <v>10541.54</v>
      </c>
    </row>
    <row r="205" spans="1:11" ht="14.4" customHeight="1" x14ac:dyDescent="0.3">
      <c r="A205" s="349" t="s">
        <v>379</v>
      </c>
      <c r="B205" s="350" t="s">
        <v>500</v>
      </c>
      <c r="C205" s="351" t="s">
        <v>384</v>
      </c>
      <c r="D205" s="352" t="s">
        <v>501</v>
      </c>
      <c r="E205" s="351" t="s">
        <v>1137</v>
      </c>
      <c r="F205" s="352" t="s">
        <v>1138</v>
      </c>
      <c r="G205" s="351" t="s">
        <v>908</v>
      </c>
      <c r="H205" s="351" t="s">
        <v>909</v>
      </c>
      <c r="I205" s="353">
        <v>132.25</v>
      </c>
      <c r="J205" s="353">
        <v>108</v>
      </c>
      <c r="K205" s="354">
        <v>14283</v>
      </c>
    </row>
    <row r="206" spans="1:11" ht="14.4" customHeight="1" x14ac:dyDescent="0.3">
      <c r="A206" s="349" t="s">
        <v>379</v>
      </c>
      <c r="B206" s="350" t="s">
        <v>500</v>
      </c>
      <c r="C206" s="351" t="s">
        <v>384</v>
      </c>
      <c r="D206" s="352" t="s">
        <v>501</v>
      </c>
      <c r="E206" s="351" t="s">
        <v>1137</v>
      </c>
      <c r="F206" s="352" t="s">
        <v>1138</v>
      </c>
      <c r="G206" s="351" t="s">
        <v>910</v>
      </c>
      <c r="H206" s="351" t="s">
        <v>911</v>
      </c>
      <c r="I206" s="353">
        <v>582.92999999999995</v>
      </c>
      <c r="J206" s="353">
        <v>60</v>
      </c>
      <c r="K206" s="354">
        <v>34975.700000000004</v>
      </c>
    </row>
    <row r="207" spans="1:11" ht="14.4" customHeight="1" x14ac:dyDescent="0.3">
      <c r="A207" s="349" t="s">
        <v>379</v>
      </c>
      <c r="B207" s="350" t="s">
        <v>500</v>
      </c>
      <c r="C207" s="351" t="s">
        <v>384</v>
      </c>
      <c r="D207" s="352" t="s">
        <v>501</v>
      </c>
      <c r="E207" s="351" t="s">
        <v>1137</v>
      </c>
      <c r="F207" s="352" t="s">
        <v>1138</v>
      </c>
      <c r="G207" s="351" t="s">
        <v>912</v>
      </c>
      <c r="H207" s="351" t="s">
        <v>913</v>
      </c>
      <c r="I207" s="353">
        <v>218.47</v>
      </c>
      <c r="J207" s="353">
        <v>144</v>
      </c>
      <c r="K207" s="354">
        <v>31460.37</v>
      </c>
    </row>
    <row r="208" spans="1:11" ht="14.4" customHeight="1" x14ac:dyDescent="0.3">
      <c r="A208" s="349" t="s">
        <v>379</v>
      </c>
      <c r="B208" s="350" t="s">
        <v>500</v>
      </c>
      <c r="C208" s="351" t="s">
        <v>384</v>
      </c>
      <c r="D208" s="352" t="s">
        <v>501</v>
      </c>
      <c r="E208" s="351" t="s">
        <v>1137</v>
      </c>
      <c r="F208" s="352" t="s">
        <v>1138</v>
      </c>
      <c r="G208" s="351" t="s">
        <v>914</v>
      </c>
      <c r="H208" s="351" t="s">
        <v>915</v>
      </c>
      <c r="I208" s="353">
        <v>144.68</v>
      </c>
      <c r="J208" s="353">
        <v>36</v>
      </c>
      <c r="K208" s="354">
        <v>5208.6499999999996</v>
      </c>
    </row>
    <row r="209" spans="1:11" ht="14.4" customHeight="1" x14ac:dyDescent="0.3">
      <c r="A209" s="349" t="s">
        <v>379</v>
      </c>
      <c r="B209" s="350" t="s">
        <v>500</v>
      </c>
      <c r="C209" s="351" t="s">
        <v>384</v>
      </c>
      <c r="D209" s="352" t="s">
        <v>501</v>
      </c>
      <c r="E209" s="351" t="s">
        <v>1137</v>
      </c>
      <c r="F209" s="352" t="s">
        <v>1138</v>
      </c>
      <c r="G209" s="351" t="s">
        <v>916</v>
      </c>
      <c r="H209" s="351" t="s">
        <v>917</v>
      </c>
      <c r="I209" s="353">
        <v>46.06</v>
      </c>
      <c r="J209" s="353">
        <v>216</v>
      </c>
      <c r="K209" s="354">
        <v>9949.7999999999993</v>
      </c>
    </row>
    <row r="210" spans="1:11" ht="14.4" customHeight="1" x14ac:dyDescent="0.3">
      <c r="A210" s="349" t="s">
        <v>379</v>
      </c>
      <c r="B210" s="350" t="s">
        <v>500</v>
      </c>
      <c r="C210" s="351" t="s">
        <v>384</v>
      </c>
      <c r="D210" s="352" t="s">
        <v>501</v>
      </c>
      <c r="E210" s="351" t="s">
        <v>1137</v>
      </c>
      <c r="F210" s="352" t="s">
        <v>1138</v>
      </c>
      <c r="G210" s="351" t="s">
        <v>918</v>
      </c>
      <c r="H210" s="351" t="s">
        <v>919</v>
      </c>
      <c r="I210" s="353">
        <v>161.16999999999999</v>
      </c>
      <c r="J210" s="353">
        <v>48</v>
      </c>
      <c r="K210" s="354">
        <v>7736.38</v>
      </c>
    </row>
    <row r="211" spans="1:11" ht="14.4" customHeight="1" x14ac:dyDescent="0.3">
      <c r="A211" s="349" t="s">
        <v>379</v>
      </c>
      <c r="B211" s="350" t="s">
        <v>500</v>
      </c>
      <c r="C211" s="351" t="s">
        <v>384</v>
      </c>
      <c r="D211" s="352" t="s">
        <v>501</v>
      </c>
      <c r="E211" s="351" t="s">
        <v>1137</v>
      </c>
      <c r="F211" s="352" t="s">
        <v>1138</v>
      </c>
      <c r="G211" s="351" t="s">
        <v>920</v>
      </c>
      <c r="H211" s="351" t="s">
        <v>921</v>
      </c>
      <c r="I211" s="353">
        <v>153.66999999999999</v>
      </c>
      <c r="J211" s="353">
        <v>72</v>
      </c>
      <c r="K211" s="354">
        <v>11064.15</v>
      </c>
    </row>
    <row r="212" spans="1:11" ht="14.4" customHeight="1" x14ac:dyDescent="0.3">
      <c r="A212" s="349" t="s">
        <v>379</v>
      </c>
      <c r="B212" s="350" t="s">
        <v>500</v>
      </c>
      <c r="C212" s="351" t="s">
        <v>384</v>
      </c>
      <c r="D212" s="352" t="s">
        <v>501</v>
      </c>
      <c r="E212" s="351" t="s">
        <v>1137</v>
      </c>
      <c r="F212" s="352" t="s">
        <v>1138</v>
      </c>
      <c r="G212" s="351" t="s">
        <v>922</v>
      </c>
      <c r="H212" s="351" t="s">
        <v>923</v>
      </c>
      <c r="I212" s="353">
        <v>118.27</v>
      </c>
      <c r="J212" s="353">
        <v>72</v>
      </c>
      <c r="K212" s="354">
        <v>8515.34</v>
      </c>
    </row>
    <row r="213" spans="1:11" ht="14.4" customHeight="1" x14ac:dyDescent="0.3">
      <c r="A213" s="349" t="s">
        <v>379</v>
      </c>
      <c r="B213" s="350" t="s">
        <v>500</v>
      </c>
      <c r="C213" s="351" t="s">
        <v>384</v>
      </c>
      <c r="D213" s="352" t="s">
        <v>501</v>
      </c>
      <c r="E213" s="351" t="s">
        <v>1137</v>
      </c>
      <c r="F213" s="352" t="s">
        <v>1138</v>
      </c>
      <c r="G213" s="351" t="s">
        <v>924</v>
      </c>
      <c r="H213" s="351" t="s">
        <v>925</v>
      </c>
      <c r="I213" s="353">
        <v>122.86</v>
      </c>
      <c r="J213" s="353">
        <v>72</v>
      </c>
      <c r="K213" s="354">
        <v>8846.01</v>
      </c>
    </row>
    <row r="214" spans="1:11" ht="14.4" customHeight="1" x14ac:dyDescent="0.3">
      <c r="A214" s="349" t="s">
        <v>379</v>
      </c>
      <c r="B214" s="350" t="s">
        <v>500</v>
      </c>
      <c r="C214" s="351" t="s">
        <v>384</v>
      </c>
      <c r="D214" s="352" t="s">
        <v>501</v>
      </c>
      <c r="E214" s="351" t="s">
        <v>1137</v>
      </c>
      <c r="F214" s="352" t="s">
        <v>1138</v>
      </c>
      <c r="G214" s="351" t="s">
        <v>926</v>
      </c>
      <c r="H214" s="351" t="s">
        <v>927</v>
      </c>
      <c r="I214" s="353">
        <v>72.739999999999995</v>
      </c>
      <c r="J214" s="353">
        <v>180</v>
      </c>
      <c r="K214" s="354">
        <v>13092.75</v>
      </c>
    </row>
    <row r="215" spans="1:11" ht="14.4" customHeight="1" x14ac:dyDescent="0.3">
      <c r="A215" s="349" t="s">
        <v>379</v>
      </c>
      <c r="B215" s="350" t="s">
        <v>500</v>
      </c>
      <c r="C215" s="351" t="s">
        <v>384</v>
      </c>
      <c r="D215" s="352" t="s">
        <v>501</v>
      </c>
      <c r="E215" s="351" t="s">
        <v>1139</v>
      </c>
      <c r="F215" s="352" t="s">
        <v>1140</v>
      </c>
      <c r="G215" s="351" t="s">
        <v>928</v>
      </c>
      <c r="H215" s="351" t="s">
        <v>929</v>
      </c>
      <c r="I215" s="353">
        <v>0.3</v>
      </c>
      <c r="J215" s="353">
        <v>500</v>
      </c>
      <c r="K215" s="354">
        <v>150</v>
      </c>
    </row>
    <row r="216" spans="1:11" ht="14.4" customHeight="1" x14ac:dyDescent="0.3">
      <c r="A216" s="349" t="s">
        <v>379</v>
      </c>
      <c r="B216" s="350" t="s">
        <v>500</v>
      </c>
      <c r="C216" s="351" t="s">
        <v>384</v>
      </c>
      <c r="D216" s="352" t="s">
        <v>501</v>
      </c>
      <c r="E216" s="351" t="s">
        <v>1139</v>
      </c>
      <c r="F216" s="352" t="s">
        <v>1140</v>
      </c>
      <c r="G216" s="351" t="s">
        <v>930</v>
      </c>
      <c r="H216" s="351" t="s">
        <v>931</v>
      </c>
      <c r="I216" s="353">
        <v>0.3</v>
      </c>
      <c r="J216" s="353">
        <v>400</v>
      </c>
      <c r="K216" s="354">
        <v>120</v>
      </c>
    </row>
    <row r="217" spans="1:11" ht="14.4" customHeight="1" x14ac:dyDescent="0.3">
      <c r="A217" s="349" t="s">
        <v>379</v>
      </c>
      <c r="B217" s="350" t="s">
        <v>500</v>
      </c>
      <c r="C217" s="351" t="s">
        <v>384</v>
      </c>
      <c r="D217" s="352" t="s">
        <v>501</v>
      </c>
      <c r="E217" s="351" t="s">
        <v>1139</v>
      </c>
      <c r="F217" s="352" t="s">
        <v>1140</v>
      </c>
      <c r="G217" s="351" t="s">
        <v>932</v>
      </c>
      <c r="H217" s="351" t="s">
        <v>933</v>
      </c>
      <c r="I217" s="353">
        <v>0.30249999999999999</v>
      </c>
      <c r="J217" s="353">
        <v>900</v>
      </c>
      <c r="K217" s="354">
        <v>271</v>
      </c>
    </row>
    <row r="218" spans="1:11" ht="14.4" customHeight="1" x14ac:dyDescent="0.3">
      <c r="A218" s="349" t="s">
        <v>379</v>
      </c>
      <c r="B218" s="350" t="s">
        <v>500</v>
      </c>
      <c r="C218" s="351" t="s">
        <v>384</v>
      </c>
      <c r="D218" s="352" t="s">
        <v>501</v>
      </c>
      <c r="E218" s="351" t="s">
        <v>1139</v>
      </c>
      <c r="F218" s="352" t="s">
        <v>1140</v>
      </c>
      <c r="G218" s="351" t="s">
        <v>934</v>
      </c>
      <c r="H218" s="351" t="s">
        <v>935</v>
      </c>
      <c r="I218" s="353">
        <v>0.30666666666666664</v>
      </c>
      <c r="J218" s="353">
        <v>600</v>
      </c>
      <c r="K218" s="354">
        <v>184</v>
      </c>
    </row>
    <row r="219" spans="1:11" ht="14.4" customHeight="1" x14ac:dyDescent="0.3">
      <c r="A219" s="349" t="s">
        <v>379</v>
      </c>
      <c r="B219" s="350" t="s">
        <v>500</v>
      </c>
      <c r="C219" s="351" t="s">
        <v>384</v>
      </c>
      <c r="D219" s="352" t="s">
        <v>501</v>
      </c>
      <c r="E219" s="351" t="s">
        <v>1139</v>
      </c>
      <c r="F219" s="352" t="s">
        <v>1140</v>
      </c>
      <c r="G219" s="351" t="s">
        <v>936</v>
      </c>
      <c r="H219" s="351" t="s">
        <v>937</v>
      </c>
      <c r="I219" s="353">
        <v>10.987500000000001</v>
      </c>
      <c r="J219" s="353">
        <v>290</v>
      </c>
      <c r="K219" s="354">
        <v>3185.82</v>
      </c>
    </row>
    <row r="220" spans="1:11" ht="14.4" customHeight="1" x14ac:dyDescent="0.3">
      <c r="A220" s="349" t="s">
        <v>379</v>
      </c>
      <c r="B220" s="350" t="s">
        <v>500</v>
      </c>
      <c r="C220" s="351" t="s">
        <v>384</v>
      </c>
      <c r="D220" s="352" t="s">
        <v>501</v>
      </c>
      <c r="E220" s="351" t="s">
        <v>1139</v>
      </c>
      <c r="F220" s="352" t="s">
        <v>1140</v>
      </c>
      <c r="G220" s="351" t="s">
        <v>938</v>
      </c>
      <c r="H220" s="351" t="s">
        <v>939</v>
      </c>
      <c r="I220" s="353">
        <v>10.455</v>
      </c>
      <c r="J220" s="353">
        <v>120</v>
      </c>
      <c r="K220" s="354">
        <v>1254.8</v>
      </c>
    </row>
    <row r="221" spans="1:11" ht="14.4" customHeight="1" x14ac:dyDescent="0.3">
      <c r="A221" s="349" t="s">
        <v>379</v>
      </c>
      <c r="B221" s="350" t="s">
        <v>500</v>
      </c>
      <c r="C221" s="351" t="s">
        <v>384</v>
      </c>
      <c r="D221" s="352" t="s">
        <v>501</v>
      </c>
      <c r="E221" s="351" t="s">
        <v>1139</v>
      </c>
      <c r="F221" s="352" t="s">
        <v>1140</v>
      </c>
      <c r="G221" s="351" t="s">
        <v>940</v>
      </c>
      <c r="H221" s="351" t="s">
        <v>941</v>
      </c>
      <c r="I221" s="353">
        <v>10.987500000000001</v>
      </c>
      <c r="J221" s="353">
        <v>230</v>
      </c>
      <c r="K221" s="354">
        <v>2527.1</v>
      </c>
    </row>
    <row r="222" spans="1:11" ht="14.4" customHeight="1" x14ac:dyDescent="0.3">
      <c r="A222" s="349" t="s">
        <v>379</v>
      </c>
      <c r="B222" s="350" t="s">
        <v>500</v>
      </c>
      <c r="C222" s="351" t="s">
        <v>384</v>
      </c>
      <c r="D222" s="352" t="s">
        <v>501</v>
      </c>
      <c r="E222" s="351" t="s">
        <v>1139</v>
      </c>
      <c r="F222" s="352" t="s">
        <v>1140</v>
      </c>
      <c r="G222" s="351" t="s">
        <v>942</v>
      </c>
      <c r="H222" s="351" t="s">
        <v>943</v>
      </c>
      <c r="I222" s="353">
        <v>10.99</v>
      </c>
      <c r="J222" s="353">
        <v>240</v>
      </c>
      <c r="K222" s="354">
        <v>2636.91</v>
      </c>
    </row>
    <row r="223" spans="1:11" ht="14.4" customHeight="1" x14ac:dyDescent="0.3">
      <c r="A223" s="349" t="s">
        <v>379</v>
      </c>
      <c r="B223" s="350" t="s">
        <v>500</v>
      </c>
      <c r="C223" s="351" t="s">
        <v>384</v>
      </c>
      <c r="D223" s="352" t="s">
        <v>501</v>
      </c>
      <c r="E223" s="351" t="s">
        <v>1139</v>
      </c>
      <c r="F223" s="352" t="s">
        <v>1140</v>
      </c>
      <c r="G223" s="351" t="s">
        <v>944</v>
      </c>
      <c r="H223" s="351" t="s">
        <v>945</v>
      </c>
      <c r="I223" s="353">
        <v>10.99</v>
      </c>
      <c r="J223" s="353">
        <v>240</v>
      </c>
      <c r="K223" s="354">
        <v>2636.91</v>
      </c>
    </row>
    <row r="224" spans="1:11" ht="14.4" customHeight="1" x14ac:dyDescent="0.3">
      <c r="A224" s="349" t="s">
        <v>379</v>
      </c>
      <c r="B224" s="350" t="s">
        <v>500</v>
      </c>
      <c r="C224" s="351" t="s">
        <v>384</v>
      </c>
      <c r="D224" s="352" t="s">
        <v>501</v>
      </c>
      <c r="E224" s="351" t="s">
        <v>1139</v>
      </c>
      <c r="F224" s="352" t="s">
        <v>1140</v>
      </c>
      <c r="G224" s="351" t="s">
        <v>946</v>
      </c>
      <c r="H224" s="351" t="s">
        <v>947</v>
      </c>
      <c r="I224" s="353">
        <v>10.163333333333332</v>
      </c>
      <c r="J224" s="353">
        <v>90</v>
      </c>
      <c r="K224" s="354">
        <v>914.8</v>
      </c>
    </row>
    <row r="225" spans="1:11" ht="14.4" customHeight="1" x14ac:dyDescent="0.3">
      <c r="A225" s="349" t="s">
        <v>379</v>
      </c>
      <c r="B225" s="350" t="s">
        <v>500</v>
      </c>
      <c r="C225" s="351" t="s">
        <v>384</v>
      </c>
      <c r="D225" s="352" t="s">
        <v>501</v>
      </c>
      <c r="E225" s="351" t="s">
        <v>1139</v>
      </c>
      <c r="F225" s="352" t="s">
        <v>1140</v>
      </c>
      <c r="G225" s="351" t="s">
        <v>948</v>
      </c>
      <c r="H225" s="351" t="s">
        <v>949</v>
      </c>
      <c r="I225" s="353">
        <v>10.456</v>
      </c>
      <c r="J225" s="353">
        <v>350</v>
      </c>
      <c r="K225" s="354">
        <v>3660.3200000000006</v>
      </c>
    </row>
    <row r="226" spans="1:11" ht="14.4" customHeight="1" x14ac:dyDescent="0.3">
      <c r="A226" s="349" t="s">
        <v>379</v>
      </c>
      <c r="B226" s="350" t="s">
        <v>500</v>
      </c>
      <c r="C226" s="351" t="s">
        <v>384</v>
      </c>
      <c r="D226" s="352" t="s">
        <v>501</v>
      </c>
      <c r="E226" s="351" t="s">
        <v>1139</v>
      </c>
      <c r="F226" s="352" t="s">
        <v>1140</v>
      </c>
      <c r="G226" s="351" t="s">
        <v>950</v>
      </c>
      <c r="H226" s="351" t="s">
        <v>951</v>
      </c>
      <c r="I226" s="353">
        <v>10.986000000000001</v>
      </c>
      <c r="J226" s="353">
        <v>290</v>
      </c>
      <c r="K226" s="354">
        <v>3186.0899999999997</v>
      </c>
    </row>
    <row r="227" spans="1:11" ht="14.4" customHeight="1" x14ac:dyDescent="0.3">
      <c r="A227" s="349" t="s">
        <v>379</v>
      </c>
      <c r="B227" s="350" t="s">
        <v>500</v>
      </c>
      <c r="C227" s="351" t="s">
        <v>384</v>
      </c>
      <c r="D227" s="352" t="s">
        <v>501</v>
      </c>
      <c r="E227" s="351" t="s">
        <v>1139</v>
      </c>
      <c r="F227" s="352" t="s">
        <v>1140</v>
      </c>
      <c r="G227" s="351" t="s">
        <v>952</v>
      </c>
      <c r="H227" s="351" t="s">
        <v>953</v>
      </c>
      <c r="I227" s="353">
        <v>0.34250000000000003</v>
      </c>
      <c r="J227" s="353">
        <v>700</v>
      </c>
      <c r="K227" s="354">
        <v>243</v>
      </c>
    </row>
    <row r="228" spans="1:11" ht="14.4" customHeight="1" x14ac:dyDescent="0.3">
      <c r="A228" s="349" t="s">
        <v>379</v>
      </c>
      <c r="B228" s="350" t="s">
        <v>500</v>
      </c>
      <c r="C228" s="351" t="s">
        <v>384</v>
      </c>
      <c r="D228" s="352" t="s">
        <v>501</v>
      </c>
      <c r="E228" s="351" t="s">
        <v>1139</v>
      </c>
      <c r="F228" s="352" t="s">
        <v>1140</v>
      </c>
      <c r="G228" s="351" t="s">
        <v>954</v>
      </c>
      <c r="H228" s="351" t="s">
        <v>955</v>
      </c>
      <c r="I228" s="353">
        <v>10.99</v>
      </c>
      <c r="J228" s="353">
        <v>60</v>
      </c>
      <c r="K228" s="354">
        <v>659.21</v>
      </c>
    </row>
    <row r="229" spans="1:11" ht="14.4" customHeight="1" x14ac:dyDescent="0.3">
      <c r="A229" s="349" t="s">
        <v>379</v>
      </c>
      <c r="B229" s="350" t="s">
        <v>500</v>
      </c>
      <c r="C229" s="351" t="s">
        <v>384</v>
      </c>
      <c r="D229" s="352" t="s">
        <v>501</v>
      </c>
      <c r="E229" s="351" t="s">
        <v>1139</v>
      </c>
      <c r="F229" s="352" t="s">
        <v>1140</v>
      </c>
      <c r="G229" s="351" t="s">
        <v>956</v>
      </c>
      <c r="H229" s="351" t="s">
        <v>957</v>
      </c>
      <c r="I229" s="353">
        <v>25.51</v>
      </c>
      <c r="J229" s="353">
        <v>48</v>
      </c>
      <c r="K229" s="354">
        <v>1224.52</v>
      </c>
    </row>
    <row r="230" spans="1:11" ht="14.4" customHeight="1" x14ac:dyDescent="0.3">
      <c r="A230" s="349" t="s">
        <v>379</v>
      </c>
      <c r="B230" s="350" t="s">
        <v>500</v>
      </c>
      <c r="C230" s="351" t="s">
        <v>384</v>
      </c>
      <c r="D230" s="352" t="s">
        <v>501</v>
      </c>
      <c r="E230" s="351" t="s">
        <v>1139</v>
      </c>
      <c r="F230" s="352" t="s">
        <v>1140</v>
      </c>
      <c r="G230" s="351" t="s">
        <v>958</v>
      </c>
      <c r="H230" s="351" t="s">
        <v>959</v>
      </c>
      <c r="I230" s="353">
        <v>21.68</v>
      </c>
      <c r="J230" s="353">
        <v>48</v>
      </c>
      <c r="K230" s="354">
        <v>1040.5999999999999</v>
      </c>
    </row>
    <row r="231" spans="1:11" ht="14.4" customHeight="1" x14ac:dyDescent="0.3">
      <c r="A231" s="349" t="s">
        <v>379</v>
      </c>
      <c r="B231" s="350" t="s">
        <v>500</v>
      </c>
      <c r="C231" s="351" t="s">
        <v>384</v>
      </c>
      <c r="D231" s="352" t="s">
        <v>501</v>
      </c>
      <c r="E231" s="351" t="s">
        <v>1139</v>
      </c>
      <c r="F231" s="352" t="s">
        <v>1140</v>
      </c>
      <c r="G231" s="351" t="s">
        <v>960</v>
      </c>
      <c r="H231" s="351" t="s">
        <v>961</v>
      </c>
      <c r="I231" s="353">
        <v>13.21</v>
      </c>
      <c r="J231" s="353">
        <v>50</v>
      </c>
      <c r="K231" s="354">
        <v>660.66</v>
      </c>
    </row>
    <row r="232" spans="1:11" ht="14.4" customHeight="1" x14ac:dyDescent="0.3">
      <c r="A232" s="349" t="s">
        <v>379</v>
      </c>
      <c r="B232" s="350" t="s">
        <v>500</v>
      </c>
      <c r="C232" s="351" t="s">
        <v>384</v>
      </c>
      <c r="D232" s="352" t="s">
        <v>501</v>
      </c>
      <c r="E232" s="351" t="s">
        <v>1139</v>
      </c>
      <c r="F232" s="352" t="s">
        <v>1140</v>
      </c>
      <c r="G232" s="351" t="s">
        <v>962</v>
      </c>
      <c r="H232" s="351" t="s">
        <v>963</v>
      </c>
      <c r="I232" s="353">
        <v>10.98</v>
      </c>
      <c r="J232" s="353">
        <v>240</v>
      </c>
      <c r="K232" s="354">
        <v>2635.39</v>
      </c>
    </row>
    <row r="233" spans="1:11" ht="14.4" customHeight="1" x14ac:dyDescent="0.3">
      <c r="A233" s="349" t="s">
        <v>379</v>
      </c>
      <c r="B233" s="350" t="s">
        <v>500</v>
      </c>
      <c r="C233" s="351" t="s">
        <v>384</v>
      </c>
      <c r="D233" s="352" t="s">
        <v>501</v>
      </c>
      <c r="E233" s="351" t="s">
        <v>1139</v>
      </c>
      <c r="F233" s="352" t="s">
        <v>1140</v>
      </c>
      <c r="G233" s="351" t="s">
        <v>964</v>
      </c>
      <c r="H233" s="351" t="s">
        <v>965</v>
      </c>
      <c r="I233" s="353">
        <v>25.51</v>
      </c>
      <c r="J233" s="353">
        <v>48</v>
      </c>
      <c r="K233" s="354">
        <v>1224.52</v>
      </c>
    </row>
    <row r="234" spans="1:11" ht="14.4" customHeight="1" x14ac:dyDescent="0.3">
      <c r="A234" s="349" t="s">
        <v>379</v>
      </c>
      <c r="B234" s="350" t="s">
        <v>500</v>
      </c>
      <c r="C234" s="351" t="s">
        <v>384</v>
      </c>
      <c r="D234" s="352" t="s">
        <v>501</v>
      </c>
      <c r="E234" s="351" t="s">
        <v>1139</v>
      </c>
      <c r="F234" s="352" t="s">
        <v>1140</v>
      </c>
      <c r="G234" s="351" t="s">
        <v>966</v>
      </c>
      <c r="H234" s="351" t="s">
        <v>967</v>
      </c>
      <c r="I234" s="353">
        <v>25.51</v>
      </c>
      <c r="J234" s="353">
        <v>48</v>
      </c>
      <c r="K234" s="354">
        <v>1224.52</v>
      </c>
    </row>
    <row r="235" spans="1:11" ht="14.4" customHeight="1" x14ac:dyDescent="0.3">
      <c r="A235" s="349" t="s">
        <v>379</v>
      </c>
      <c r="B235" s="350" t="s">
        <v>500</v>
      </c>
      <c r="C235" s="351" t="s">
        <v>384</v>
      </c>
      <c r="D235" s="352" t="s">
        <v>501</v>
      </c>
      <c r="E235" s="351" t="s">
        <v>1139</v>
      </c>
      <c r="F235" s="352" t="s">
        <v>1140</v>
      </c>
      <c r="G235" s="351" t="s">
        <v>968</v>
      </c>
      <c r="H235" s="351" t="s">
        <v>969</v>
      </c>
      <c r="I235" s="353">
        <v>10.163333333333334</v>
      </c>
      <c r="J235" s="353">
        <v>90</v>
      </c>
      <c r="K235" s="354">
        <v>914.8</v>
      </c>
    </row>
    <row r="236" spans="1:11" ht="14.4" customHeight="1" x14ac:dyDescent="0.3">
      <c r="A236" s="349" t="s">
        <v>379</v>
      </c>
      <c r="B236" s="350" t="s">
        <v>500</v>
      </c>
      <c r="C236" s="351" t="s">
        <v>384</v>
      </c>
      <c r="D236" s="352" t="s">
        <v>501</v>
      </c>
      <c r="E236" s="351" t="s">
        <v>1139</v>
      </c>
      <c r="F236" s="352" t="s">
        <v>1140</v>
      </c>
      <c r="G236" s="351" t="s">
        <v>970</v>
      </c>
      <c r="H236" s="351" t="s">
        <v>971</v>
      </c>
      <c r="I236" s="353">
        <v>11.36</v>
      </c>
      <c r="J236" s="353">
        <v>50</v>
      </c>
      <c r="K236" s="354">
        <v>568.09</v>
      </c>
    </row>
    <row r="237" spans="1:11" ht="14.4" customHeight="1" x14ac:dyDescent="0.3">
      <c r="A237" s="349" t="s">
        <v>379</v>
      </c>
      <c r="B237" s="350" t="s">
        <v>500</v>
      </c>
      <c r="C237" s="351" t="s">
        <v>384</v>
      </c>
      <c r="D237" s="352" t="s">
        <v>501</v>
      </c>
      <c r="E237" s="351" t="s">
        <v>1139</v>
      </c>
      <c r="F237" s="352" t="s">
        <v>1140</v>
      </c>
      <c r="G237" s="351" t="s">
        <v>972</v>
      </c>
      <c r="H237" s="351" t="s">
        <v>973</v>
      </c>
      <c r="I237" s="353">
        <v>10.163333333333332</v>
      </c>
      <c r="J237" s="353">
        <v>90</v>
      </c>
      <c r="K237" s="354">
        <v>914.8</v>
      </c>
    </row>
    <row r="238" spans="1:11" ht="14.4" customHeight="1" x14ac:dyDescent="0.3">
      <c r="A238" s="349" t="s">
        <v>379</v>
      </c>
      <c r="B238" s="350" t="s">
        <v>500</v>
      </c>
      <c r="C238" s="351" t="s">
        <v>384</v>
      </c>
      <c r="D238" s="352" t="s">
        <v>501</v>
      </c>
      <c r="E238" s="351" t="s">
        <v>1139</v>
      </c>
      <c r="F238" s="352" t="s">
        <v>1140</v>
      </c>
      <c r="G238" s="351" t="s">
        <v>974</v>
      </c>
      <c r="H238" s="351" t="s">
        <v>975</v>
      </c>
      <c r="I238" s="353">
        <v>25.51</v>
      </c>
      <c r="J238" s="353">
        <v>48</v>
      </c>
      <c r="K238" s="354">
        <v>1224.52</v>
      </c>
    </row>
    <row r="239" spans="1:11" ht="14.4" customHeight="1" x14ac:dyDescent="0.3">
      <c r="A239" s="349" t="s">
        <v>379</v>
      </c>
      <c r="B239" s="350" t="s">
        <v>500</v>
      </c>
      <c r="C239" s="351" t="s">
        <v>384</v>
      </c>
      <c r="D239" s="352" t="s">
        <v>501</v>
      </c>
      <c r="E239" s="351" t="s">
        <v>1139</v>
      </c>
      <c r="F239" s="352" t="s">
        <v>1140</v>
      </c>
      <c r="G239" s="351" t="s">
        <v>976</v>
      </c>
      <c r="H239" s="351" t="s">
        <v>977</v>
      </c>
      <c r="I239" s="353">
        <v>10.99</v>
      </c>
      <c r="J239" s="353">
        <v>60</v>
      </c>
      <c r="K239" s="354">
        <v>659.2</v>
      </c>
    </row>
    <row r="240" spans="1:11" ht="14.4" customHeight="1" x14ac:dyDescent="0.3">
      <c r="A240" s="349" t="s">
        <v>379</v>
      </c>
      <c r="B240" s="350" t="s">
        <v>500</v>
      </c>
      <c r="C240" s="351" t="s">
        <v>384</v>
      </c>
      <c r="D240" s="352" t="s">
        <v>501</v>
      </c>
      <c r="E240" s="351" t="s">
        <v>1139</v>
      </c>
      <c r="F240" s="352" t="s">
        <v>1140</v>
      </c>
      <c r="G240" s="351" t="s">
        <v>978</v>
      </c>
      <c r="H240" s="351" t="s">
        <v>979</v>
      </c>
      <c r="I240" s="353">
        <v>11.36</v>
      </c>
      <c r="J240" s="353">
        <v>30</v>
      </c>
      <c r="K240" s="354">
        <v>340.86</v>
      </c>
    </row>
    <row r="241" spans="1:11" ht="14.4" customHeight="1" x14ac:dyDescent="0.3">
      <c r="A241" s="349" t="s">
        <v>379</v>
      </c>
      <c r="B241" s="350" t="s">
        <v>500</v>
      </c>
      <c r="C241" s="351" t="s">
        <v>384</v>
      </c>
      <c r="D241" s="352" t="s">
        <v>501</v>
      </c>
      <c r="E241" s="351" t="s">
        <v>1139</v>
      </c>
      <c r="F241" s="352" t="s">
        <v>1140</v>
      </c>
      <c r="G241" s="351" t="s">
        <v>980</v>
      </c>
      <c r="H241" s="351" t="s">
        <v>981</v>
      </c>
      <c r="I241" s="353">
        <v>10.99</v>
      </c>
      <c r="J241" s="353">
        <v>60</v>
      </c>
      <c r="K241" s="354">
        <v>659.21</v>
      </c>
    </row>
    <row r="242" spans="1:11" ht="14.4" customHeight="1" x14ac:dyDescent="0.3">
      <c r="A242" s="349" t="s">
        <v>379</v>
      </c>
      <c r="B242" s="350" t="s">
        <v>500</v>
      </c>
      <c r="C242" s="351" t="s">
        <v>384</v>
      </c>
      <c r="D242" s="352" t="s">
        <v>501</v>
      </c>
      <c r="E242" s="351" t="s">
        <v>1141</v>
      </c>
      <c r="F242" s="352" t="s">
        <v>1142</v>
      </c>
      <c r="G242" s="351" t="s">
        <v>982</v>
      </c>
      <c r="H242" s="351" t="s">
        <v>983</v>
      </c>
      <c r="I242" s="353">
        <v>20.69</v>
      </c>
      <c r="J242" s="353">
        <v>200</v>
      </c>
      <c r="K242" s="354">
        <v>4138.2</v>
      </c>
    </row>
    <row r="243" spans="1:11" ht="14.4" customHeight="1" x14ac:dyDescent="0.3">
      <c r="A243" s="349" t="s">
        <v>379</v>
      </c>
      <c r="B243" s="350" t="s">
        <v>500</v>
      </c>
      <c r="C243" s="351" t="s">
        <v>384</v>
      </c>
      <c r="D243" s="352" t="s">
        <v>501</v>
      </c>
      <c r="E243" s="351" t="s">
        <v>1141</v>
      </c>
      <c r="F243" s="352" t="s">
        <v>1142</v>
      </c>
      <c r="G243" s="351" t="s">
        <v>984</v>
      </c>
      <c r="H243" s="351" t="s">
        <v>985</v>
      </c>
      <c r="I243" s="353">
        <v>16.212222222222223</v>
      </c>
      <c r="J243" s="353">
        <v>1525</v>
      </c>
      <c r="K243" s="354">
        <v>24726.55</v>
      </c>
    </row>
    <row r="244" spans="1:11" ht="14.4" customHeight="1" x14ac:dyDescent="0.3">
      <c r="A244" s="349" t="s">
        <v>379</v>
      </c>
      <c r="B244" s="350" t="s">
        <v>500</v>
      </c>
      <c r="C244" s="351" t="s">
        <v>384</v>
      </c>
      <c r="D244" s="352" t="s">
        <v>501</v>
      </c>
      <c r="E244" s="351" t="s">
        <v>1141</v>
      </c>
      <c r="F244" s="352" t="s">
        <v>1142</v>
      </c>
      <c r="G244" s="351" t="s">
        <v>986</v>
      </c>
      <c r="H244" s="351" t="s">
        <v>987</v>
      </c>
      <c r="I244" s="353">
        <v>20.695</v>
      </c>
      <c r="J244" s="353">
        <v>150</v>
      </c>
      <c r="K244" s="354">
        <v>3104.5</v>
      </c>
    </row>
    <row r="245" spans="1:11" ht="14.4" customHeight="1" x14ac:dyDescent="0.3">
      <c r="A245" s="349" t="s">
        <v>379</v>
      </c>
      <c r="B245" s="350" t="s">
        <v>500</v>
      </c>
      <c r="C245" s="351" t="s">
        <v>384</v>
      </c>
      <c r="D245" s="352" t="s">
        <v>501</v>
      </c>
      <c r="E245" s="351" t="s">
        <v>1141</v>
      </c>
      <c r="F245" s="352" t="s">
        <v>1142</v>
      </c>
      <c r="G245" s="351" t="s">
        <v>988</v>
      </c>
      <c r="H245" s="351" t="s">
        <v>989</v>
      </c>
      <c r="I245" s="353">
        <v>20.69</v>
      </c>
      <c r="J245" s="353">
        <v>350</v>
      </c>
      <c r="K245" s="354">
        <v>7241.5</v>
      </c>
    </row>
    <row r="246" spans="1:11" ht="14.4" customHeight="1" x14ac:dyDescent="0.3">
      <c r="A246" s="349" t="s">
        <v>379</v>
      </c>
      <c r="B246" s="350" t="s">
        <v>500</v>
      </c>
      <c r="C246" s="351" t="s">
        <v>384</v>
      </c>
      <c r="D246" s="352" t="s">
        <v>501</v>
      </c>
      <c r="E246" s="351" t="s">
        <v>1141</v>
      </c>
      <c r="F246" s="352" t="s">
        <v>1142</v>
      </c>
      <c r="G246" s="351" t="s">
        <v>990</v>
      </c>
      <c r="H246" s="351" t="s">
        <v>991</v>
      </c>
      <c r="I246" s="353">
        <v>16.212</v>
      </c>
      <c r="J246" s="353">
        <v>1000</v>
      </c>
      <c r="K246" s="354">
        <v>16214.399999999998</v>
      </c>
    </row>
    <row r="247" spans="1:11" ht="14.4" customHeight="1" x14ac:dyDescent="0.3">
      <c r="A247" s="349" t="s">
        <v>379</v>
      </c>
      <c r="B247" s="350" t="s">
        <v>500</v>
      </c>
      <c r="C247" s="351" t="s">
        <v>384</v>
      </c>
      <c r="D247" s="352" t="s">
        <v>501</v>
      </c>
      <c r="E247" s="351" t="s">
        <v>1141</v>
      </c>
      <c r="F247" s="352" t="s">
        <v>1142</v>
      </c>
      <c r="G247" s="351" t="s">
        <v>992</v>
      </c>
      <c r="H247" s="351" t="s">
        <v>993</v>
      </c>
      <c r="I247" s="353">
        <v>11.010000000000002</v>
      </c>
      <c r="J247" s="353">
        <v>2640</v>
      </c>
      <c r="K247" s="354">
        <v>29066.399999999998</v>
      </c>
    </row>
    <row r="248" spans="1:11" ht="14.4" customHeight="1" x14ac:dyDescent="0.3">
      <c r="A248" s="349" t="s">
        <v>379</v>
      </c>
      <c r="B248" s="350" t="s">
        <v>500</v>
      </c>
      <c r="C248" s="351" t="s">
        <v>384</v>
      </c>
      <c r="D248" s="352" t="s">
        <v>501</v>
      </c>
      <c r="E248" s="351" t="s">
        <v>1141</v>
      </c>
      <c r="F248" s="352" t="s">
        <v>1142</v>
      </c>
      <c r="G248" s="351" t="s">
        <v>994</v>
      </c>
      <c r="H248" s="351" t="s">
        <v>995</v>
      </c>
      <c r="I248" s="353">
        <v>11.010000000000002</v>
      </c>
      <c r="J248" s="353">
        <v>4320</v>
      </c>
      <c r="K248" s="354">
        <v>47563.199999999997</v>
      </c>
    </row>
    <row r="249" spans="1:11" ht="14.4" customHeight="1" x14ac:dyDescent="0.3">
      <c r="A249" s="349" t="s">
        <v>379</v>
      </c>
      <c r="B249" s="350" t="s">
        <v>500</v>
      </c>
      <c r="C249" s="351" t="s">
        <v>384</v>
      </c>
      <c r="D249" s="352" t="s">
        <v>501</v>
      </c>
      <c r="E249" s="351" t="s">
        <v>1141</v>
      </c>
      <c r="F249" s="352" t="s">
        <v>1142</v>
      </c>
      <c r="G249" s="351" t="s">
        <v>996</v>
      </c>
      <c r="H249" s="351" t="s">
        <v>997</v>
      </c>
      <c r="I249" s="353">
        <v>11.010000000000002</v>
      </c>
      <c r="J249" s="353">
        <v>3360</v>
      </c>
      <c r="K249" s="354">
        <v>36993.599999999991</v>
      </c>
    </row>
    <row r="250" spans="1:11" ht="14.4" customHeight="1" x14ac:dyDescent="0.3">
      <c r="A250" s="349" t="s">
        <v>379</v>
      </c>
      <c r="B250" s="350" t="s">
        <v>500</v>
      </c>
      <c r="C250" s="351" t="s">
        <v>384</v>
      </c>
      <c r="D250" s="352" t="s">
        <v>501</v>
      </c>
      <c r="E250" s="351" t="s">
        <v>1141</v>
      </c>
      <c r="F250" s="352" t="s">
        <v>1142</v>
      </c>
      <c r="G250" s="351" t="s">
        <v>998</v>
      </c>
      <c r="H250" s="351" t="s">
        <v>999</v>
      </c>
      <c r="I250" s="353">
        <v>11.011111111111113</v>
      </c>
      <c r="J250" s="353">
        <v>3870</v>
      </c>
      <c r="K250" s="354">
        <v>42609.770000000004</v>
      </c>
    </row>
    <row r="251" spans="1:11" ht="14.4" customHeight="1" x14ac:dyDescent="0.3">
      <c r="A251" s="349" t="s">
        <v>379</v>
      </c>
      <c r="B251" s="350" t="s">
        <v>500</v>
      </c>
      <c r="C251" s="351" t="s">
        <v>384</v>
      </c>
      <c r="D251" s="352" t="s">
        <v>501</v>
      </c>
      <c r="E251" s="351" t="s">
        <v>1141</v>
      </c>
      <c r="F251" s="352" t="s">
        <v>1142</v>
      </c>
      <c r="G251" s="351" t="s">
        <v>1000</v>
      </c>
      <c r="H251" s="351" t="s">
        <v>1001</v>
      </c>
      <c r="I251" s="353">
        <v>11.01</v>
      </c>
      <c r="J251" s="353">
        <v>2840</v>
      </c>
      <c r="K251" s="354">
        <v>31268.400000000001</v>
      </c>
    </row>
    <row r="252" spans="1:11" ht="14.4" customHeight="1" x14ac:dyDescent="0.3">
      <c r="A252" s="349" t="s">
        <v>379</v>
      </c>
      <c r="B252" s="350" t="s">
        <v>500</v>
      </c>
      <c r="C252" s="351" t="s">
        <v>384</v>
      </c>
      <c r="D252" s="352" t="s">
        <v>501</v>
      </c>
      <c r="E252" s="351" t="s">
        <v>1141</v>
      </c>
      <c r="F252" s="352" t="s">
        <v>1142</v>
      </c>
      <c r="G252" s="351" t="s">
        <v>1002</v>
      </c>
      <c r="H252" s="351" t="s">
        <v>1003</v>
      </c>
      <c r="I252" s="353">
        <v>11.01</v>
      </c>
      <c r="J252" s="353">
        <v>2360</v>
      </c>
      <c r="K252" s="354">
        <v>25983.599999999999</v>
      </c>
    </row>
    <row r="253" spans="1:11" ht="14.4" customHeight="1" x14ac:dyDescent="0.3">
      <c r="A253" s="349" t="s">
        <v>379</v>
      </c>
      <c r="B253" s="350" t="s">
        <v>500</v>
      </c>
      <c r="C253" s="351" t="s">
        <v>384</v>
      </c>
      <c r="D253" s="352" t="s">
        <v>501</v>
      </c>
      <c r="E253" s="351" t="s">
        <v>1141</v>
      </c>
      <c r="F253" s="352" t="s">
        <v>1142</v>
      </c>
      <c r="G253" s="351" t="s">
        <v>1004</v>
      </c>
      <c r="H253" s="351" t="s">
        <v>1005</v>
      </c>
      <c r="I253" s="353">
        <v>10.55</v>
      </c>
      <c r="J253" s="353">
        <v>480</v>
      </c>
      <c r="K253" s="354">
        <v>5064.58</v>
      </c>
    </row>
    <row r="254" spans="1:11" ht="14.4" customHeight="1" x14ac:dyDescent="0.3">
      <c r="A254" s="349" t="s">
        <v>379</v>
      </c>
      <c r="B254" s="350" t="s">
        <v>500</v>
      </c>
      <c r="C254" s="351" t="s">
        <v>384</v>
      </c>
      <c r="D254" s="352" t="s">
        <v>501</v>
      </c>
      <c r="E254" s="351" t="s">
        <v>1141</v>
      </c>
      <c r="F254" s="352" t="s">
        <v>1142</v>
      </c>
      <c r="G254" s="351" t="s">
        <v>1006</v>
      </c>
      <c r="H254" s="351" t="s">
        <v>1007</v>
      </c>
      <c r="I254" s="353">
        <v>10.55</v>
      </c>
      <c r="J254" s="353">
        <v>320</v>
      </c>
      <c r="K254" s="354">
        <v>3376.53</v>
      </c>
    </row>
    <row r="255" spans="1:11" ht="14.4" customHeight="1" x14ac:dyDescent="0.3">
      <c r="A255" s="349" t="s">
        <v>379</v>
      </c>
      <c r="B255" s="350" t="s">
        <v>500</v>
      </c>
      <c r="C255" s="351" t="s">
        <v>384</v>
      </c>
      <c r="D255" s="352" t="s">
        <v>501</v>
      </c>
      <c r="E255" s="351" t="s">
        <v>1141</v>
      </c>
      <c r="F255" s="352" t="s">
        <v>1142</v>
      </c>
      <c r="G255" s="351" t="s">
        <v>1006</v>
      </c>
      <c r="H255" s="351" t="s">
        <v>1008</v>
      </c>
      <c r="I255" s="353">
        <v>10.55</v>
      </c>
      <c r="J255" s="353">
        <v>600</v>
      </c>
      <c r="K255" s="354">
        <v>6330.93</v>
      </c>
    </row>
    <row r="256" spans="1:11" ht="14.4" customHeight="1" x14ac:dyDescent="0.3">
      <c r="A256" s="349" t="s">
        <v>379</v>
      </c>
      <c r="B256" s="350" t="s">
        <v>500</v>
      </c>
      <c r="C256" s="351" t="s">
        <v>384</v>
      </c>
      <c r="D256" s="352" t="s">
        <v>501</v>
      </c>
      <c r="E256" s="351" t="s">
        <v>1141</v>
      </c>
      <c r="F256" s="352" t="s">
        <v>1142</v>
      </c>
      <c r="G256" s="351" t="s">
        <v>1009</v>
      </c>
      <c r="H256" s="351" t="s">
        <v>1010</v>
      </c>
      <c r="I256" s="353">
        <v>16.212499999999999</v>
      </c>
      <c r="J256" s="353">
        <v>575</v>
      </c>
      <c r="K256" s="354">
        <v>9323.0499999999993</v>
      </c>
    </row>
    <row r="257" spans="1:11" ht="14.4" customHeight="1" x14ac:dyDescent="0.3">
      <c r="A257" s="349" t="s">
        <v>379</v>
      </c>
      <c r="B257" s="350" t="s">
        <v>500</v>
      </c>
      <c r="C257" s="351" t="s">
        <v>384</v>
      </c>
      <c r="D257" s="352" t="s">
        <v>501</v>
      </c>
      <c r="E257" s="351" t="s">
        <v>1141</v>
      </c>
      <c r="F257" s="352" t="s">
        <v>1142</v>
      </c>
      <c r="G257" s="351" t="s">
        <v>1011</v>
      </c>
      <c r="H257" s="351" t="s">
        <v>1012</v>
      </c>
      <c r="I257" s="353">
        <v>11.01</v>
      </c>
      <c r="J257" s="353">
        <v>400</v>
      </c>
      <c r="K257" s="354">
        <v>4404.3999999999996</v>
      </c>
    </row>
    <row r="258" spans="1:11" ht="14.4" customHeight="1" x14ac:dyDescent="0.3">
      <c r="A258" s="349" t="s">
        <v>379</v>
      </c>
      <c r="B258" s="350" t="s">
        <v>500</v>
      </c>
      <c r="C258" s="351" t="s">
        <v>384</v>
      </c>
      <c r="D258" s="352" t="s">
        <v>501</v>
      </c>
      <c r="E258" s="351" t="s">
        <v>1141</v>
      </c>
      <c r="F258" s="352" t="s">
        <v>1142</v>
      </c>
      <c r="G258" s="351" t="s">
        <v>1013</v>
      </c>
      <c r="H258" s="351" t="s">
        <v>1014</v>
      </c>
      <c r="I258" s="353">
        <v>10.55</v>
      </c>
      <c r="J258" s="353">
        <v>160</v>
      </c>
      <c r="K258" s="354">
        <v>1688.2</v>
      </c>
    </row>
    <row r="259" spans="1:11" ht="14.4" customHeight="1" x14ac:dyDescent="0.3">
      <c r="A259" s="349" t="s">
        <v>379</v>
      </c>
      <c r="B259" s="350" t="s">
        <v>500</v>
      </c>
      <c r="C259" s="351" t="s">
        <v>384</v>
      </c>
      <c r="D259" s="352" t="s">
        <v>501</v>
      </c>
      <c r="E259" s="351" t="s">
        <v>1141</v>
      </c>
      <c r="F259" s="352" t="s">
        <v>1142</v>
      </c>
      <c r="G259" s="351" t="s">
        <v>1015</v>
      </c>
      <c r="H259" s="351" t="s">
        <v>1016</v>
      </c>
      <c r="I259" s="353">
        <v>0.77750000000000008</v>
      </c>
      <c r="J259" s="353">
        <v>15000</v>
      </c>
      <c r="K259" s="354">
        <v>11670</v>
      </c>
    </row>
    <row r="260" spans="1:11" ht="14.4" customHeight="1" x14ac:dyDescent="0.3">
      <c r="A260" s="349" t="s">
        <v>379</v>
      </c>
      <c r="B260" s="350" t="s">
        <v>500</v>
      </c>
      <c r="C260" s="351" t="s">
        <v>384</v>
      </c>
      <c r="D260" s="352" t="s">
        <v>501</v>
      </c>
      <c r="E260" s="351" t="s">
        <v>1141</v>
      </c>
      <c r="F260" s="352" t="s">
        <v>1142</v>
      </c>
      <c r="G260" s="351" t="s">
        <v>1017</v>
      </c>
      <c r="H260" s="351" t="s">
        <v>1018</v>
      </c>
      <c r="I260" s="353">
        <v>0.71</v>
      </c>
      <c r="J260" s="353">
        <v>1800</v>
      </c>
      <c r="K260" s="354">
        <v>1278</v>
      </c>
    </row>
    <row r="261" spans="1:11" ht="14.4" customHeight="1" x14ac:dyDescent="0.3">
      <c r="A261" s="349" t="s">
        <v>379</v>
      </c>
      <c r="B261" s="350" t="s">
        <v>500</v>
      </c>
      <c r="C261" s="351" t="s">
        <v>384</v>
      </c>
      <c r="D261" s="352" t="s">
        <v>501</v>
      </c>
      <c r="E261" s="351" t="s">
        <v>1141</v>
      </c>
      <c r="F261" s="352" t="s">
        <v>1142</v>
      </c>
      <c r="G261" s="351" t="s">
        <v>1019</v>
      </c>
      <c r="H261" s="351" t="s">
        <v>1020</v>
      </c>
      <c r="I261" s="353">
        <v>0.71</v>
      </c>
      <c r="J261" s="353">
        <v>13000</v>
      </c>
      <c r="K261" s="354">
        <v>9230</v>
      </c>
    </row>
    <row r="262" spans="1:11" ht="14.4" customHeight="1" x14ac:dyDescent="0.3">
      <c r="A262" s="349" t="s">
        <v>379</v>
      </c>
      <c r="B262" s="350" t="s">
        <v>500</v>
      </c>
      <c r="C262" s="351" t="s">
        <v>384</v>
      </c>
      <c r="D262" s="352" t="s">
        <v>501</v>
      </c>
      <c r="E262" s="351" t="s">
        <v>1141</v>
      </c>
      <c r="F262" s="352" t="s">
        <v>1142</v>
      </c>
      <c r="G262" s="351" t="s">
        <v>1021</v>
      </c>
      <c r="H262" s="351" t="s">
        <v>1022</v>
      </c>
      <c r="I262" s="353">
        <v>20.32</v>
      </c>
      <c r="J262" s="353">
        <v>185</v>
      </c>
      <c r="K262" s="354">
        <v>3758.35</v>
      </c>
    </row>
    <row r="263" spans="1:11" ht="14.4" customHeight="1" x14ac:dyDescent="0.3">
      <c r="A263" s="349" t="s">
        <v>379</v>
      </c>
      <c r="B263" s="350" t="s">
        <v>500</v>
      </c>
      <c r="C263" s="351" t="s">
        <v>389</v>
      </c>
      <c r="D263" s="352" t="s">
        <v>502</v>
      </c>
      <c r="E263" s="351" t="s">
        <v>1123</v>
      </c>
      <c r="F263" s="352" t="s">
        <v>1124</v>
      </c>
      <c r="G263" s="351" t="s">
        <v>1023</v>
      </c>
      <c r="H263" s="351" t="s">
        <v>1024</v>
      </c>
      <c r="I263" s="353">
        <v>129.26</v>
      </c>
      <c r="J263" s="353">
        <v>1</v>
      </c>
      <c r="K263" s="354">
        <v>129.26</v>
      </c>
    </row>
    <row r="264" spans="1:11" ht="14.4" customHeight="1" x14ac:dyDescent="0.3">
      <c r="A264" s="349" t="s">
        <v>379</v>
      </c>
      <c r="B264" s="350" t="s">
        <v>500</v>
      </c>
      <c r="C264" s="351" t="s">
        <v>389</v>
      </c>
      <c r="D264" s="352" t="s">
        <v>502</v>
      </c>
      <c r="E264" s="351" t="s">
        <v>1123</v>
      </c>
      <c r="F264" s="352" t="s">
        <v>1124</v>
      </c>
      <c r="G264" s="351" t="s">
        <v>511</v>
      </c>
      <c r="H264" s="351" t="s">
        <v>512</v>
      </c>
      <c r="I264" s="353">
        <v>2.88</v>
      </c>
      <c r="J264" s="353">
        <v>3000</v>
      </c>
      <c r="K264" s="354">
        <v>8625</v>
      </c>
    </row>
    <row r="265" spans="1:11" ht="14.4" customHeight="1" x14ac:dyDescent="0.3">
      <c r="A265" s="349" t="s">
        <v>379</v>
      </c>
      <c r="B265" s="350" t="s">
        <v>500</v>
      </c>
      <c r="C265" s="351" t="s">
        <v>389</v>
      </c>
      <c r="D265" s="352" t="s">
        <v>502</v>
      </c>
      <c r="E265" s="351" t="s">
        <v>1123</v>
      </c>
      <c r="F265" s="352" t="s">
        <v>1124</v>
      </c>
      <c r="G265" s="351" t="s">
        <v>513</v>
      </c>
      <c r="H265" s="351" t="s">
        <v>514</v>
      </c>
      <c r="I265" s="353">
        <v>5.72</v>
      </c>
      <c r="J265" s="353">
        <v>30</v>
      </c>
      <c r="K265" s="354">
        <v>171.7</v>
      </c>
    </row>
    <row r="266" spans="1:11" ht="14.4" customHeight="1" x14ac:dyDescent="0.3">
      <c r="A266" s="349" t="s">
        <v>379</v>
      </c>
      <c r="B266" s="350" t="s">
        <v>500</v>
      </c>
      <c r="C266" s="351" t="s">
        <v>389</v>
      </c>
      <c r="D266" s="352" t="s">
        <v>502</v>
      </c>
      <c r="E266" s="351" t="s">
        <v>1123</v>
      </c>
      <c r="F266" s="352" t="s">
        <v>1124</v>
      </c>
      <c r="G266" s="351" t="s">
        <v>1025</v>
      </c>
      <c r="H266" s="351" t="s">
        <v>1026</v>
      </c>
      <c r="I266" s="353">
        <v>2.39</v>
      </c>
      <c r="J266" s="353">
        <v>20</v>
      </c>
      <c r="K266" s="354">
        <v>47.8</v>
      </c>
    </row>
    <row r="267" spans="1:11" ht="14.4" customHeight="1" x14ac:dyDescent="0.3">
      <c r="A267" s="349" t="s">
        <v>379</v>
      </c>
      <c r="B267" s="350" t="s">
        <v>500</v>
      </c>
      <c r="C267" s="351" t="s">
        <v>389</v>
      </c>
      <c r="D267" s="352" t="s">
        <v>502</v>
      </c>
      <c r="E267" s="351" t="s">
        <v>1123</v>
      </c>
      <c r="F267" s="352" t="s">
        <v>1124</v>
      </c>
      <c r="G267" s="351" t="s">
        <v>515</v>
      </c>
      <c r="H267" s="351" t="s">
        <v>516</v>
      </c>
      <c r="I267" s="353">
        <v>3.11</v>
      </c>
      <c r="J267" s="353">
        <v>20</v>
      </c>
      <c r="K267" s="354">
        <v>62.2</v>
      </c>
    </row>
    <row r="268" spans="1:11" ht="14.4" customHeight="1" x14ac:dyDescent="0.3">
      <c r="A268" s="349" t="s">
        <v>379</v>
      </c>
      <c r="B268" s="350" t="s">
        <v>500</v>
      </c>
      <c r="C268" s="351" t="s">
        <v>389</v>
      </c>
      <c r="D268" s="352" t="s">
        <v>502</v>
      </c>
      <c r="E268" s="351" t="s">
        <v>1123</v>
      </c>
      <c r="F268" s="352" t="s">
        <v>1124</v>
      </c>
      <c r="G268" s="351" t="s">
        <v>517</v>
      </c>
      <c r="H268" s="351" t="s">
        <v>518</v>
      </c>
      <c r="I268" s="353">
        <v>3.78</v>
      </c>
      <c r="J268" s="353">
        <v>20</v>
      </c>
      <c r="K268" s="354">
        <v>75.599999999999994</v>
      </c>
    </row>
    <row r="269" spans="1:11" ht="14.4" customHeight="1" x14ac:dyDescent="0.3">
      <c r="A269" s="349" t="s">
        <v>379</v>
      </c>
      <c r="B269" s="350" t="s">
        <v>500</v>
      </c>
      <c r="C269" s="351" t="s">
        <v>389</v>
      </c>
      <c r="D269" s="352" t="s">
        <v>502</v>
      </c>
      <c r="E269" s="351" t="s">
        <v>1123</v>
      </c>
      <c r="F269" s="352" t="s">
        <v>1124</v>
      </c>
      <c r="G269" s="351" t="s">
        <v>1027</v>
      </c>
      <c r="H269" s="351" t="s">
        <v>1028</v>
      </c>
      <c r="I269" s="353">
        <v>3.59</v>
      </c>
      <c r="J269" s="353">
        <v>40</v>
      </c>
      <c r="K269" s="354">
        <v>143.6</v>
      </c>
    </row>
    <row r="270" spans="1:11" ht="14.4" customHeight="1" x14ac:dyDescent="0.3">
      <c r="A270" s="349" t="s">
        <v>379</v>
      </c>
      <c r="B270" s="350" t="s">
        <v>500</v>
      </c>
      <c r="C270" s="351" t="s">
        <v>389</v>
      </c>
      <c r="D270" s="352" t="s">
        <v>502</v>
      </c>
      <c r="E270" s="351" t="s">
        <v>1123</v>
      </c>
      <c r="F270" s="352" t="s">
        <v>1124</v>
      </c>
      <c r="G270" s="351" t="s">
        <v>1029</v>
      </c>
      <c r="H270" s="351" t="s">
        <v>1030</v>
      </c>
      <c r="I270" s="353">
        <v>12.08</v>
      </c>
      <c r="J270" s="353">
        <v>30</v>
      </c>
      <c r="K270" s="354">
        <v>362.4</v>
      </c>
    </row>
    <row r="271" spans="1:11" ht="14.4" customHeight="1" x14ac:dyDescent="0.3">
      <c r="A271" s="349" t="s">
        <v>379</v>
      </c>
      <c r="B271" s="350" t="s">
        <v>500</v>
      </c>
      <c r="C271" s="351" t="s">
        <v>389</v>
      </c>
      <c r="D271" s="352" t="s">
        <v>502</v>
      </c>
      <c r="E271" s="351" t="s">
        <v>1123</v>
      </c>
      <c r="F271" s="352" t="s">
        <v>1124</v>
      </c>
      <c r="G271" s="351" t="s">
        <v>529</v>
      </c>
      <c r="H271" s="351" t="s">
        <v>530</v>
      </c>
      <c r="I271" s="353">
        <v>0.40666666666666668</v>
      </c>
      <c r="J271" s="353">
        <v>18000</v>
      </c>
      <c r="K271" s="354">
        <v>7320</v>
      </c>
    </row>
    <row r="272" spans="1:11" ht="14.4" customHeight="1" x14ac:dyDescent="0.3">
      <c r="A272" s="349" t="s">
        <v>379</v>
      </c>
      <c r="B272" s="350" t="s">
        <v>500</v>
      </c>
      <c r="C272" s="351" t="s">
        <v>389</v>
      </c>
      <c r="D272" s="352" t="s">
        <v>502</v>
      </c>
      <c r="E272" s="351" t="s">
        <v>1123</v>
      </c>
      <c r="F272" s="352" t="s">
        <v>1124</v>
      </c>
      <c r="G272" s="351" t="s">
        <v>531</v>
      </c>
      <c r="H272" s="351" t="s">
        <v>532</v>
      </c>
      <c r="I272" s="353">
        <v>27.36</v>
      </c>
      <c r="J272" s="353">
        <v>10</v>
      </c>
      <c r="K272" s="354">
        <v>273.60000000000002</v>
      </c>
    </row>
    <row r="273" spans="1:11" ht="14.4" customHeight="1" x14ac:dyDescent="0.3">
      <c r="A273" s="349" t="s">
        <v>379</v>
      </c>
      <c r="B273" s="350" t="s">
        <v>500</v>
      </c>
      <c r="C273" s="351" t="s">
        <v>389</v>
      </c>
      <c r="D273" s="352" t="s">
        <v>502</v>
      </c>
      <c r="E273" s="351" t="s">
        <v>1123</v>
      </c>
      <c r="F273" s="352" t="s">
        <v>1124</v>
      </c>
      <c r="G273" s="351" t="s">
        <v>1031</v>
      </c>
      <c r="H273" s="351" t="s">
        <v>1032</v>
      </c>
      <c r="I273" s="353">
        <v>6.2</v>
      </c>
      <c r="J273" s="353">
        <v>100</v>
      </c>
      <c r="K273" s="354">
        <v>620</v>
      </c>
    </row>
    <row r="274" spans="1:11" ht="14.4" customHeight="1" x14ac:dyDescent="0.3">
      <c r="A274" s="349" t="s">
        <v>379</v>
      </c>
      <c r="B274" s="350" t="s">
        <v>500</v>
      </c>
      <c r="C274" s="351" t="s">
        <v>389</v>
      </c>
      <c r="D274" s="352" t="s">
        <v>502</v>
      </c>
      <c r="E274" s="351" t="s">
        <v>1123</v>
      </c>
      <c r="F274" s="352" t="s">
        <v>1124</v>
      </c>
      <c r="G274" s="351" t="s">
        <v>1033</v>
      </c>
      <c r="H274" s="351" t="s">
        <v>1034</v>
      </c>
      <c r="I274" s="353">
        <v>65.2</v>
      </c>
      <c r="J274" s="353">
        <v>10</v>
      </c>
      <c r="K274" s="354">
        <v>652</v>
      </c>
    </row>
    <row r="275" spans="1:11" ht="14.4" customHeight="1" x14ac:dyDescent="0.3">
      <c r="A275" s="349" t="s">
        <v>379</v>
      </c>
      <c r="B275" s="350" t="s">
        <v>500</v>
      </c>
      <c r="C275" s="351" t="s">
        <v>389</v>
      </c>
      <c r="D275" s="352" t="s">
        <v>502</v>
      </c>
      <c r="E275" s="351" t="s">
        <v>1123</v>
      </c>
      <c r="F275" s="352" t="s">
        <v>1124</v>
      </c>
      <c r="G275" s="351" t="s">
        <v>1035</v>
      </c>
      <c r="H275" s="351" t="s">
        <v>1036</v>
      </c>
      <c r="I275" s="353">
        <v>15.53</v>
      </c>
      <c r="J275" s="353">
        <v>10</v>
      </c>
      <c r="K275" s="354">
        <v>155.30000000000001</v>
      </c>
    </row>
    <row r="276" spans="1:11" ht="14.4" customHeight="1" x14ac:dyDescent="0.3">
      <c r="A276" s="349" t="s">
        <v>379</v>
      </c>
      <c r="B276" s="350" t="s">
        <v>500</v>
      </c>
      <c r="C276" s="351" t="s">
        <v>389</v>
      </c>
      <c r="D276" s="352" t="s">
        <v>502</v>
      </c>
      <c r="E276" s="351" t="s">
        <v>1123</v>
      </c>
      <c r="F276" s="352" t="s">
        <v>1124</v>
      </c>
      <c r="G276" s="351" t="s">
        <v>535</v>
      </c>
      <c r="H276" s="351" t="s">
        <v>536</v>
      </c>
      <c r="I276" s="353">
        <v>26.45</v>
      </c>
      <c r="J276" s="353">
        <v>3700</v>
      </c>
      <c r="K276" s="354">
        <v>97865</v>
      </c>
    </row>
    <row r="277" spans="1:11" ht="14.4" customHeight="1" x14ac:dyDescent="0.3">
      <c r="A277" s="349" t="s">
        <v>379</v>
      </c>
      <c r="B277" s="350" t="s">
        <v>500</v>
      </c>
      <c r="C277" s="351" t="s">
        <v>389</v>
      </c>
      <c r="D277" s="352" t="s">
        <v>502</v>
      </c>
      <c r="E277" s="351" t="s">
        <v>1123</v>
      </c>
      <c r="F277" s="352" t="s">
        <v>1124</v>
      </c>
      <c r="G277" s="351" t="s">
        <v>1037</v>
      </c>
      <c r="H277" s="351" t="s">
        <v>1038</v>
      </c>
      <c r="I277" s="353">
        <v>0.3</v>
      </c>
      <c r="J277" s="353">
        <v>900</v>
      </c>
      <c r="K277" s="354">
        <v>274.27999999999997</v>
      </c>
    </row>
    <row r="278" spans="1:11" ht="14.4" customHeight="1" x14ac:dyDescent="0.3">
      <c r="A278" s="349" t="s">
        <v>379</v>
      </c>
      <c r="B278" s="350" t="s">
        <v>500</v>
      </c>
      <c r="C278" s="351" t="s">
        <v>389</v>
      </c>
      <c r="D278" s="352" t="s">
        <v>502</v>
      </c>
      <c r="E278" s="351" t="s">
        <v>1123</v>
      </c>
      <c r="F278" s="352" t="s">
        <v>1124</v>
      </c>
      <c r="G278" s="351" t="s">
        <v>537</v>
      </c>
      <c r="H278" s="351" t="s">
        <v>538</v>
      </c>
      <c r="I278" s="353">
        <v>0.31</v>
      </c>
      <c r="J278" s="353">
        <v>2000</v>
      </c>
      <c r="K278" s="354">
        <v>620</v>
      </c>
    </row>
    <row r="279" spans="1:11" ht="14.4" customHeight="1" x14ac:dyDescent="0.3">
      <c r="A279" s="349" t="s">
        <v>379</v>
      </c>
      <c r="B279" s="350" t="s">
        <v>500</v>
      </c>
      <c r="C279" s="351" t="s">
        <v>389</v>
      </c>
      <c r="D279" s="352" t="s">
        <v>502</v>
      </c>
      <c r="E279" s="351" t="s">
        <v>1123</v>
      </c>
      <c r="F279" s="352" t="s">
        <v>1124</v>
      </c>
      <c r="G279" s="351" t="s">
        <v>539</v>
      </c>
      <c r="H279" s="351" t="s">
        <v>540</v>
      </c>
      <c r="I279" s="353">
        <v>61.225000000000001</v>
      </c>
      <c r="J279" s="353">
        <v>6</v>
      </c>
      <c r="K279" s="354">
        <v>367.32</v>
      </c>
    </row>
    <row r="280" spans="1:11" ht="14.4" customHeight="1" x14ac:dyDescent="0.3">
      <c r="A280" s="349" t="s">
        <v>379</v>
      </c>
      <c r="B280" s="350" t="s">
        <v>500</v>
      </c>
      <c r="C280" s="351" t="s">
        <v>389</v>
      </c>
      <c r="D280" s="352" t="s">
        <v>502</v>
      </c>
      <c r="E280" s="351" t="s">
        <v>1123</v>
      </c>
      <c r="F280" s="352" t="s">
        <v>1124</v>
      </c>
      <c r="G280" s="351" t="s">
        <v>541</v>
      </c>
      <c r="H280" s="351" t="s">
        <v>542</v>
      </c>
      <c r="I280" s="353">
        <v>30.17</v>
      </c>
      <c r="J280" s="353">
        <v>40</v>
      </c>
      <c r="K280" s="354">
        <v>1206.8</v>
      </c>
    </row>
    <row r="281" spans="1:11" ht="14.4" customHeight="1" x14ac:dyDescent="0.3">
      <c r="A281" s="349" t="s">
        <v>379</v>
      </c>
      <c r="B281" s="350" t="s">
        <v>500</v>
      </c>
      <c r="C281" s="351" t="s">
        <v>389</v>
      </c>
      <c r="D281" s="352" t="s">
        <v>502</v>
      </c>
      <c r="E281" s="351" t="s">
        <v>1123</v>
      </c>
      <c r="F281" s="352" t="s">
        <v>1124</v>
      </c>
      <c r="G281" s="351" t="s">
        <v>1039</v>
      </c>
      <c r="H281" s="351" t="s">
        <v>1040</v>
      </c>
      <c r="I281" s="353">
        <v>16.100000000000001</v>
      </c>
      <c r="J281" s="353">
        <v>40</v>
      </c>
      <c r="K281" s="354">
        <v>644</v>
      </c>
    </row>
    <row r="282" spans="1:11" ht="14.4" customHeight="1" x14ac:dyDescent="0.3">
      <c r="A282" s="349" t="s">
        <v>379</v>
      </c>
      <c r="B282" s="350" t="s">
        <v>500</v>
      </c>
      <c r="C282" s="351" t="s">
        <v>389</v>
      </c>
      <c r="D282" s="352" t="s">
        <v>502</v>
      </c>
      <c r="E282" s="351" t="s">
        <v>1123</v>
      </c>
      <c r="F282" s="352" t="s">
        <v>1124</v>
      </c>
      <c r="G282" s="351" t="s">
        <v>1041</v>
      </c>
      <c r="H282" s="351" t="s">
        <v>1042</v>
      </c>
      <c r="I282" s="353">
        <v>12.42</v>
      </c>
      <c r="J282" s="353">
        <v>140</v>
      </c>
      <c r="K282" s="354">
        <v>1738.8</v>
      </c>
    </row>
    <row r="283" spans="1:11" ht="14.4" customHeight="1" x14ac:dyDescent="0.3">
      <c r="A283" s="349" t="s">
        <v>379</v>
      </c>
      <c r="B283" s="350" t="s">
        <v>500</v>
      </c>
      <c r="C283" s="351" t="s">
        <v>389</v>
      </c>
      <c r="D283" s="352" t="s">
        <v>502</v>
      </c>
      <c r="E283" s="351" t="s">
        <v>1123</v>
      </c>
      <c r="F283" s="352" t="s">
        <v>1124</v>
      </c>
      <c r="G283" s="351" t="s">
        <v>549</v>
      </c>
      <c r="H283" s="351" t="s">
        <v>550</v>
      </c>
      <c r="I283" s="353">
        <v>357.45333333333332</v>
      </c>
      <c r="J283" s="353">
        <v>72</v>
      </c>
      <c r="K283" s="354">
        <v>25736.699999999997</v>
      </c>
    </row>
    <row r="284" spans="1:11" ht="14.4" customHeight="1" x14ac:dyDescent="0.3">
      <c r="A284" s="349" t="s">
        <v>379</v>
      </c>
      <c r="B284" s="350" t="s">
        <v>500</v>
      </c>
      <c r="C284" s="351" t="s">
        <v>389</v>
      </c>
      <c r="D284" s="352" t="s">
        <v>502</v>
      </c>
      <c r="E284" s="351" t="s">
        <v>1123</v>
      </c>
      <c r="F284" s="352" t="s">
        <v>1124</v>
      </c>
      <c r="G284" s="351" t="s">
        <v>551</v>
      </c>
      <c r="H284" s="351" t="s">
        <v>552</v>
      </c>
      <c r="I284" s="353">
        <v>64.91</v>
      </c>
      <c r="J284" s="353">
        <v>24</v>
      </c>
      <c r="K284" s="354">
        <v>1557.74</v>
      </c>
    </row>
    <row r="285" spans="1:11" ht="14.4" customHeight="1" x14ac:dyDescent="0.3">
      <c r="A285" s="349" t="s">
        <v>379</v>
      </c>
      <c r="B285" s="350" t="s">
        <v>500</v>
      </c>
      <c r="C285" s="351" t="s">
        <v>389</v>
      </c>
      <c r="D285" s="352" t="s">
        <v>502</v>
      </c>
      <c r="E285" s="351" t="s">
        <v>1123</v>
      </c>
      <c r="F285" s="352" t="s">
        <v>1124</v>
      </c>
      <c r="G285" s="351" t="s">
        <v>553</v>
      </c>
      <c r="H285" s="351" t="s">
        <v>554</v>
      </c>
      <c r="I285" s="353">
        <v>10.72</v>
      </c>
      <c r="J285" s="353">
        <v>120</v>
      </c>
      <c r="K285" s="354">
        <v>1286.1600000000001</v>
      </c>
    </row>
    <row r="286" spans="1:11" ht="14.4" customHeight="1" x14ac:dyDescent="0.3">
      <c r="A286" s="349" t="s">
        <v>379</v>
      </c>
      <c r="B286" s="350" t="s">
        <v>500</v>
      </c>
      <c r="C286" s="351" t="s">
        <v>389</v>
      </c>
      <c r="D286" s="352" t="s">
        <v>502</v>
      </c>
      <c r="E286" s="351" t="s">
        <v>1123</v>
      </c>
      <c r="F286" s="352" t="s">
        <v>1124</v>
      </c>
      <c r="G286" s="351" t="s">
        <v>555</v>
      </c>
      <c r="H286" s="351" t="s">
        <v>556</v>
      </c>
      <c r="I286" s="353">
        <v>9.73</v>
      </c>
      <c r="J286" s="353">
        <v>240</v>
      </c>
      <c r="K286" s="354">
        <v>2335.1999999999998</v>
      </c>
    </row>
    <row r="287" spans="1:11" ht="14.4" customHeight="1" x14ac:dyDescent="0.3">
      <c r="A287" s="349" t="s">
        <v>379</v>
      </c>
      <c r="B287" s="350" t="s">
        <v>500</v>
      </c>
      <c r="C287" s="351" t="s">
        <v>389</v>
      </c>
      <c r="D287" s="352" t="s">
        <v>502</v>
      </c>
      <c r="E287" s="351" t="s">
        <v>1123</v>
      </c>
      <c r="F287" s="352" t="s">
        <v>1124</v>
      </c>
      <c r="G287" s="351" t="s">
        <v>1043</v>
      </c>
      <c r="H287" s="351" t="s">
        <v>1044</v>
      </c>
      <c r="I287" s="353">
        <v>1.17</v>
      </c>
      <c r="J287" s="353">
        <v>100</v>
      </c>
      <c r="K287" s="354">
        <v>117</v>
      </c>
    </row>
    <row r="288" spans="1:11" ht="14.4" customHeight="1" x14ac:dyDescent="0.3">
      <c r="A288" s="349" t="s">
        <v>379</v>
      </c>
      <c r="B288" s="350" t="s">
        <v>500</v>
      </c>
      <c r="C288" s="351" t="s">
        <v>389</v>
      </c>
      <c r="D288" s="352" t="s">
        <v>502</v>
      </c>
      <c r="E288" s="351" t="s">
        <v>1123</v>
      </c>
      <c r="F288" s="352" t="s">
        <v>1124</v>
      </c>
      <c r="G288" s="351" t="s">
        <v>563</v>
      </c>
      <c r="H288" s="351" t="s">
        <v>564</v>
      </c>
      <c r="I288" s="353">
        <v>1.62</v>
      </c>
      <c r="J288" s="353">
        <v>1250</v>
      </c>
      <c r="K288" s="354">
        <v>2026</v>
      </c>
    </row>
    <row r="289" spans="1:11" ht="14.4" customHeight="1" x14ac:dyDescent="0.3">
      <c r="A289" s="349" t="s">
        <v>379</v>
      </c>
      <c r="B289" s="350" t="s">
        <v>500</v>
      </c>
      <c r="C289" s="351" t="s">
        <v>389</v>
      </c>
      <c r="D289" s="352" t="s">
        <v>502</v>
      </c>
      <c r="E289" s="351" t="s">
        <v>1123</v>
      </c>
      <c r="F289" s="352" t="s">
        <v>1124</v>
      </c>
      <c r="G289" s="351" t="s">
        <v>565</v>
      </c>
      <c r="H289" s="351" t="s">
        <v>566</v>
      </c>
      <c r="I289" s="353">
        <v>214.05</v>
      </c>
      <c r="J289" s="353">
        <v>8</v>
      </c>
      <c r="K289" s="354">
        <v>1712.4</v>
      </c>
    </row>
    <row r="290" spans="1:11" ht="14.4" customHeight="1" x14ac:dyDescent="0.3">
      <c r="A290" s="349" t="s">
        <v>379</v>
      </c>
      <c r="B290" s="350" t="s">
        <v>500</v>
      </c>
      <c r="C290" s="351" t="s">
        <v>389</v>
      </c>
      <c r="D290" s="352" t="s">
        <v>502</v>
      </c>
      <c r="E290" s="351" t="s">
        <v>1123</v>
      </c>
      <c r="F290" s="352" t="s">
        <v>1124</v>
      </c>
      <c r="G290" s="351" t="s">
        <v>1045</v>
      </c>
      <c r="H290" s="351" t="s">
        <v>1046</v>
      </c>
      <c r="I290" s="353">
        <v>13.16</v>
      </c>
      <c r="J290" s="353">
        <v>72</v>
      </c>
      <c r="K290" s="354">
        <v>947.23</v>
      </c>
    </row>
    <row r="291" spans="1:11" ht="14.4" customHeight="1" x14ac:dyDescent="0.3">
      <c r="A291" s="349" t="s">
        <v>379</v>
      </c>
      <c r="B291" s="350" t="s">
        <v>500</v>
      </c>
      <c r="C291" s="351" t="s">
        <v>389</v>
      </c>
      <c r="D291" s="352" t="s">
        <v>502</v>
      </c>
      <c r="E291" s="351" t="s">
        <v>1123</v>
      </c>
      <c r="F291" s="352" t="s">
        <v>1124</v>
      </c>
      <c r="G291" s="351" t="s">
        <v>567</v>
      </c>
      <c r="H291" s="351" t="s">
        <v>568</v>
      </c>
      <c r="I291" s="353">
        <v>0.85</v>
      </c>
      <c r="J291" s="353">
        <v>200</v>
      </c>
      <c r="K291" s="354">
        <v>170</v>
      </c>
    </row>
    <row r="292" spans="1:11" ht="14.4" customHeight="1" x14ac:dyDescent="0.3">
      <c r="A292" s="349" t="s">
        <v>379</v>
      </c>
      <c r="B292" s="350" t="s">
        <v>500</v>
      </c>
      <c r="C292" s="351" t="s">
        <v>389</v>
      </c>
      <c r="D292" s="352" t="s">
        <v>502</v>
      </c>
      <c r="E292" s="351" t="s">
        <v>1123</v>
      </c>
      <c r="F292" s="352" t="s">
        <v>1124</v>
      </c>
      <c r="G292" s="351" t="s">
        <v>571</v>
      </c>
      <c r="H292" s="351" t="s">
        <v>572</v>
      </c>
      <c r="I292" s="353">
        <v>2.06</v>
      </c>
      <c r="J292" s="353">
        <v>200</v>
      </c>
      <c r="K292" s="354">
        <v>412</v>
      </c>
    </row>
    <row r="293" spans="1:11" ht="14.4" customHeight="1" x14ac:dyDescent="0.3">
      <c r="A293" s="349" t="s">
        <v>379</v>
      </c>
      <c r="B293" s="350" t="s">
        <v>500</v>
      </c>
      <c r="C293" s="351" t="s">
        <v>389</v>
      </c>
      <c r="D293" s="352" t="s">
        <v>502</v>
      </c>
      <c r="E293" s="351" t="s">
        <v>1123</v>
      </c>
      <c r="F293" s="352" t="s">
        <v>1124</v>
      </c>
      <c r="G293" s="351" t="s">
        <v>573</v>
      </c>
      <c r="H293" s="351" t="s">
        <v>574</v>
      </c>
      <c r="I293" s="353">
        <v>3.36</v>
      </c>
      <c r="J293" s="353">
        <v>200</v>
      </c>
      <c r="K293" s="354">
        <v>672</v>
      </c>
    </row>
    <row r="294" spans="1:11" ht="14.4" customHeight="1" x14ac:dyDescent="0.3">
      <c r="A294" s="349" t="s">
        <v>379</v>
      </c>
      <c r="B294" s="350" t="s">
        <v>500</v>
      </c>
      <c r="C294" s="351" t="s">
        <v>389</v>
      </c>
      <c r="D294" s="352" t="s">
        <v>502</v>
      </c>
      <c r="E294" s="351" t="s">
        <v>1123</v>
      </c>
      <c r="F294" s="352" t="s">
        <v>1124</v>
      </c>
      <c r="G294" s="351" t="s">
        <v>1047</v>
      </c>
      <c r="H294" s="351" t="s">
        <v>1048</v>
      </c>
      <c r="I294" s="353">
        <v>111.42999999999999</v>
      </c>
      <c r="J294" s="353">
        <v>65</v>
      </c>
      <c r="K294" s="354">
        <v>7222.45</v>
      </c>
    </row>
    <row r="295" spans="1:11" ht="14.4" customHeight="1" x14ac:dyDescent="0.3">
      <c r="A295" s="349" t="s">
        <v>379</v>
      </c>
      <c r="B295" s="350" t="s">
        <v>500</v>
      </c>
      <c r="C295" s="351" t="s">
        <v>389</v>
      </c>
      <c r="D295" s="352" t="s">
        <v>502</v>
      </c>
      <c r="E295" s="351" t="s">
        <v>1123</v>
      </c>
      <c r="F295" s="352" t="s">
        <v>1124</v>
      </c>
      <c r="G295" s="351" t="s">
        <v>1049</v>
      </c>
      <c r="H295" s="351" t="s">
        <v>1050</v>
      </c>
      <c r="I295" s="353">
        <v>64.069999999999993</v>
      </c>
      <c r="J295" s="353">
        <v>100</v>
      </c>
      <c r="K295" s="354">
        <v>6403.74</v>
      </c>
    </row>
    <row r="296" spans="1:11" ht="14.4" customHeight="1" x14ac:dyDescent="0.3">
      <c r="A296" s="349" t="s">
        <v>379</v>
      </c>
      <c r="B296" s="350" t="s">
        <v>500</v>
      </c>
      <c r="C296" s="351" t="s">
        <v>389</v>
      </c>
      <c r="D296" s="352" t="s">
        <v>502</v>
      </c>
      <c r="E296" s="351" t="s">
        <v>1123</v>
      </c>
      <c r="F296" s="352" t="s">
        <v>1124</v>
      </c>
      <c r="G296" s="351" t="s">
        <v>575</v>
      </c>
      <c r="H296" s="351" t="s">
        <v>576</v>
      </c>
      <c r="I296" s="353">
        <v>18.75</v>
      </c>
      <c r="J296" s="353">
        <v>20</v>
      </c>
      <c r="K296" s="354">
        <v>375.06</v>
      </c>
    </row>
    <row r="297" spans="1:11" ht="14.4" customHeight="1" x14ac:dyDescent="0.3">
      <c r="A297" s="349" t="s">
        <v>379</v>
      </c>
      <c r="B297" s="350" t="s">
        <v>500</v>
      </c>
      <c r="C297" s="351" t="s">
        <v>389</v>
      </c>
      <c r="D297" s="352" t="s">
        <v>502</v>
      </c>
      <c r="E297" s="351" t="s">
        <v>1123</v>
      </c>
      <c r="F297" s="352" t="s">
        <v>1124</v>
      </c>
      <c r="G297" s="351" t="s">
        <v>577</v>
      </c>
      <c r="H297" s="351" t="s">
        <v>578</v>
      </c>
      <c r="I297" s="353">
        <v>0.29000000000000004</v>
      </c>
      <c r="J297" s="353">
        <v>24000</v>
      </c>
      <c r="K297" s="354">
        <v>6931.05</v>
      </c>
    </row>
    <row r="298" spans="1:11" ht="14.4" customHeight="1" x14ac:dyDescent="0.3">
      <c r="A298" s="349" t="s">
        <v>379</v>
      </c>
      <c r="B298" s="350" t="s">
        <v>500</v>
      </c>
      <c r="C298" s="351" t="s">
        <v>389</v>
      </c>
      <c r="D298" s="352" t="s">
        <v>502</v>
      </c>
      <c r="E298" s="351" t="s">
        <v>1123</v>
      </c>
      <c r="F298" s="352" t="s">
        <v>1124</v>
      </c>
      <c r="G298" s="351" t="s">
        <v>581</v>
      </c>
      <c r="H298" s="351" t="s">
        <v>582</v>
      </c>
      <c r="I298" s="353">
        <v>664.6</v>
      </c>
      <c r="J298" s="353">
        <v>48</v>
      </c>
      <c r="K298" s="354">
        <v>31901</v>
      </c>
    </row>
    <row r="299" spans="1:11" ht="14.4" customHeight="1" x14ac:dyDescent="0.3">
      <c r="A299" s="349" t="s">
        <v>379</v>
      </c>
      <c r="B299" s="350" t="s">
        <v>500</v>
      </c>
      <c r="C299" s="351" t="s">
        <v>389</v>
      </c>
      <c r="D299" s="352" t="s">
        <v>502</v>
      </c>
      <c r="E299" s="351" t="s">
        <v>1123</v>
      </c>
      <c r="F299" s="352" t="s">
        <v>1124</v>
      </c>
      <c r="G299" s="351" t="s">
        <v>1051</v>
      </c>
      <c r="H299" s="351" t="s">
        <v>1052</v>
      </c>
      <c r="I299" s="353">
        <v>1</v>
      </c>
      <c r="J299" s="353">
        <v>1000</v>
      </c>
      <c r="K299" s="354">
        <v>1003.14</v>
      </c>
    </row>
    <row r="300" spans="1:11" ht="14.4" customHeight="1" x14ac:dyDescent="0.3">
      <c r="A300" s="349" t="s">
        <v>379</v>
      </c>
      <c r="B300" s="350" t="s">
        <v>500</v>
      </c>
      <c r="C300" s="351" t="s">
        <v>389</v>
      </c>
      <c r="D300" s="352" t="s">
        <v>502</v>
      </c>
      <c r="E300" s="351" t="s">
        <v>1123</v>
      </c>
      <c r="F300" s="352" t="s">
        <v>1124</v>
      </c>
      <c r="G300" s="351" t="s">
        <v>585</v>
      </c>
      <c r="H300" s="351" t="s">
        <v>586</v>
      </c>
      <c r="I300" s="353">
        <v>38.4</v>
      </c>
      <c r="J300" s="353">
        <v>40</v>
      </c>
      <c r="K300" s="354">
        <v>1536</v>
      </c>
    </row>
    <row r="301" spans="1:11" ht="14.4" customHeight="1" x14ac:dyDescent="0.3">
      <c r="A301" s="349" t="s">
        <v>379</v>
      </c>
      <c r="B301" s="350" t="s">
        <v>500</v>
      </c>
      <c r="C301" s="351" t="s">
        <v>389</v>
      </c>
      <c r="D301" s="352" t="s">
        <v>502</v>
      </c>
      <c r="E301" s="351" t="s">
        <v>1123</v>
      </c>
      <c r="F301" s="352" t="s">
        <v>1124</v>
      </c>
      <c r="G301" s="351" t="s">
        <v>589</v>
      </c>
      <c r="H301" s="351" t="s">
        <v>590</v>
      </c>
      <c r="I301" s="353">
        <v>167.83</v>
      </c>
      <c r="J301" s="353">
        <v>15</v>
      </c>
      <c r="K301" s="354">
        <v>2517.4499999999998</v>
      </c>
    </row>
    <row r="302" spans="1:11" ht="14.4" customHeight="1" x14ac:dyDescent="0.3">
      <c r="A302" s="349" t="s">
        <v>379</v>
      </c>
      <c r="B302" s="350" t="s">
        <v>500</v>
      </c>
      <c r="C302" s="351" t="s">
        <v>389</v>
      </c>
      <c r="D302" s="352" t="s">
        <v>502</v>
      </c>
      <c r="E302" s="351" t="s">
        <v>1123</v>
      </c>
      <c r="F302" s="352" t="s">
        <v>1124</v>
      </c>
      <c r="G302" s="351" t="s">
        <v>1053</v>
      </c>
      <c r="H302" s="351" t="s">
        <v>1054</v>
      </c>
      <c r="I302" s="353">
        <v>52.92</v>
      </c>
      <c r="J302" s="353">
        <v>50</v>
      </c>
      <c r="K302" s="354">
        <v>2646</v>
      </c>
    </row>
    <row r="303" spans="1:11" ht="14.4" customHeight="1" x14ac:dyDescent="0.3">
      <c r="A303" s="349" t="s">
        <v>379</v>
      </c>
      <c r="B303" s="350" t="s">
        <v>500</v>
      </c>
      <c r="C303" s="351" t="s">
        <v>389</v>
      </c>
      <c r="D303" s="352" t="s">
        <v>502</v>
      </c>
      <c r="E303" s="351" t="s">
        <v>1123</v>
      </c>
      <c r="F303" s="352" t="s">
        <v>1124</v>
      </c>
      <c r="G303" s="351" t="s">
        <v>591</v>
      </c>
      <c r="H303" s="351" t="s">
        <v>592</v>
      </c>
      <c r="I303" s="353">
        <v>661.25</v>
      </c>
      <c r="J303" s="353">
        <v>10</v>
      </c>
      <c r="K303" s="354">
        <v>6612.5</v>
      </c>
    </row>
    <row r="304" spans="1:11" ht="14.4" customHeight="1" x14ac:dyDescent="0.3">
      <c r="A304" s="349" t="s">
        <v>379</v>
      </c>
      <c r="B304" s="350" t="s">
        <v>500</v>
      </c>
      <c r="C304" s="351" t="s">
        <v>389</v>
      </c>
      <c r="D304" s="352" t="s">
        <v>502</v>
      </c>
      <c r="E304" s="351" t="s">
        <v>1123</v>
      </c>
      <c r="F304" s="352" t="s">
        <v>1124</v>
      </c>
      <c r="G304" s="351" t="s">
        <v>595</v>
      </c>
      <c r="H304" s="351" t="s">
        <v>596</v>
      </c>
      <c r="I304" s="353">
        <v>138</v>
      </c>
      <c r="J304" s="353">
        <v>15</v>
      </c>
      <c r="K304" s="354">
        <v>2070</v>
      </c>
    </row>
    <row r="305" spans="1:11" ht="14.4" customHeight="1" x14ac:dyDescent="0.3">
      <c r="A305" s="349" t="s">
        <v>379</v>
      </c>
      <c r="B305" s="350" t="s">
        <v>500</v>
      </c>
      <c r="C305" s="351" t="s">
        <v>389</v>
      </c>
      <c r="D305" s="352" t="s">
        <v>502</v>
      </c>
      <c r="E305" s="351" t="s">
        <v>1123</v>
      </c>
      <c r="F305" s="352" t="s">
        <v>1124</v>
      </c>
      <c r="G305" s="351" t="s">
        <v>1055</v>
      </c>
      <c r="H305" s="351" t="s">
        <v>1056</v>
      </c>
      <c r="I305" s="353">
        <v>2652.28</v>
      </c>
      <c r="J305" s="353">
        <v>10</v>
      </c>
      <c r="K305" s="354">
        <v>26522.75</v>
      </c>
    </row>
    <row r="306" spans="1:11" ht="14.4" customHeight="1" x14ac:dyDescent="0.3">
      <c r="A306" s="349" t="s">
        <v>379</v>
      </c>
      <c r="B306" s="350" t="s">
        <v>500</v>
      </c>
      <c r="C306" s="351" t="s">
        <v>389</v>
      </c>
      <c r="D306" s="352" t="s">
        <v>502</v>
      </c>
      <c r="E306" s="351" t="s">
        <v>1123</v>
      </c>
      <c r="F306" s="352" t="s">
        <v>1124</v>
      </c>
      <c r="G306" s="351" t="s">
        <v>1057</v>
      </c>
      <c r="H306" s="351" t="s">
        <v>1058</v>
      </c>
      <c r="I306" s="353">
        <v>262.68</v>
      </c>
      <c r="J306" s="353">
        <v>72</v>
      </c>
      <c r="K306" s="354">
        <v>18912.900000000001</v>
      </c>
    </row>
    <row r="307" spans="1:11" ht="14.4" customHeight="1" x14ac:dyDescent="0.3">
      <c r="A307" s="349" t="s">
        <v>379</v>
      </c>
      <c r="B307" s="350" t="s">
        <v>500</v>
      </c>
      <c r="C307" s="351" t="s">
        <v>389</v>
      </c>
      <c r="D307" s="352" t="s">
        <v>502</v>
      </c>
      <c r="E307" s="351" t="s">
        <v>1125</v>
      </c>
      <c r="F307" s="352" t="s">
        <v>1126</v>
      </c>
      <c r="G307" s="351" t="s">
        <v>609</v>
      </c>
      <c r="H307" s="351" t="s">
        <v>610</v>
      </c>
      <c r="I307" s="353">
        <v>12.72</v>
      </c>
      <c r="J307" s="353">
        <v>200</v>
      </c>
      <c r="K307" s="354">
        <v>2544</v>
      </c>
    </row>
    <row r="308" spans="1:11" ht="14.4" customHeight="1" x14ac:dyDescent="0.3">
      <c r="A308" s="349" t="s">
        <v>379</v>
      </c>
      <c r="B308" s="350" t="s">
        <v>500</v>
      </c>
      <c r="C308" s="351" t="s">
        <v>389</v>
      </c>
      <c r="D308" s="352" t="s">
        <v>502</v>
      </c>
      <c r="E308" s="351" t="s">
        <v>1125</v>
      </c>
      <c r="F308" s="352" t="s">
        <v>1126</v>
      </c>
      <c r="G308" s="351" t="s">
        <v>611</v>
      </c>
      <c r="H308" s="351" t="s">
        <v>612</v>
      </c>
      <c r="I308" s="353">
        <v>12.73</v>
      </c>
      <c r="J308" s="353">
        <v>300</v>
      </c>
      <c r="K308" s="354">
        <v>3819</v>
      </c>
    </row>
    <row r="309" spans="1:11" ht="14.4" customHeight="1" x14ac:dyDescent="0.3">
      <c r="A309" s="349" t="s">
        <v>379</v>
      </c>
      <c r="B309" s="350" t="s">
        <v>500</v>
      </c>
      <c r="C309" s="351" t="s">
        <v>389</v>
      </c>
      <c r="D309" s="352" t="s">
        <v>502</v>
      </c>
      <c r="E309" s="351" t="s">
        <v>1125</v>
      </c>
      <c r="F309" s="352" t="s">
        <v>1126</v>
      </c>
      <c r="G309" s="351" t="s">
        <v>1059</v>
      </c>
      <c r="H309" s="351" t="s">
        <v>1060</v>
      </c>
      <c r="I309" s="353">
        <v>0.57999999999999996</v>
      </c>
      <c r="J309" s="353">
        <v>300</v>
      </c>
      <c r="K309" s="354">
        <v>174</v>
      </c>
    </row>
    <row r="310" spans="1:11" ht="14.4" customHeight="1" x14ac:dyDescent="0.3">
      <c r="A310" s="349" t="s">
        <v>379</v>
      </c>
      <c r="B310" s="350" t="s">
        <v>500</v>
      </c>
      <c r="C310" s="351" t="s">
        <v>389</v>
      </c>
      <c r="D310" s="352" t="s">
        <v>502</v>
      </c>
      <c r="E310" s="351" t="s">
        <v>1125</v>
      </c>
      <c r="F310" s="352" t="s">
        <v>1126</v>
      </c>
      <c r="G310" s="351" t="s">
        <v>1061</v>
      </c>
      <c r="H310" s="351" t="s">
        <v>1062</v>
      </c>
      <c r="I310" s="353">
        <v>12.52</v>
      </c>
      <c r="J310" s="353">
        <v>400</v>
      </c>
      <c r="K310" s="354">
        <v>5007.5600000000004</v>
      </c>
    </row>
    <row r="311" spans="1:11" ht="14.4" customHeight="1" x14ac:dyDescent="0.3">
      <c r="A311" s="349" t="s">
        <v>379</v>
      </c>
      <c r="B311" s="350" t="s">
        <v>500</v>
      </c>
      <c r="C311" s="351" t="s">
        <v>389</v>
      </c>
      <c r="D311" s="352" t="s">
        <v>502</v>
      </c>
      <c r="E311" s="351" t="s">
        <v>1125</v>
      </c>
      <c r="F311" s="352" t="s">
        <v>1126</v>
      </c>
      <c r="G311" s="351" t="s">
        <v>627</v>
      </c>
      <c r="H311" s="351" t="s">
        <v>628</v>
      </c>
      <c r="I311" s="353">
        <v>6.0649999999999995</v>
      </c>
      <c r="J311" s="353">
        <v>60</v>
      </c>
      <c r="K311" s="354">
        <v>363.9</v>
      </c>
    </row>
    <row r="312" spans="1:11" ht="14.4" customHeight="1" x14ac:dyDescent="0.3">
      <c r="A312" s="349" t="s">
        <v>379</v>
      </c>
      <c r="B312" s="350" t="s">
        <v>500</v>
      </c>
      <c r="C312" s="351" t="s">
        <v>389</v>
      </c>
      <c r="D312" s="352" t="s">
        <v>502</v>
      </c>
      <c r="E312" s="351" t="s">
        <v>1125</v>
      </c>
      <c r="F312" s="352" t="s">
        <v>1126</v>
      </c>
      <c r="G312" s="351" t="s">
        <v>1063</v>
      </c>
      <c r="H312" s="351" t="s">
        <v>1064</v>
      </c>
      <c r="I312" s="353">
        <v>34</v>
      </c>
      <c r="J312" s="353">
        <v>90</v>
      </c>
      <c r="K312" s="354">
        <v>3060</v>
      </c>
    </row>
    <row r="313" spans="1:11" ht="14.4" customHeight="1" x14ac:dyDescent="0.3">
      <c r="A313" s="349" t="s">
        <v>379</v>
      </c>
      <c r="B313" s="350" t="s">
        <v>500</v>
      </c>
      <c r="C313" s="351" t="s">
        <v>389</v>
      </c>
      <c r="D313" s="352" t="s">
        <v>502</v>
      </c>
      <c r="E313" s="351" t="s">
        <v>1125</v>
      </c>
      <c r="F313" s="352" t="s">
        <v>1126</v>
      </c>
      <c r="G313" s="351" t="s">
        <v>640</v>
      </c>
      <c r="H313" s="351" t="s">
        <v>641</v>
      </c>
      <c r="I313" s="353">
        <v>4.24</v>
      </c>
      <c r="J313" s="353">
        <v>200</v>
      </c>
      <c r="K313" s="354">
        <v>848</v>
      </c>
    </row>
    <row r="314" spans="1:11" ht="14.4" customHeight="1" x14ac:dyDescent="0.3">
      <c r="A314" s="349" t="s">
        <v>379</v>
      </c>
      <c r="B314" s="350" t="s">
        <v>500</v>
      </c>
      <c r="C314" s="351" t="s">
        <v>389</v>
      </c>
      <c r="D314" s="352" t="s">
        <v>502</v>
      </c>
      <c r="E314" s="351" t="s">
        <v>1125</v>
      </c>
      <c r="F314" s="352" t="s">
        <v>1126</v>
      </c>
      <c r="G314" s="351" t="s">
        <v>654</v>
      </c>
      <c r="H314" s="351" t="s">
        <v>655</v>
      </c>
      <c r="I314" s="353">
        <v>37.15</v>
      </c>
      <c r="J314" s="353">
        <v>120</v>
      </c>
      <c r="K314" s="354">
        <v>4457.6400000000003</v>
      </c>
    </row>
    <row r="315" spans="1:11" ht="14.4" customHeight="1" x14ac:dyDescent="0.3">
      <c r="A315" s="349" t="s">
        <v>379</v>
      </c>
      <c r="B315" s="350" t="s">
        <v>500</v>
      </c>
      <c r="C315" s="351" t="s">
        <v>389</v>
      </c>
      <c r="D315" s="352" t="s">
        <v>502</v>
      </c>
      <c r="E315" s="351" t="s">
        <v>1125</v>
      </c>
      <c r="F315" s="352" t="s">
        <v>1126</v>
      </c>
      <c r="G315" s="351" t="s">
        <v>1065</v>
      </c>
      <c r="H315" s="351" t="s">
        <v>1066</v>
      </c>
      <c r="I315" s="353">
        <v>9.44</v>
      </c>
      <c r="J315" s="353">
        <v>1</v>
      </c>
      <c r="K315" s="354">
        <v>9.44</v>
      </c>
    </row>
    <row r="316" spans="1:11" ht="14.4" customHeight="1" x14ac:dyDescent="0.3">
      <c r="A316" s="349" t="s">
        <v>379</v>
      </c>
      <c r="B316" s="350" t="s">
        <v>500</v>
      </c>
      <c r="C316" s="351" t="s">
        <v>389</v>
      </c>
      <c r="D316" s="352" t="s">
        <v>502</v>
      </c>
      <c r="E316" s="351" t="s">
        <v>1125</v>
      </c>
      <c r="F316" s="352" t="s">
        <v>1126</v>
      </c>
      <c r="G316" s="351" t="s">
        <v>656</v>
      </c>
      <c r="H316" s="351" t="s">
        <v>657</v>
      </c>
      <c r="I316" s="353">
        <v>91.71</v>
      </c>
      <c r="J316" s="353">
        <v>10</v>
      </c>
      <c r="K316" s="354">
        <v>917.14</v>
      </c>
    </row>
    <row r="317" spans="1:11" ht="14.4" customHeight="1" x14ac:dyDescent="0.3">
      <c r="A317" s="349" t="s">
        <v>379</v>
      </c>
      <c r="B317" s="350" t="s">
        <v>500</v>
      </c>
      <c r="C317" s="351" t="s">
        <v>389</v>
      </c>
      <c r="D317" s="352" t="s">
        <v>502</v>
      </c>
      <c r="E317" s="351" t="s">
        <v>1125</v>
      </c>
      <c r="F317" s="352" t="s">
        <v>1126</v>
      </c>
      <c r="G317" s="351" t="s">
        <v>658</v>
      </c>
      <c r="H317" s="351" t="s">
        <v>659</v>
      </c>
      <c r="I317" s="353">
        <v>12.11</v>
      </c>
      <c r="J317" s="353">
        <v>100</v>
      </c>
      <c r="K317" s="354">
        <v>1211</v>
      </c>
    </row>
    <row r="318" spans="1:11" ht="14.4" customHeight="1" x14ac:dyDescent="0.3">
      <c r="A318" s="349" t="s">
        <v>379</v>
      </c>
      <c r="B318" s="350" t="s">
        <v>500</v>
      </c>
      <c r="C318" s="351" t="s">
        <v>389</v>
      </c>
      <c r="D318" s="352" t="s">
        <v>502</v>
      </c>
      <c r="E318" s="351" t="s">
        <v>1125</v>
      </c>
      <c r="F318" s="352" t="s">
        <v>1126</v>
      </c>
      <c r="G318" s="351" t="s">
        <v>1067</v>
      </c>
      <c r="H318" s="351" t="s">
        <v>1068</v>
      </c>
      <c r="I318" s="353">
        <v>44.54</v>
      </c>
      <c r="J318" s="353">
        <v>30</v>
      </c>
      <c r="K318" s="354">
        <v>1336.19</v>
      </c>
    </row>
    <row r="319" spans="1:11" ht="14.4" customHeight="1" x14ac:dyDescent="0.3">
      <c r="A319" s="349" t="s">
        <v>379</v>
      </c>
      <c r="B319" s="350" t="s">
        <v>500</v>
      </c>
      <c r="C319" s="351" t="s">
        <v>389</v>
      </c>
      <c r="D319" s="352" t="s">
        <v>502</v>
      </c>
      <c r="E319" s="351" t="s">
        <v>1125</v>
      </c>
      <c r="F319" s="352" t="s">
        <v>1126</v>
      </c>
      <c r="G319" s="351" t="s">
        <v>662</v>
      </c>
      <c r="H319" s="351" t="s">
        <v>663</v>
      </c>
      <c r="I319" s="353">
        <v>56.38</v>
      </c>
      <c r="J319" s="353">
        <v>60</v>
      </c>
      <c r="K319" s="354">
        <v>3382.68</v>
      </c>
    </row>
    <row r="320" spans="1:11" ht="14.4" customHeight="1" x14ac:dyDescent="0.3">
      <c r="A320" s="349" t="s">
        <v>379</v>
      </c>
      <c r="B320" s="350" t="s">
        <v>500</v>
      </c>
      <c r="C320" s="351" t="s">
        <v>389</v>
      </c>
      <c r="D320" s="352" t="s">
        <v>502</v>
      </c>
      <c r="E320" s="351" t="s">
        <v>1125</v>
      </c>
      <c r="F320" s="352" t="s">
        <v>1126</v>
      </c>
      <c r="G320" s="351" t="s">
        <v>666</v>
      </c>
      <c r="H320" s="351" t="s">
        <v>667</v>
      </c>
      <c r="I320" s="353">
        <v>13.2</v>
      </c>
      <c r="J320" s="353">
        <v>12</v>
      </c>
      <c r="K320" s="354">
        <v>158.4</v>
      </c>
    </row>
    <row r="321" spans="1:11" ht="14.4" customHeight="1" x14ac:dyDescent="0.3">
      <c r="A321" s="349" t="s">
        <v>379</v>
      </c>
      <c r="B321" s="350" t="s">
        <v>500</v>
      </c>
      <c r="C321" s="351" t="s">
        <v>389</v>
      </c>
      <c r="D321" s="352" t="s">
        <v>502</v>
      </c>
      <c r="E321" s="351" t="s">
        <v>1125</v>
      </c>
      <c r="F321" s="352" t="s">
        <v>1126</v>
      </c>
      <c r="G321" s="351" t="s">
        <v>1069</v>
      </c>
      <c r="H321" s="351" t="s">
        <v>1070</v>
      </c>
      <c r="I321" s="353">
        <v>53.966666666666669</v>
      </c>
      <c r="J321" s="353">
        <v>350</v>
      </c>
      <c r="K321" s="354">
        <v>18887.7</v>
      </c>
    </row>
    <row r="322" spans="1:11" ht="14.4" customHeight="1" x14ac:dyDescent="0.3">
      <c r="A322" s="349" t="s">
        <v>379</v>
      </c>
      <c r="B322" s="350" t="s">
        <v>500</v>
      </c>
      <c r="C322" s="351" t="s">
        <v>389</v>
      </c>
      <c r="D322" s="352" t="s">
        <v>502</v>
      </c>
      <c r="E322" s="351" t="s">
        <v>1125</v>
      </c>
      <c r="F322" s="352" t="s">
        <v>1126</v>
      </c>
      <c r="G322" s="351" t="s">
        <v>674</v>
      </c>
      <c r="H322" s="351" t="s">
        <v>675</v>
      </c>
      <c r="I322" s="353">
        <v>6.66</v>
      </c>
      <c r="J322" s="353">
        <v>50</v>
      </c>
      <c r="K322" s="354">
        <v>333</v>
      </c>
    </row>
    <row r="323" spans="1:11" ht="14.4" customHeight="1" x14ac:dyDescent="0.3">
      <c r="A323" s="349" t="s">
        <v>379</v>
      </c>
      <c r="B323" s="350" t="s">
        <v>500</v>
      </c>
      <c r="C323" s="351" t="s">
        <v>389</v>
      </c>
      <c r="D323" s="352" t="s">
        <v>502</v>
      </c>
      <c r="E323" s="351" t="s">
        <v>1125</v>
      </c>
      <c r="F323" s="352" t="s">
        <v>1126</v>
      </c>
      <c r="G323" s="351" t="s">
        <v>1071</v>
      </c>
      <c r="H323" s="351" t="s">
        <v>1072</v>
      </c>
      <c r="I323" s="353">
        <v>5.6750000000000007</v>
      </c>
      <c r="J323" s="353">
        <v>108</v>
      </c>
      <c r="K323" s="354">
        <v>605.29</v>
      </c>
    </row>
    <row r="324" spans="1:11" ht="14.4" customHeight="1" x14ac:dyDescent="0.3">
      <c r="A324" s="349" t="s">
        <v>379</v>
      </c>
      <c r="B324" s="350" t="s">
        <v>500</v>
      </c>
      <c r="C324" s="351" t="s">
        <v>389</v>
      </c>
      <c r="D324" s="352" t="s">
        <v>502</v>
      </c>
      <c r="E324" s="351" t="s">
        <v>1125</v>
      </c>
      <c r="F324" s="352" t="s">
        <v>1126</v>
      </c>
      <c r="G324" s="351" t="s">
        <v>1073</v>
      </c>
      <c r="H324" s="351" t="s">
        <v>1074</v>
      </c>
      <c r="I324" s="353">
        <v>134</v>
      </c>
      <c r="J324" s="353">
        <v>10</v>
      </c>
      <c r="K324" s="354">
        <v>1339.95</v>
      </c>
    </row>
    <row r="325" spans="1:11" ht="14.4" customHeight="1" x14ac:dyDescent="0.3">
      <c r="A325" s="349" t="s">
        <v>379</v>
      </c>
      <c r="B325" s="350" t="s">
        <v>500</v>
      </c>
      <c r="C325" s="351" t="s">
        <v>389</v>
      </c>
      <c r="D325" s="352" t="s">
        <v>502</v>
      </c>
      <c r="E325" s="351" t="s">
        <v>1125</v>
      </c>
      <c r="F325" s="352" t="s">
        <v>1126</v>
      </c>
      <c r="G325" s="351" t="s">
        <v>690</v>
      </c>
      <c r="H325" s="351" t="s">
        <v>691</v>
      </c>
      <c r="I325" s="353">
        <v>19.71</v>
      </c>
      <c r="J325" s="353">
        <v>100</v>
      </c>
      <c r="K325" s="354">
        <v>1971.09</v>
      </c>
    </row>
    <row r="326" spans="1:11" ht="14.4" customHeight="1" x14ac:dyDescent="0.3">
      <c r="A326" s="349" t="s">
        <v>379</v>
      </c>
      <c r="B326" s="350" t="s">
        <v>500</v>
      </c>
      <c r="C326" s="351" t="s">
        <v>389</v>
      </c>
      <c r="D326" s="352" t="s">
        <v>502</v>
      </c>
      <c r="E326" s="351" t="s">
        <v>1125</v>
      </c>
      <c r="F326" s="352" t="s">
        <v>1126</v>
      </c>
      <c r="G326" s="351" t="s">
        <v>1075</v>
      </c>
      <c r="H326" s="351" t="s">
        <v>1076</v>
      </c>
      <c r="I326" s="353">
        <v>486</v>
      </c>
      <c r="J326" s="353">
        <v>5</v>
      </c>
      <c r="K326" s="354">
        <v>2429.98</v>
      </c>
    </row>
    <row r="327" spans="1:11" ht="14.4" customHeight="1" x14ac:dyDescent="0.3">
      <c r="A327" s="349" t="s">
        <v>379</v>
      </c>
      <c r="B327" s="350" t="s">
        <v>500</v>
      </c>
      <c r="C327" s="351" t="s">
        <v>389</v>
      </c>
      <c r="D327" s="352" t="s">
        <v>502</v>
      </c>
      <c r="E327" s="351" t="s">
        <v>1125</v>
      </c>
      <c r="F327" s="352" t="s">
        <v>1126</v>
      </c>
      <c r="G327" s="351" t="s">
        <v>705</v>
      </c>
      <c r="H327" s="351" t="s">
        <v>706</v>
      </c>
      <c r="I327" s="353">
        <v>50.65</v>
      </c>
      <c r="J327" s="353">
        <v>1750</v>
      </c>
      <c r="K327" s="354">
        <v>88638.7</v>
      </c>
    </row>
    <row r="328" spans="1:11" ht="14.4" customHeight="1" x14ac:dyDescent="0.3">
      <c r="A328" s="349" t="s">
        <v>379</v>
      </c>
      <c r="B328" s="350" t="s">
        <v>500</v>
      </c>
      <c r="C328" s="351" t="s">
        <v>389</v>
      </c>
      <c r="D328" s="352" t="s">
        <v>502</v>
      </c>
      <c r="E328" s="351" t="s">
        <v>1125</v>
      </c>
      <c r="F328" s="352" t="s">
        <v>1126</v>
      </c>
      <c r="G328" s="351" t="s">
        <v>1077</v>
      </c>
      <c r="H328" s="351" t="s">
        <v>1078</v>
      </c>
      <c r="I328" s="353">
        <v>12006.95</v>
      </c>
      <c r="J328" s="353">
        <v>6</v>
      </c>
      <c r="K328" s="354">
        <v>72041.709999999992</v>
      </c>
    </row>
    <row r="329" spans="1:11" ht="14.4" customHeight="1" x14ac:dyDescent="0.3">
      <c r="A329" s="349" t="s">
        <v>379</v>
      </c>
      <c r="B329" s="350" t="s">
        <v>500</v>
      </c>
      <c r="C329" s="351" t="s">
        <v>389</v>
      </c>
      <c r="D329" s="352" t="s">
        <v>502</v>
      </c>
      <c r="E329" s="351" t="s">
        <v>1125</v>
      </c>
      <c r="F329" s="352" t="s">
        <v>1126</v>
      </c>
      <c r="G329" s="351" t="s">
        <v>1079</v>
      </c>
      <c r="H329" s="351" t="s">
        <v>1080</v>
      </c>
      <c r="I329" s="353">
        <v>852.51</v>
      </c>
      <c r="J329" s="353">
        <v>10</v>
      </c>
      <c r="K329" s="354">
        <v>8525.06</v>
      </c>
    </row>
    <row r="330" spans="1:11" ht="14.4" customHeight="1" x14ac:dyDescent="0.3">
      <c r="A330" s="349" t="s">
        <v>379</v>
      </c>
      <c r="B330" s="350" t="s">
        <v>500</v>
      </c>
      <c r="C330" s="351" t="s">
        <v>389</v>
      </c>
      <c r="D330" s="352" t="s">
        <v>502</v>
      </c>
      <c r="E330" s="351" t="s">
        <v>1125</v>
      </c>
      <c r="F330" s="352" t="s">
        <v>1126</v>
      </c>
      <c r="G330" s="351" t="s">
        <v>729</v>
      </c>
      <c r="H330" s="351" t="s">
        <v>730</v>
      </c>
      <c r="I330" s="353">
        <v>7.51</v>
      </c>
      <c r="J330" s="353">
        <v>100</v>
      </c>
      <c r="K330" s="354">
        <v>751.41</v>
      </c>
    </row>
    <row r="331" spans="1:11" ht="14.4" customHeight="1" x14ac:dyDescent="0.3">
      <c r="A331" s="349" t="s">
        <v>379</v>
      </c>
      <c r="B331" s="350" t="s">
        <v>500</v>
      </c>
      <c r="C331" s="351" t="s">
        <v>389</v>
      </c>
      <c r="D331" s="352" t="s">
        <v>502</v>
      </c>
      <c r="E331" s="351" t="s">
        <v>1125</v>
      </c>
      <c r="F331" s="352" t="s">
        <v>1126</v>
      </c>
      <c r="G331" s="351" t="s">
        <v>1081</v>
      </c>
      <c r="H331" s="351" t="s">
        <v>1082</v>
      </c>
      <c r="I331" s="353">
        <v>994.8</v>
      </c>
      <c r="J331" s="353">
        <v>20</v>
      </c>
      <c r="K331" s="354">
        <v>19896.03</v>
      </c>
    </row>
    <row r="332" spans="1:11" ht="14.4" customHeight="1" x14ac:dyDescent="0.3">
      <c r="A332" s="349" t="s">
        <v>379</v>
      </c>
      <c r="B332" s="350" t="s">
        <v>500</v>
      </c>
      <c r="C332" s="351" t="s">
        <v>389</v>
      </c>
      <c r="D332" s="352" t="s">
        <v>502</v>
      </c>
      <c r="E332" s="351" t="s">
        <v>1125</v>
      </c>
      <c r="F332" s="352" t="s">
        <v>1126</v>
      </c>
      <c r="G332" s="351" t="s">
        <v>1083</v>
      </c>
      <c r="H332" s="351" t="s">
        <v>1084</v>
      </c>
      <c r="I332" s="353">
        <v>124</v>
      </c>
      <c r="J332" s="353">
        <v>5</v>
      </c>
      <c r="K332" s="354">
        <v>620</v>
      </c>
    </row>
    <row r="333" spans="1:11" ht="14.4" customHeight="1" x14ac:dyDescent="0.3">
      <c r="A333" s="349" t="s">
        <v>379</v>
      </c>
      <c r="B333" s="350" t="s">
        <v>500</v>
      </c>
      <c r="C333" s="351" t="s">
        <v>389</v>
      </c>
      <c r="D333" s="352" t="s">
        <v>502</v>
      </c>
      <c r="E333" s="351" t="s">
        <v>1125</v>
      </c>
      <c r="F333" s="352" t="s">
        <v>1126</v>
      </c>
      <c r="G333" s="351" t="s">
        <v>1085</v>
      </c>
      <c r="H333" s="351" t="s">
        <v>1086</v>
      </c>
      <c r="I333" s="353">
        <v>2387</v>
      </c>
      <c r="J333" s="353">
        <v>5</v>
      </c>
      <c r="K333" s="354">
        <v>11935.02</v>
      </c>
    </row>
    <row r="334" spans="1:11" ht="14.4" customHeight="1" x14ac:dyDescent="0.3">
      <c r="A334" s="349" t="s">
        <v>379</v>
      </c>
      <c r="B334" s="350" t="s">
        <v>500</v>
      </c>
      <c r="C334" s="351" t="s">
        <v>389</v>
      </c>
      <c r="D334" s="352" t="s">
        <v>502</v>
      </c>
      <c r="E334" s="351" t="s">
        <v>1125</v>
      </c>
      <c r="F334" s="352" t="s">
        <v>1126</v>
      </c>
      <c r="G334" s="351" t="s">
        <v>1087</v>
      </c>
      <c r="H334" s="351" t="s">
        <v>1088</v>
      </c>
      <c r="I334" s="353">
        <v>45.98</v>
      </c>
      <c r="J334" s="353">
        <v>5</v>
      </c>
      <c r="K334" s="354">
        <v>229.9</v>
      </c>
    </row>
    <row r="335" spans="1:11" ht="14.4" customHeight="1" x14ac:dyDescent="0.3">
      <c r="A335" s="349" t="s">
        <v>379</v>
      </c>
      <c r="B335" s="350" t="s">
        <v>500</v>
      </c>
      <c r="C335" s="351" t="s">
        <v>389</v>
      </c>
      <c r="D335" s="352" t="s">
        <v>502</v>
      </c>
      <c r="E335" s="351" t="s">
        <v>1125</v>
      </c>
      <c r="F335" s="352" t="s">
        <v>1126</v>
      </c>
      <c r="G335" s="351" t="s">
        <v>1089</v>
      </c>
      <c r="H335" s="351" t="s">
        <v>1090</v>
      </c>
      <c r="I335" s="353">
        <v>1702.15</v>
      </c>
      <c r="J335" s="353">
        <v>10</v>
      </c>
      <c r="K335" s="354">
        <v>17021.5</v>
      </c>
    </row>
    <row r="336" spans="1:11" ht="14.4" customHeight="1" x14ac:dyDescent="0.3">
      <c r="A336" s="349" t="s">
        <v>379</v>
      </c>
      <c r="B336" s="350" t="s">
        <v>500</v>
      </c>
      <c r="C336" s="351" t="s">
        <v>389</v>
      </c>
      <c r="D336" s="352" t="s">
        <v>502</v>
      </c>
      <c r="E336" s="351" t="s">
        <v>1125</v>
      </c>
      <c r="F336" s="352" t="s">
        <v>1126</v>
      </c>
      <c r="G336" s="351" t="s">
        <v>1091</v>
      </c>
      <c r="H336" s="351" t="s">
        <v>1092</v>
      </c>
      <c r="I336" s="353">
        <v>2309.89</v>
      </c>
      <c r="J336" s="353">
        <v>20</v>
      </c>
      <c r="K336" s="354">
        <v>46197.8</v>
      </c>
    </row>
    <row r="337" spans="1:11" ht="14.4" customHeight="1" x14ac:dyDescent="0.3">
      <c r="A337" s="349" t="s">
        <v>379</v>
      </c>
      <c r="B337" s="350" t="s">
        <v>500</v>
      </c>
      <c r="C337" s="351" t="s">
        <v>389</v>
      </c>
      <c r="D337" s="352" t="s">
        <v>502</v>
      </c>
      <c r="E337" s="351" t="s">
        <v>1125</v>
      </c>
      <c r="F337" s="352" t="s">
        <v>1126</v>
      </c>
      <c r="G337" s="351" t="s">
        <v>1093</v>
      </c>
      <c r="H337" s="351" t="s">
        <v>1094</v>
      </c>
      <c r="I337" s="353">
        <v>1787.93</v>
      </c>
      <c r="J337" s="353">
        <v>16</v>
      </c>
      <c r="K337" s="354">
        <v>28606.82</v>
      </c>
    </row>
    <row r="338" spans="1:11" ht="14.4" customHeight="1" x14ac:dyDescent="0.3">
      <c r="A338" s="349" t="s">
        <v>379</v>
      </c>
      <c r="B338" s="350" t="s">
        <v>500</v>
      </c>
      <c r="C338" s="351" t="s">
        <v>389</v>
      </c>
      <c r="D338" s="352" t="s">
        <v>502</v>
      </c>
      <c r="E338" s="351" t="s">
        <v>1125</v>
      </c>
      <c r="F338" s="352" t="s">
        <v>1126</v>
      </c>
      <c r="G338" s="351" t="s">
        <v>1095</v>
      </c>
      <c r="H338" s="351" t="s">
        <v>1096</v>
      </c>
      <c r="I338" s="353">
        <v>2642.64</v>
      </c>
      <c r="J338" s="353">
        <v>3</v>
      </c>
      <c r="K338" s="354">
        <v>7927.92</v>
      </c>
    </row>
    <row r="339" spans="1:11" ht="14.4" customHeight="1" x14ac:dyDescent="0.3">
      <c r="A339" s="349" t="s">
        <v>379</v>
      </c>
      <c r="B339" s="350" t="s">
        <v>500</v>
      </c>
      <c r="C339" s="351" t="s">
        <v>389</v>
      </c>
      <c r="D339" s="352" t="s">
        <v>502</v>
      </c>
      <c r="E339" s="351" t="s">
        <v>1125</v>
      </c>
      <c r="F339" s="352" t="s">
        <v>1126</v>
      </c>
      <c r="G339" s="351" t="s">
        <v>741</v>
      </c>
      <c r="H339" s="351" t="s">
        <v>742</v>
      </c>
      <c r="I339" s="353">
        <v>14273.16</v>
      </c>
      <c r="J339" s="353">
        <v>1</v>
      </c>
      <c r="K339" s="354">
        <v>14273.16</v>
      </c>
    </row>
    <row r="340" spans="1:11" ht="14.4" customHeight="1" x14ac:dyDescent="0.3">
      <c r="A340" s="349" t="s">
        <v>379</v>
      </c>
      <c r="B340" s="350" t="s">
        <v>500</v>
      </c>
      <c r="C340" s="351" t="s">
        <v>389</v>
      </c>
      <c r="D340" s="352" t="s">
        <v>502</v>
      </c>
      <c r="E340" s="351" t="s">
        <v>1125</v>
      </c>
      <c r="F340" s="352" t="s">
        <v>1126</v>
      </c>
      <c r="G340" s="351" t="s">
        <v>1097</v>
      </c>
      <c r="H340" s="351" t="s">
        <v>1098</v>
      </c>
      <c r="I340" s="353">
        <v>23173.919999999998</v>
      </c>
      <c r="J340" s="353">
        <v>1</v>
      </c>
      <c r="K340" s="354">
        <v>23173.919999999998</v>
      </c>
    </row>
    <row r="341" spans="1:11" ht="14.4" customHeight="1" x14ac:dyDescent="0.3">
      <c r="A341" s="349" t="s">
        <v>379</v>
      </c>
      <c r="B341" s="350" t="s">
        <v>500</v>
      </c>
      <c r="C341" s="351" t="s">
        <v>389</v>
      </c>
      <c r="D341" s="352" t="s">
        <v>502</v>
      </c>
      <c r="E341" s="351" t="s">
        <v>1125</v>
      </c>
      <c r="F341" s="352" t="s">
        <v>1126</v>
      </c>
      <c r="G341" s="351" t="s">
        <v>1099</v>
      </c>
      <c r="H341" s="351" t="s">
        <v>1100</v>
      </c>
      <c r="I341" s="353">
        <v>233.44</v>
      </c>
      <c r="J341" s="353">
        <v>40</v>
      </c>
      <c r="K341" s="354">
        <v>9337.59</v>
      </c>
    </row>
    <row r="342" spans="1:11" ht="14.4" customHeight="1" x14ac:dyDescent="0.3">
      <c r="A342" s="349" t="s">
        <v>379</v>
      </c>
      <c r="B342" s="350" t="s">
        <v>500</v>
      </c>
      <c r="C342" s="351" t="s">
        <v>389</v>
      </c>
      <c r="D342" s="352" t="s">
        <v>502</v>
      </c>
      <c r="E342" s="351" t="s">
        <v>1133</v>
      </c>
      <c r="F342" s="352" t="s">
        <v>1134</v>
      </c>
      <c r="G342" s="351" t="s">
        <v>1101</v>
      </c>
      <c r="H342" s="351" t="s">
        <v>1102</v>
      </c>
      <c r="I342" s="353">
        <v>3749.5</v>
      </c>
      <c r="J342" s="353">
        <v>20</v>
      </c>
      <c r="K342" s="354">
        <v>74989.990000000005</v>
      </c>
    </row>
    <row r="343" spans="1:11" ht="14.4" customHeight="1" x14ac:dyDescent="0.3">
      <c r="A343" s="349" t="s">
        <v>379</v>
      </c>
      <c r="B343" s="350" t="s">
        <v>500</v>
      </c>
      <c r="C343" s="351" t="s">
        <v>389</v>
      </c>
      <c r="D343" s="352" t="s">
        <v>502</v>
      </c>
      <c r="E343" s="351" t="s">
        <v>1133</v>
      </c>
      <c r="F343" s="352" t="s">
        <v>1134</v>
      </c>
      <c r="G343" s="351" t="s">
        <v>1103</v>
      </c>
      <c r="H343" s="351" t="s">
        <v>1104</v>
      </c>
      <c r="I343" s="353">
        <v>8518.4</v>
      </c>
      <c r="J343" s="353">
        <v>5</v>
      </c>
      <c r="K343" s="354">
        <v>42592</v>
      </c>
    </row>
    <row r="344" spans="1:11" ht="14.4" customHeight="1" x14ac:dyDescent="0.3">
      <c r="A344" s="349" t="s">
        <v>379</v>
      </c>
      <c r="B344" s="350" t="s">
        <v>500</v>
      </c>
      <c r="C344" s="351" t="s">
        <v>389</v>
      </c>
      <c r="D344" s="352" t="s">
        <v>502</v>
      </c>
      <c r="E344" s="351" t="s">
        <v>1133</v>
      </c>
      <c r="F344" s="352" t="s">
        <v>1134</v>
      </c>
      <c r="G344" s="351" t="s">
        <v>1105</v>
      </c>
      <c r="H344" s="351" t="s">
        <v>1106</v>
      </c>
      <c r="I344" s="353">
        <v>66196.320000000007</v>
      </c>
      <c r="J344" s="353">
        <v>1</v>
      </c>
      <c r="K344" s="354">
        <v>66196.320000000007</v>
      </c>
    </row>
    <row r="345" spans="1:11" ht="14.4" customHeight="1" x14ac:dyDescent="0.3">
      <c r="A345" s="349" t="s">
        <v>379</v>
      </c>
      <c r="B345" s="350" t="s">
        <v>500</v>
      </c>
      <c r="C345" s="351" t="s">
        <v>389</v>
      </c>
      <c r="D345" s="352" t="s">
        <v>502</v>
      </c>
      <c r="E345" s="351" t="s">
        <v>1137</v>
      </c>
      <c r="F345" s="352" t="s">
        <v>1138</v>
      </c>
      <c r="G345" s="351" t="s">
        <v>820</v>
      </c>
      <c r="H345" s="351" t="s">
        <v>821</v>
      </c>
      <c r="I345" s="353">
        <v>216.29</v>
      </c>
      <c r="J345" s="353">
        <v>96</v>
      </c>
      <c r="K345" s="354">
        <v>20763.48</v>
      </c>
    </row>
    <row r="346" spans="1:11" ht="14.4" customHeight="1" x14ac:dyDescent="0.3">
      <c r="A346" s="349" t="s">
        <v>379</v>
      </c>
      <c r="B346" s="350" t="s">
        <v>500</v>
      </c>
      <c r="C346" s="351" t="s">
        <v>389</v>
      </c>
      <c r="D346" s="352" t="s">
        <v>502</v>
      </c>
      <c r="E346" s="351" t="s">
        <v>1137</v>
      </c>
      <c r="F346" s="352" t="s">
        <v>1138</v>
      </c>
      <c r="G346" s="351" t="s">
        <v>822</v>
      </c>
      <c r="H346" s="351" t="s">
        <v>823</v>
      </c>
      <c r="I346" s="353">
        <v>31.363333333333333</v>
      </c>
      <c r="J346" s="353">
        <v>1428</v>
      </c>
      <c r="K346" s="354">
        <v>44788.92</v>
      </c>
    </row>
    <row r="347" spans="1:11" ht="14.4" customHeight="1" x14ac:dyDescent="0.3">
      <c r="A347" s="349" t="s">
        <v>379</v>
      </c>
      <c r="B347" s="350" t="s">
        <v>500</v>
      </c>
      <c r="C347" s="351" t="s">
        <v>389</v>
      </c>
      <c r="D347" s="352" t="s">
        <v>502</v>
      </c>
      <c r="E347" s="351" t="s">
        <v>1137</v>
      </c>
      <c r="F347" s="352" t="s">
        <v>1138</v>
      </c>
      <c r="G347" s="351" t="s">
        <v>826</v>
      </c>
      <c r="H347" s="351" t="s">
        <v>827</v>
      </c>
      <c r="I347" s="353">
        <v>30.32</v>
      </c>
      <c r="J347" s="353">
        <v>948</v>
      </c>
      <c r="K347" s="354">
        <v>28740.260000000002</v>
      </c>
    </row>
    <row r="348" spans="1:11" ht="14.4" customHeight="1" x14ac:dyDescent="0.3">
      <c r="A348" s="349" t="s">
        <v>379</v>
      </c>
      <c r="B348" s="350" t="s">
        <v>500</v>
      </c>
      <c r="C348" s="351" t="s">
        <v>389</v>
      </c>
      <c r="D348" s="352" t="s">
        <v>502</v>
      </c>
      <c r="E348" s="351" t="s">
        <v>1137</v>
      </c>
      <c r="F348" s="352" t="s">
        <v>1138</v>
      </c>
      <c r="G348" s="351" t="s">
        <v>832</v>
      </c>
      <c r="H348" s="351" t="s">
        <v>833</v>
      </c>
      <c r="I348" s="353">
        <v>26.9</v>
      </c>
      <c r="J348" s="353">
        <v>200</v>
      </c>
      <c r="K348" s="354">
        <v>5380.4</v>
      </c>
    </row>
    <row r="349" spans="1:11" ht="14.4" customHeight="1" x14ac:dyDescent="0.3">
      <c r="A349" s="349" t="s">
        <v>379</v>
      </c>
      <c r="B349" s="350" t="s">
        <v>500</v>
      </c>
      <c r="C349" s="351" t="s">
        <v>389</v>
      </c>
      <c r="D349" s="352" t="s">
        <v>502</v>
      </c>
      <c r="E349" s="351" t="s">
        <v>1137</v>
      </c>
      <c r="F349" s="352" t="s">
        <v>1138</v>
      </c>
      <c r="G349" s="351" t="s">
        <v>836</v>
      </c>
      <c r="H349" s="351" t="s">
        <v>837</v>
      </c>
      <c r="I349" s="353">
        <v>97.83</v>
      </c>
      <c r="J349" s="353">
        <v>48</v>
      </c>
      <c r="K349" s="354">
        <v>4695.96</v>
      </c>
    </row>
    <row r="350" spans="1:11" ht="14.4" customHeight="1" x14ac:dyDescent="0.3">
      <c r="A350" s="349" t="s">
        <v>379</v>
      </c>
      <c r="B350" s="350" t="s">
        <v>500</v>
      </c>
      <c r="C350" s="351" t="s">
        <v>389</v>
      </c>
      <c r="D350" s="352" t="s">
        <v>502</v>
      </c>
      <c r="E350" s="351" t="s">
        <v>1137</v>
      </c>
      <c r="F350" s="352" t="s">
        <v>1138</v>
      </c>
      <c r="G350" s="351" t="s">
        <v>856</v>
      </c>
      <c r="H350" s="351" t="s">
        <v>857</v>
      </c>
      <c r="I350" s="353">
        <v>181.43</v>
      </c>
      <c r="J350" s="353">
        <v>144</v>
      </c>
      <c r="K350" s="354">
        <v>26125.919999999998</v>
      </c>
    </row>
    <row r="351" spans="1:11" ht="14.4" customHeight="1" x14ac:dyDescent="0.3">
      <c r="A351" s="349" t="s">
        <v>379</v>
      </c>
      <c r="B351" s="350" t="s">
        <v>500</v>
      </c>
      <c r="C351" s="351" t="s">
        <v>389</v>
      </c>
      <c r="D351" s="352" t="s">
        <v>502</v>
      </c>
      <c r="E351" s="351" t="s">
        <v>1137</v>
      </c>
      <c r="F351" s="352" t="s">
        <v>1138</v>
      </c>
      <c r="G351" s="351" t="s">
        <v>1107</v>
      </c>
      <c r="H351" s="351" t="s">
        <v>1108</v>
      </c>
      <c r="I351" s="353">
        <v>196.47</v>
      </c>
      <c r="J351" s="353">
        <v>36</v>
      </c>
      <c r="K351" s="354">
        <v>7072.81</v>
      </c>
    </row>
    <row r="352" spans="1:11" ht="14.4" customHeight="1" x14ac:dyDescent="0.3">
      <c r="A352" s="349" t="s">
        <v>379</v>
      </c>
      <c r="B352" s="350" t="s">
        <v>500</v>
      </c>
      <c r="C352" s="351" t="s">
        <v>389</v>
      </c>
      <c r="D352" s="352" t="s">
        <v>502</v>
      </c>
      <c r="E352" s="351" t="s">
        <v>1137</v>
      </c>
      <c r="F352" s="352" t="s">
        <v>1138</v>
      </c>
      <c r="G352" s="351" t="s">
        <v>864</v>
      </c>
      <c r="H352" s="351" t="s">
        <v>865</v>
      </c>
      <c r="I352" s="353">
        <v>129.63999999999999</v>
      </c>
      <c r="J352" s="353">
        <v>216</v>
      </c>
      <c r="K352" s="354">
        <v>28002.76</v>
      </c>
    </row>
    <row r="353" spans="1:11" ht="14.4" customHeight="1" x14ac:dyDescent="0.3">
      <c r="A353" s="349" t="s">
        <v>379</v>
      </c>
      <c r="B353" s="350" t="s">
        <v>500</v>
      </c>
      <c r="C353" s="351" t="s">
        <v>389</v>
      </c>
      <c r="D353" s="352" t="s">
        <v>502</v>
      </c>
      <c r="E353" s="351" t="s">
        <v>1137</v>
      </c>
      <c r="F353" s="352" t="s">
        <v>1138</v>
      </c>
      <c r="G353" s="351" t="s">
        <v>874</v>
      </c>
      <c r="H353" s="351" t="s">
        <v>875</v>
      </c>
      <c r="I353" s="353">
        <v>44.53</v>
      </c>
      <c r="J353" s="353">
        <v>72</v>
      </c>
      <c r="K353" s="354">
        <v>3206.02</v>
      </c>
    </row>
    <row r="354" spans="1:11" ht="14.4" customHeight="1" x14ac:dyDescent="0.3">
      <c r="A354" s="349" t="s">
        <v>379</v>
      </c>
      <c r="B354" s="350" t="s">
        <v>500</v>
      </c>
      <c r="C354" s="351" t="s">
        <v>389</v>
      </c>
      <c r="D354" s="352" t="s">
        <v>502</v>
      </c>
      <c r="E354" s="351" t="s">
        <v>1137</v>
      </c>
      <c r="F354" s="352" t="s">
        <v>1138</v>
      </c>
      <c r="G354" s="351" t="s">
        <v>882</v>
      </c>
      <c r="H354" s="351" t="s">
        <v>883</v>
      </c>
      <c r="I354" s="353">
        <v>75.040000000000006</v>
      </c>
      <c r="J354" s="353">
        <v>144</v>
      </c>
      <c r="K354" s="354">
        <v>10805.13</v>
      </c>
    </row>
    <row r="355" spans="1:11" ht="14.4" customHeight="1" x14ac:dyDescent="0.3">
      <c r="A355" s="349" t="s">
        <v>379</v>
      </c>
      <c r="B355" s="350" t="s">
        <v>500</v>
      </c>
      <c r="C355" s="351" t="s">
        <v>389</v>
      </c>
      <c r="D355" s="352" t="s">
        <v>502</v>
      </c>
      <c r="E355" s="351" t="s">
        <v>1137</v>
      </c>
      <c r="F355" s="352" t="s">
        <v>1138</v>
      </c>
      <c r="G355" s="351" t="s">
        <v>902</v>
      </c>
      <c r="H355" s="351" t="s">
        <v>903</v>
      </c>
      <c r="I355" s="353">
        <v>116.57</v>
      </c>
      <c r="J355" s="353">
        <v>72</v>
      </c>
      <c r="K355" s="354">
        <v>8393.2800000000007</v>
      </c>
    </row>
    <row r="356" spans="1:11" ht="14.4" customHeight="1" x14ac:dyDescent="0.3">
      <c r="A356" s="349" t="s">
        <v>379</v>
      </c>
      <c r="B356" s="350" t="s">
        <v>500</v>
      </c>
      <c r="C356" s="351" t="s">
        <v>389</v>
      </c>
      <c r="D356" s="352" t="s">
        <v>502</v>
      </c>
      <c r="E356" s="351" t="s">
        <v>1137</v>
      </c>
      <c r="F356" s="352" t="s">
        <v>1138</v>
      </c>
      <c r="G356" s="351" t="s">
        <v>1109</v>
      </c>
      <c r="H356" s="351" t="s">
        <v>1110</v>
      </c>
      <c r="I356" s="353">
        <v>106.99</v>
      </c>
      <c r="J356" s="353">
        <v>144</v>
      </c>
      <c r="K356" s="354">
        <v>15406.19</v>
      </c>
    </row>
    <row r="357" spans="1:11" ht="14.4" customHeight="1" x14ac:dyDescent="0.3">
      <c r="A357" s="349" t="s">
        <v>379</v>
      </c>
      <c r="B357" s="350" t="s">
        <v>500</v>
      </c>
      <c r="C357" s="351" t="s">
        <v>389</v>
      </c>
      <c r="D357" s="352" t="s">
        <v>502</v>
      </c>
      <c r="E357" s="351" t="s">
        <v>1137</v>
      </c>
      <c r="F357" s="352" t="s">
        <v>1138</v>
      </c>
      <c r="G357" s="351" t="s">
        <v>1111</v>
      </c>
      <c r="H357" s="351" t="s">
        <v>1112</v>
      </c>
      <c r="I357" s="353">
        <v>135.16</v>
      </c>
      <c r="J357" s="353">
        <v>72</v>
      </c>
      <c r="K357" s="354">
        <v>9731.51</v>
      </c>
    </row>
    <row r="358" spans="1:11" ht="14.4" customHeight="1" x14ac:dyDescent="0.3">
      <c r="A358" s="349" t="s">
        <v>379</v>
      </c>
      <c r="B358" s="350" t="s">
        <v>500</v>
      </c>
      <c r="C358" s="351" t="s">
        <v>389</v>
      </c>
      <c r="D358" s="352" t="s">
        <v>502</v>
      </c>
      <c r="E358" s="351" t="s">
        <v>1137</v>
      </c>
      <c r="F358" s="352" t="s">
        <v>1138</v>
      </c>
      <c r="G358" s="351" t="s">
        <v>1113</v>
      </c>
      <c r="H358" s="351" t="s">
        <v>1114</v>
      </c>
      <c r="I358" s="353">
        <v>243.2</v>
      </c>
      <c r="J358" s="353">
        <v>24</v>
      </c>
      <c r="K358" s="354">
        <v>5836.68</v>
      </c>
    </row>
    <row r="359" spans="1:11" ht="14.4" customHeight="1" x14ac:dyDescent="0.3">
      <c r="A359" s="349" t="s">
        <v>379</v>
      </c>
      <c r="B359" s="350" t="s">
        <v>500</v>
      </c>
      <c r="C359" s="351" t="s">
        <v>389</v>
      </c>
      <c r="D359" s="352" t="s">
        <v>502</v>
      </c>
      <c r="E359" s="351" t="s">
        <v>1137</v>
      </c>
      <c r="F359" s="352" t="s">
        <v>1138</v>
      </c>
      <c r="G359" s="351" t="s">
        <v>1115</v>
      </c>
      <c r="H359" s="351" t="s">
        <v>1116</v>
      </c>
      <c r="I359" s="353">
        <v>73.790000000000006</v>
      </c>
      <c r="J359" s="353">
        <v>72</v>
      </c>
      <c r="K359" s="354">
        <v>5313</v>
      </c>
    </row>
    <row r="360" spans="1:11" ht="14.4" customHeight="1" x14ac:dyDescent="0.3">
      <c r="A360" s="349" t="s">
        <v>379</v>
      </c>
      <c r="B360" s="350" t="s">
        <v>500</v>
      </c>
      <c r="C360" s="351" t="s">
        <v>389</v>
      </c>
      <c r="D360" s="352" t="s">
        <v>502</v>
      </c>
      <c r="E360" s="351" t="s">
        <v>1139</v>
      </c>
      <c r="F360" s="352" t="s">
        <v>1140</v>
      </c>
      <c r="G360" s="351" t="s">
        <v>928</v>
      </c>
      <c r="H360" s="351" t="s">
        <v>929</v>
      </c>
      <c r="I360" s="353">
        <v>0.3</v>
      </c>
      <c r="J360" s="353">
        <v>200</v>
      </c>
      <c r="K360" s="354">
        <v>60</v>
      </c>
    </row>
    <row r="361" spans="1:11" ht="14.4" customHeight="1" x14ac:dyDescent="0.3">
      <c r="A361" s="349" t="s">
        <v>379</v>
      </c>
      <c r="B361" s="350" t="s">
        <v>500</v>
      </c>
      <c r="C361" s="351" t="s">
        <v>389</v>
      </c>
      <c r="D361" s="352" t="s">
        <v>502</v>
      </c>
      <c r="E361" s="351" t="s">
        <v>1139</v>
      </c>
      <c r="F361" s="352" t="s">
        <v>1140</v>
      </c>
      <c r="G361" s="351" t="s">
        <v>952</v>
      </c>
      <c r="H361" s="351" t="s">
        <v>953</v>
      </c>
      <c r="I361" s="353">
        <v>0.31</v>
      </c>
      <c r="J361" s="353">
        <v>400</v>
      </c>
      <c r="K361" s="354">
        <v>124</v>
      </c>
    </row>
    <row r="362" spans="1:11" ht="14.4" customHeight="1" x14ac:dyDescent="0.3">
      <c r="A362" s="349" t="s">
        <v>379</v>
      </c>
      <c r="B362" s="350" t="s">
        <v>500</v>
      </c>
      <c r="C362" s="351" t="s">
        <v>389</v>
      </c>
      <c r="D362" s="352" t="s">
        <v>502</v>
      </c>
      <c r="E362" s="351" t="s">
        <v>1141</v>
      </c>
      <c r="F362" s="352" t="s">
        <v>1142</v>
      </c>
      <c r="G362" s="351" t="s">
        <v>982</v>
      </c>
      <c r="H362" s="351" t="s">
        <v>983</v>
      </c>
      <c r="I362" s="353">
        <v>20.69</v>
      </c>
      <c r="J362" s="353">
        <v>100</v>
      </c>
      <c r="K362" s="354">
        <v>2069.1</v>
      </c>
    </row>
    <row r="363" spans="1:11" ht="14.4" customHeight="1" x14ac:dyDescent="0.3">
      <c r="A363" s="349" t="s">
        <v>379</v>
      </c>
      <c r="B363" s="350" t="s">
        <v>500</v>
      </c>
      <c r="C363" s="351" t="s">
        <v>389</v>
      </c>
      <c r="D363" s="352" t="s">
        <v>502</v>
      </c>
      <c r="E363" s="351" t="s">
        <v>1141</v>
      </c>
      <c r="F363" s="352" t="s">
        <v>1142</v>
      </c>
      <c r="G363" s="351" t="s">
        <v>984</v>
      </c>
      <c r="H363" s="351" t="s">
        <v>985</v>
      </c>
      <c r="I363" s="353">
        <v>16.21</v>
      </c>
      <c r="J363" s="353">
        <v>500</v>
      </c>
      <c r="K363" s="354">
        <v>8107</v>
      </c>
    </row>
    <row r="364" spans="1:11" ht="14.4" customHeight="1" x14ac:dyDescent="0.3">
      <c r="A364" s="349" t="s">
        <v>379</v>
      </c>
      <c r="B364" s="350" t="s">
        <v>500</v>
      </c>
      <c r="C364" s="351" t="s">
        <v>389</v>
      </c>
      <c r="D364" s="352" t="s">
        <v>502</v>
      </c>
      <c r="E364" s="351" t="s">
        <v>1141</v>
      </c>
      <c r="F364" s="352" t="s">
        <v>1142</v>
      </c>
      <c r="G364" s="351" t="s">
        <v>1117</v>
      </c>
      <c r="H364" s="351" t="s">
        <v>1118</v>
      </c>
      <c r="I364" s="353">
        <v>7.5</v>
      </c>
      <c r="J364" s="353">
        <v>100</v>
      </c>
      <c r="K364" s="354">
        <v>750</v>
      </c>
    </row>
    <row r="365" spans="1:11" ht="14.4" customHeight="1" x14ac:dyDescent="0.3">
      <c r="A365" s="349" t="s">
        <v>379</v>
      </c>
      <c r="B365" s="350" t="s">
        <v>500</v>
      </c>
      <c r="C365" s="351" t="s">
        <v>389</v>
      </c>
      <c r="D365" s="352" t="s">
        <v>502</v>
      </c>
      <c r="E365" s="351" t="s">
        <v>1141</v>
      </c>
      <c r="F365" s="352" t="s">
        <v>1142</v>
      </c>
      <c r="G365" s="351" t="s">
        <v>986</v>
      </c>
      <c r="H365" s="351" t="s">
        <v>987</v>
      </c>
      <c r="I365" s="353">
        <v>20.69</v>
      </c>
      <c r="J365" s="353">
        <v>100</v>
      </c>
      <c r="K365" s="354">
        <v>2069</v>
      </c>
    </row>
    <row r="366" spans="1:11" ht="14.4" customHeight="1" x14ac:dyDescent="0.3">
      <c r="A366" s="349" t="s">
        <v>379</v>
      </c>
      <c r="B366" s="350" t="s">
        <v>500</v>
      </c>
      <c r="C366" s="351" t="s">
        <v>389</v>
      </c>
      <c r="D366" s="352" t="s">
        <v>502</v>
      </c>
      <c r="E366" s="351" t="s">
        <v>1141</v>
      </c>
      <c r="F366" s="352" t="s">
        <v>1142</v>
      </c>
      <c r="G366" s="351" t="s">
        <v>988</v>
      </c>
      <c r="H366" s="351" t="s">
        <v>989</v>
      </c>
      <c r="I366" s="353">
        <v>20.692500000000003</v>
      </c>
      <c r="J366" s="353">
        <v>273</v>
      </c>
      <c r="K366" s="354">
        <v>5649.37</v>
      </c>
    </row>
    <row r="367" spans="1:11" ht="14.4" customHeight="1" x14ac:dyDescent="0.3">
      <c r="A367" s="349" t="s">
        <v>379</v>
      </c>
      <c r="B367" s="350" t="s">
        <v>500</v>
      </c>
      <c r="C367" s="351" t="s">
        <v>389</v>
      </c>
      <c r="D367" s="352" t="s">
        <v>502</v>
      </c>
      <c r="E367" s="351" t="s">
        <v>1141</v>
      </c>
      <c r="F367" s="352" t="s">
        <v>1142</v>
      </c>
      <c r="G367" s="351" t="s">
        <v>990</v>
      </c>
      <c r="H367" s="351" t="s">
        <v>991</v>
      </c>
      <c r="I367" s="353">
        <v>16.21</v>
      </c>
      <c r="J367" s="353">
        <v>900</v>
      </c>
      <c r="K367" s="354">
        <v>14591</v>
      </c>
    </row>
    <row r="368" spans="1:11" ht="14.4" customHeight="1" x14ac:dyDescent="0.3">
      <c r="A368" s="349" t="s">
        <v>379</v>
      </c>
      <c r="B368" s="350" t="s">
        <v>500</v>
      </c>
      <c r="C368" s="351" t="s">
        <v>389</v>
      </c>
      <c r="D368" s="352" t="s">
        <v>502</v>
      </c>
      <c r="E368" s="351" t="s">
        <v>1141</v>
      </c>
      <c r="F368" s="352" t="s">
        <v>1142</v>
      </c>
      <c r="G368" s="351" t="s">
        <v>992</v>
      </c>
      <c r="H368" s="351" t="s">
        <v>993</v>
      </c>
      <c r="I368" s="353">
        <v>11.01</v>
      </c>
      <c r="J368" s="353">
        <v>880</v>
      </c>
      <c r="K368" s="354">
        <v>9688.7999999999993</v>
      </c>
    </row>
    <row r="369" spans="1:11" ht="14.4" customHeight="1" x14ac:dyDescent="0.3">
      <c r="A369" s="349" t="s">
        <v>379</v>
      </c>
      <c r="B369" s="350" t="s">
        <v>500</v>
      </c>
      <c r="C369" s="351" t="s">
        <v>389</v>
      </c>
      <c r="D369" s="352" t="s">
        <v>502</v>
      </c>
      <c r="E369" s="351" t="s">
        <v>1141</v>
      </c>
      <c r="F369" s="352" t="s">
        <v>1142</v>
      </c>
      <c r="G369" s="351" t="s">
        <v>996</v>
      </c>
      <c r="H369" s="351" t="s">
        <v>997</v>
      </c>
      <c r="I369" s="353">
        <v>11.013333333333334</v>
      </c>
      <c r="J369" s="353">
        <v>1200</v>
      </c>
      <c r="K369" s="354">
        <v>13214.5</v>
      </c>
    </row>
    <row r="370" spans="1:11" ht="14.4" customHeight="1" x14ac:dyDescent="0.3">
      <c r="A370" s="349" t="s">
        <v>379</v>
      </c>
      <c r="B370" s="350" t="s">
        <v>500</v>
      </c>
      <c r="C370" s="351" t="s">
        <v>389</v>
      </c>
      <c r="D370" s="352" t="s">
        <v>502</v>
      </c>
      <c r="E370" s="351" t="s">
        <v>1141</v>
      </c>
      <c r="F370" s="352" t="s">
        <v>1142</v>
      </c>
      <c r="G370" s="351" t="s">
        <v>998</v>
      </c>
      <c r="H370" s="351" t="s">
        <v>999</v>
      </c>
      <c r="I370" s="353">
        <v>11.01</v>
      </c>
      <c r="J370" s="353">
        <v>840</v>
      </c>
      <c r="K370" s="354">
        <v>9248.4</v>
      </c>
    </row>
    <row r="371" spans="1:11" ht="14.4" customHeight="1" x14ac:dyDescent="0.3">
      <c r="A371" s="349" t="s">
        <v>379</v>
      </c>
      <c r="B371" s="350" t="s">
        <v>500</v>
      </c>
      <c r="C371" s="351" t="s">
        <v>389</v>
      </c>
      <c r="D371" s="352" t="s">
        <v>502</v>
      </c>
      <c r="E371" s="351" t="s">
        <v>1141</v>
      </c>
      <c r="F371" s="352" t="s">
        <v>1142</v>
      </c>
      <c r="G371" s="351" t="s">
        <v>1000</v>
      </c>
      <c r="H371" s="351" t="s">
        <v>1001</v>
      </c>
      <c r="I371" s="353">
        <v>11.01</v>
      </c>
      <c r="J371" s="353">
        <v>720</v>
      </c>
      <c r="K371" s="354">
        <v>7927.2</v>
      </c>
    </row>
    <row r="372" spans="1:11" ht="14.4" customHeight="1" x14ac:dyDescent="0.3">
      <c r="A372" s="349" t="s">
        <v>379</v>
      </c>
      <c r="B372" s="350" t="s">
        <v>500</v>
      </c>
      <c r="C372" s="351" t="s">
        <v>389</v>
      </c>
      <c r="D372" s="352" t="s">
        <v>502</v>
      </c>
      <c r="E372" s="351" t="s">
        <v>1141</v>
      </c>
      <c r="F372" s="352" t="s">
        <v>1142</v>
      </c>
      <c r="G372" s="351" t="s">
        <v>1002</v>
      </c>
      <c r="H372" s="351" t="s">
        <v>1003</v>
      </c>
      <c r="I372" s="353">
        <v>11</v>
      </c>
      <c r="J372" s="353">
        <v>240</v>
      </c>
      <c r="K372" s="354">
        <v>2640</v>
      </c>
    </row>
    <row r="373" spans="1:11" ht="14.4" customHeight="1" x14ac:dyDescent="0.3">
      <c r="A373" s="349" t="s">
        <v>379</v>
      </c>
      <c r="B373" s="350" t="s">
        <v>500</v>
      </c>
      <c r="C373" s="351" t="s">
        <v>389</v>
      </c>
      <c r="D373" s="352" t="s">
        <v>502</v>
      </c>
      <c r="E373" s="351" t="s">
        <v>1141</v>
      </c>
      <c r="F373" s="352" t="s">
        <v>1142</v>
      </c>
      <c r="G373" s="351" t="s">
        <v>1119</v>
      </c>
      <c r="H373" s="351" t="s">
        <v>1120</v>
      </c>
      <c r="I373" s="353">
        <v>16.21</v>
      </c>
      <c r="J373" s="353">
        <v>500</v>
      </c>
      <c r="K373" s="354">
        <v>8107</v>
      </c>
    </row>
    <row r="374" spans="1:11" ht="14.4" customHeight="1" x14ac:dyDescent="0.3">
      <c r="A374" s="349" t="s">
        <v>379</v>
      </c>
      <c r="B374" s="350" t="s">
        <v>500</v>
      </c>
      <c r="C374" s="351" t="s">
        <v>389</v>
      </c>
      <c r="D374" s="352" t="s">
        <v>502</v>
      </c>
      <c r="E374" s="351" t="s">
        <v>1141</v>
      </c>
      <c r="F374" s="352" t="s">
        <v>1142</v>
      </c>
      <c r="G374" s="351" t="s">
        <v>1121</v>
      </c>
      <c r="H374" s="351" t="s">
        <v>1122</v>
      </c>
      <c r="I374" s="353">
        <v>16.21</v>
      </c>
      <c r="J374" s="353">
        <v>900</v>
      </c>
      <c r="K374" s="354">
        <v>14592.6</v>
      </c>
    </row>
    <row r="375" spans="1:11" ht="14.4" customHeight="1" x14ac:dyDescent="0.3">
      <c r="A375" s="349" t="s">
        <v>379</v>
      </c>
      <c r="B375" s="350" t="s">
        <v>500</v>
      </c>
      <c r="C375" s="351" t="s">
        <v>389</v>
      </c>
      <c r="D375" s="352" t="s">
        <v>502</v>
      </c>
      <c r="E375" s="351" t="s">
        <v>1141</v>
      </c>
      <c r="F375" s="352" t="s">
        <v>1142</v>
      </c>
      <c r="G375" s="351" t="s">
        <v>1009</v>
      </c>
      <c r="H375" s="351" t="s">
        <v>1010</v>
      </c>
      <c r="I375" s="353">
        <v>16.21</v>
      </c>
      <c r="J375" s="353">
        <v>750</v>
      </c>
      <c r="K375" s="354">
        <v>12160.5</v>
      </c>
    </row>
    <row r="376" spans="1:11" ht="14.4" customHeight="1" x14ac:dyDescent="0.3">
      <c r="A376" s="349" t="s">
        <v>379</v>
      </c>
      <c r="B376" s="350" t="s">
        <v>500</v>
      </c>
      <c r="C376" s="351" t="s">
        <v>389</v>
      </c>
      <c r="D376" s="352" t="s">
        <v>502</v>
      </c>
      <c r="E376" s="351" t="s">
        <v>1141</v>
      </c>
      <c r="F376" s="352" t="s">
        <v>1142</v>
      </c>
      <c r="G376" s="351" t="s">
        <v>1011</v>
      </c>
      <c r="H376" s="351" t="s">
        <v>1012</v>
      </c>
      <c r="I376" s="353">
        <v>11.01</v>
      </c>
      <c r="J376" s="353">
        <v>200</v>
      </c>
      <c r="K376" s="354">
        <v>2202.1999999999998</v>
      </c>
    </row>
    <row r="377" spans="1:11" ht="14.4" customHeight="1" x14ac:dyDescent="0.3">
      <c r="A377" s="349" t="s">
        <v>379</v>
      </c>
      <c r="B377" s="350" t="s">
        <v>500</v>
      </c>
      <c r="C377" s="351" t="s">
        <v>389</v>
      </c>
      <c r="D377" s="352" t="s">
        <v>502</v>
      </c>
      <c r="E377" s="351" t="s">
        <v>1141</v>
      </c>
      <c r="F377" s="352" t="s">
        <v>1142</v>
      </c>
      <c r="G377" s="351" t="s">
        <v>1015</v>
      </c>
      <c r="H377" s="351" t="s">
        <v>1016</v>
      </c>
      <c r="I377" s="353">
        <v>0.78</v>
      </c>
      <c r="J377" s="353">
        <v>3000</v>
      </c>
      <c r="K377" s="354">
        <v>2340</v>
      </c>
    </row>
    <row r="378" spans="1:11" ht="14.4" customHeight="1" thickBot="1" x14ac:dyDescent="0.35">
      <c r="A378" s="355" t="s">
        <v>379</v>
      </c>
      <c r="B378" s="356" t="s">
        <v>500</v>
      </c>
      <c r="C378" s="357" t="s">
        <v>389</v>
      </c>
      <c r="D378" s="358" t="s">
        <v>502</v>
      </c>
      <c r="E378" s="357" t="s">
        <v>1141</v>
      </c>
      <c r="F378" s="358" t="s">
        <v>1142</v>
      </c>
      <c r="G378" s="357" t="s">
        <v>1017</v>
      </c>
      <c r="H378" s="357" t="s">
        <v>1018</v>
      </c>
      <c r="I378" s="359">
        <v>0.71</v>
      </c>
      <c r="J378" s="359">
        <v>9000</v>
      </c>
      <c r="K378" s="360">
        <v>6390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AH36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AG1"/>
    </sheetView>
  </sheetViews>
  <sheetFormatPr defaultRowHeight="14.4" outlineLevelRow="1" x14ac:dyDescent="0.3"/>
  <cols>
    <col min="1" max="1" width="37.21875" customWidth="1"/>
    <col min="2" max="2" width="13.109375" customWidth="1"/>
    <col min="3" max="3" width="13.109375" hidden="1" customWidth="1"/>
    <col min="4" max="4" width="13.109375" customWidth="1"/>
    <col min="5" max="5" width="13.109375" hidden="1" customWidth="1"/>
    <col min="6" max="6" width="13.109375" customWidth="1"/>
    <col min="7" max="28" width="13.109375" hidden="1" customWidth="1"/>
    <col min="29" max="29" width="13.109375" customWidth="1"/>
    <col min="30" max="33" width="13.109375" hidden="1" customWidth="1"/>
  </cols>
  <sheetData>
    <row r="1" spans="1:34" ht="18.600000000000001" thickBot="1" x14ac:dyDescent="0.4">
      <c r="A1" s="302" t="s">
        <v>61</v>
      </c>
      <c r="B1" s="289"/>
      <c r="C1" s="289"/>
      <c r="D1" s="289"/>
      <c r="E1" s="289"/>
      <c r="F1" s="289"/>
      <c r="G1" s="289"/>
      <c r="H1" s="289"/>
      <c r="I1" s="289"/>
      <c r="J1" s="289"/>
      <c r="K1" s="289"/>
      <c r="L1" s="289"/>
      <c r="M1" s="289"/>
      <c r="N1" s="289"/>
      <c r="O1" s="289"/>
      <c r="P1" s="289"/>
      <c r="Q1" s="289"/>
      <c r="R1" s="289"/>
      <c r="S1" s="289"/>
      <c r="T1" s="289"/>
      <c r="U1" s="289"/>
      <c r="V1" s="289"/>
      <c r="W1" s="289"/>
      <c r="X1" s="289"/>
      <c r="Y1" s="289"/>
      <c r="Z1" s="289"/>
      <c r="AA1" s="289"/>
      <c r="AB1" s="289"/>
      <c r="AC1" s="289"/>
      <c r="AD1" s="289"/>
      <c r="AE1" s="289"/>
      <c r="AF1" s="289"/>
      <c r="AG1" s="289"/>
    </row>
    <row r="2" spans="1:34" ht="15" thickBot="1" x14ac:dyDescent="0.35">
      <c r="A2" s="175" t="s">
        <v>205</v>
      </c>
      <c r="B2" s="176"/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176"/>
      <c r="T2" s="176"/>
      <c r="U2" s="176"/>
      <c r="V2" s="176"/>
      <c r="W2" s="176"/>
      <c r="X2" s="176"/>
      <c r="Y2" s="176"/>
      <c r="Z2" s="176"/>
      <c r="AA2" s="176"/>
      <c r="AB2" s="176"/>
      <c r="AC2" s="176"/>
      <c r="AD2" s="176"/>
      <c r="AE2" s="176"/>
      <c r="AF2" s="176"/>
      <c r="AG2" s="176"/>
    </row>
    <row r="3" spans="1:34" x14ac:dyDescent="0.3">
      <c r="A3" s="194" t="s">
        <v>153</v>
      </c>
      <c r="B3" s="303" t="s">
        <v>134</v>
      </c>
      <c r="C3" s="177">
        <v>0</v>
      </c>
      <c r="D3" s="178">
        <v>101</v>
      </c>
      <c r="E3" s="178">
        <v>102</v>
      </c>
      <c r="F3" s="197">
        <v>305</v>
      </c>
      <c r="G3" s="197">
        <v>306</v>
      </c>
      <c r="H3" s="197">
        <v>408</v>
      </c>
      <c r="I3" s="197">
        <v>409</v>
      </c>
      <c r="J3" s="197">
        <v>410</v>
      </c>
      <c r="K3" s="197">
        <v>415</v>
      </c>
      <c r="L3" s="197">
        <v>416</v>
      </c>
      <c r="M3" s="197">
        <v>418</v>
      </c>
      <c r="N3" s="197">
        <v>419</v>
      </c>
      <c r="O3" s="197">
        <v>420</v>
      </c>
      <c r="P3" s="197">
        <v>421</v>
      </c>
      <c r="Q3" s="197">
        <v>522</v>
      </c>
      <c r="R3" s="197">
        <v>523</v>
      </c>
      <c r="S3" s="197">
        <v>524</v>
      </c>
      <c r="T3" s="197">
        <v>525</v>
      </c>
      <c r="U3" s="197">
        <v>526</v>
      </c>
      <c r="V3" s="197">
        <v>527</v>
      </c>
      <c r="W3" s="197">
        <v>528</v>
      </c>
      <c r="X3" s="197">
        <v>629</v>
      </c>
      <c r="Y3" s="197">
        <v>630</v>
      </c>
      <c r="Z3" s="197">
        <v>636</v>
      </c>
      <c r="AA3" s="197">
        <v>637</v>
      </c>
      <c r="AB3" s="197">
        <v>640</v>
      </c>
      <c r="AC3" s="197">
        <v>642</v>
      </c>
      <c r="AD3" s="197">
        <v>743</v>
      </c>
      <c r="AE3" s="178">
        <v>745</v>
      </c>
      <c r="AF3" s="178">
        <v>746</v>
      </c>
      <c r="AG3" s="394">
        <v>930</v>
      </c>
      <c r="AH3" s="409"/>
    </row>
    <row r="4" spans="1:34" ht="36.6" outlineLevel="1" thickBot="1" x14ac:dyDescent="0.35">
      <c r="A4" s="195">
        <v>2014</v>
      </c>
      <c r="B4" s="304"/>
      <c r="C4" s="179" t="s">
        <v>135</v>
      </c>
      <c r="D4" s="180" t="s">
        <v>136</v>
      </c>
      <c r="E4" s="180" t="s">
        <v>137</v>
      </c>
      <c r="F4" s="198" t="s">
        <v>165</v>
      </c>
      <c r="G4" s="198" t="s">
        <v>166</v>
      </c>
      <c r="H4" s="198" t="s">
        <v>167</v>
      </c>
      <c r="I4" s="198" t="s">
        <v>168</v>
      </c>
      <c r="J4" s="198" t="s">
        <v>169</v>
      </c>
      <c r="K4" s="198" t="s">
        <v>170</v>
      </c>
      <c r="L4" s="198" t="s">
        <v>171</v>
      </c>
      <c r="M4" s="198" t="s">
        <v>172</v>
      </c>
      <c r="N4" s="198" t="s">
        <v>173</v>
      </c>
      <c r="O4" s="198" t="s">
        <v>174</v>
      </c>
      <c r="P4" s="198" t="s">
        <v>175</v>
      </c>
      <c r="Q4" s="198" t="s">
        <v>176</v>
      </c>
      <c r="R4" s="198" t="s">
        <v>177</v>
      </c>
      <c r="S4" s="198" t="s">
        <v>178</v>
      </c>
      <c r="T4" s="198" t="s">
        <v>179</v>
      </c>
      <c r="U4" s="198" t="s">
        <v>180</v>
      </c>
      <c r="V4" s="198" t="s">
        <v>181</v>
      </c>
      <c r="W4" s="198" t="s">
        <v>190</v>
      </c>
      <c r="X4" s="198" t="s">
        <v>182</v>
      </c>
      <c r="Y4" s="198" t="s">
        <v>191</v>
      </c>
      <c r="Z4" s="198" t="s">
        <v>183</v>
      </c>
      <c r="AA4" s="198" t="s">
        <v>184</v>
      </c>
      <c r="AB4" s="198" t="s">
        <v>185</v>
      </c>
      <c r="AC4" s="198" t="s">
        <v>186</v>
      </c>
      <c r="AD4" s="198" t="s">
        <v>187</v>
      </c>
      <c r="AE4" s="180" t="s">
        <v>188</v>
      </c>
      <c r="AF4" s="180" t="s">
        <v>189</v>
      </c>
      <c r="AG4" s="395" t="s">
        <v>155</v>
      </c>
      <c r="AH4" s="409"/>
    </row>
    <row r="5" spans="1:34" x14ac:dyDescent="0.3">
      <c r="A5" s="181" t="s">
        <v>138</v>
      </c>
      <c r="B5" s="217"/>
      <c r="C5" s="218"/>
      <c r="D5" s="219"/>
      <c r="E5" s="219"/>
      <c r="F5" s="219"/>
      <c r="G5" s="219"/>
      <c r="H5" s="219"/>
      <c r="I5" s="219"/>
      <c r="J5" s="219"/>
      <c r="K5" s="219"/>
      <c r="L5" s="219"/>
      <c r="M5" s="219"/>
      <c r="N5" s="219"/>
      <c r="O5" s="219"/>
      <c r="P5" s="219"/>
      <c r="Q5" s="219"/>
      <c r="R5" s="219"/>
      <c r="S5" s="219"/>
      <c r="T5" s="219"/>
      <c r="U5" s="219"/>
      <c r="V5" s="219"/>
      <c r="W5" s="219"/>
      <c r="X5" s="219"/>
      <c r="Y5" s="219"/>
      <c r="Z5" s="219"/>
      <c r="AA5" s="219"/>
      <c r="AB5" s="219"/>
      <c r="AC5" s="219"/>
      <c r="AD5" s="219"/>
      <c r="AE5" s="219"/>
      <c r="AF5" s="219"/>
      <c r="AG5" s="396"/>
      <c r="AH5" s="409"/>
    </row>
    <row r="6" spans="1:34" ht="15" collapsed="1" thickBot="1" x14ac:dyDescent="0.35">
      <c r="A6" s="182" t="s">
        <v>55</v>
      </c>
      <c r="B6" s="220">
        <f xml:space="preserve">
TRUNC(IF($A$4&lt;=12,SUMIFS('ON Data'!F:F,'ON Data'!$D:$D,$A$4,'ON Data'!$E:$E,1),SUMIFS('ON Data'!F:F,'ON Data'!$E:$E,1)/'ON Data'!$D$3),1)</f>
        <v>53.4</v>
      </c>
      <c r="C6" s="221">
        <f xml:space="preserve">
TRUNC(IF($A$4&lt;=12,SUMIFS('ON Data'!G:G,'ON Data'!$D:$D,$A$4,'ON Data'!$E:$E,1),SUMIFS('ON Data'!G:G,'ON Data'!$E:$E,1)/'ON Data'!$D$3),1)</f>
        <v>0</v>
      </c>
      <c r="D6" s="222">
        <f xml:space="preserve">
TRUNC(IF($A$4&lt;=12,SUMIFS('ON Data'!H:H,'ON Data'!$D:$D,$A$4,'ON Data'!$E:$E,1),SUMIFS('ON Data'!H:H,'ON Data'!$E:$E,1)/'ON Data'!$D$3),1)</f>
        <v>0.1</v>
      </c>
      <c r="E6" s="222">
        <f xml:space="preserve">
TRUNC(IF($A$4&lt;=12,SUMIFS('ON Data'!I:I,'ON Data'!$D:$D,$A$4,'ON Data'!$E:$E,1),SUMIFS('ON Data'!I:I,'ON Data'!$E:$E,1)/'ON Data'!$D$3),1)</f>
        <v>0</v>
      </c>
      <c r="F6" s="222">
        <f xml:space="preserve">
TRUNC(IF($A$4&lt;=12,SUMIFS('ON Data'!K:K,'ON Data'!$D:$D,$A$4,'ON Data'!$E:$E,1),SUMIFS('ON Data'!K:K,'ON Data'!$E:$E,1)/'ON Data'!$D$3),1)</f>
        <v>39.9</v>
      </c>
      <c r="G6" s="222">
        <f xml:space="preserve">
TRUNC(IF($A$4&lt;=12,SUMIFS('ON Data'!L:L,'ON Data'!$D:$D,$A$4,'ON Data'!$E:$E,1),SUMIFS('ON Data'!L:L,'ON Data'!$E:$E,1)/'ON Data'!$D$3),1)</f>
        <v>0</v>
      </c>
      <c r="H6" s="222">
        <f xml:space="preserve">
TRUNC(IF($A$4&lt;=12,SUMIFS('ON Data'!M:M,'ON Data'!$D:$D,$A$4,'ON Data'!$E:$E,1),SUMIFS('ON Data'!M:M,'ON Data'!$E:$E,1)/'ON Data'!$D$3),1)</f>
        <v>0</v>
      </c>
      <c r="I6" s="222">
        <f xml:space="preserve">
TRUNC(IF($A$4&lt;=12,SUMIFS('ON Data'!N:N,'ON Data'!$D:$D,$A$4,'ON Data'!$E:$E,1),SUMIFS('ON Data'!N:N,'ON Data'!$E:$E,1)/'ON Data'!$D$3),1)</f>
        <v>0</v>
      </c>
      <c r="J6" s="222">
        <f xml:space="preserve">
TRUNC(IF($A$4&lt;=12,SUMIFS('ON Data'!O:O,'ON Data'!$D:$D,$A$4,'ON Data'!$E:$E,1),SUMIFS('ON Data'!O:O,'ON Data'!$E:$E,1)/'ON Data'!$D$3),1)</f>
        <v>0</v>
      </c>
      <c r="K6" s="222">
        <f xml:space="preserve">
TRUNC(IF($A$4&lt;=12,SUMIFS('ON Data'!P:P,'ON Data'!$D:$D,$A$4,'ON Data'!$E:$E,1),SUMIFS('ON Data'!P:P,'ON Data'!$E:$E,1)/'ON Data'!$D$3),1)</f>
        <v>0</v>
      </c>
      <c r="L6" s="222">
        <f xml:space="preserve">
TRUNC(IF($A$4&lt;=12,SUMIFS('ON Data'!Q:Q,'ON Data'!$D:$D,$A$4,'ON Data'!$E:$E,1),SUMIFS('ON Data'!Q:Q,'ON Data'!$E:$E,1)/'ON Data'!$D$3),1)</f>
        <v>0</v>
      </c>
      <c r="M6" s="222">
        <f xml:space="preserve">
TRUNC(IF($A$4&lt;=12,SUMIFS('ON Data'!R:R,'ON Data'!$D:$D,$A$4,'ON Data'!$E:$E,1),SUMIFS('ON Data'!R:R,'ON Data'!$E:$E,1)/'ON Data'!$D$3),1)</f>
        <v>0</v>
      </c>
      <c r="N6" s="222">
        <f xml:space="preserve">
TRUNC(IF($A$4&lt;=12,SUMIFS('ON Data'!S:S,'ON Data'!$D:$D,$A$4,'ON Data'!$E:$E,1),SUMIFS('ON Data'!S:S,'ON Data'!$E:$E,1)/'ON Data'!$D$3),1)</f>
        <v>0</v>
      </c>
      <c r="O6" s="222">
        <f xml:space="preserve">
TRUNC(IF($A$4&lt;=12,SUMIFS('ON Data'!T:T,'ON Data'!$D:$D,$A$4,'ON Data'!$E:$E,1),SUMIFS('ON Data'!T:T,'ON Data'!$E:$E,1)/'ON Data'!$D$3),1)</f>
        <v>0</v>
      </c>
      <c r="P6" s="222">
        <f xml:space="preserve">
TRUNC(IF($A$4&lt;=12,SUMIFS('ON Data'!U:U,'ON Data'!$D:$D,$A$4,'ON Data'!$E:$E,1),SUMIFS('ON Data'!U:U,'ON Data'!$E:$E,1)/'ON Data'!$D$3),1)</f>
        <v>0</v>
      </c>
      <c r="Q6" s="222">
        <f xml:space="preserve">
TRUNC(IF($A$4&lt;=12,SUMIFS('ON Data'!V:V,'ON Data'!$D:$D,$A$4,'ON Data'!$E:$E,1),SUMIFS('ON Data'!V:V,'ON Data'!$E:$E,1)/'ON Data'!$D$3),1)</f>
        <v>0</v>
      </c>
      <c r="R6" s="222">
        <f xml:space="preserve">
TRUNC(IF($A$4&lt;=12,SUMIFS('ON Data'!W:W,'ON Data'!$D:$D,$A$4,'ON Data'!$E:$E,1),SUMIFS('ON Data'!W:W,'ON Data'!$E:$E,1)/'ON Data'!$D$3),1)</f>
        <v>0</v>
      </c>
      <c r="S6" s="222">
        <f xml:space="preserve">
TRUNC(IF($A$4&lt;=12,SUMIFS('ON Data'!X:X,'ON Data'!$D:$D,$A$4,'ON Data'!$E:$E,1),SUMIFS('ON Data'!X:X,'ON Data'!$E:$E,1)/'ON Data'!$D$3),1)</f>
        <v>0</v>
      </c>
      <c r="T6" s="222">
        <f xml:space="preserve">
TRUNC(IF($A$4&lt;=12,SUMIFS('ON Data'!Y:Y,'ON Data'!$D:$D,$A$4,'ON Data'!$E:$E,1),SUMIFS('ON Data'!Y:Y,'ON Data'!$E:$E,1)/'ON Data'!$D$3),1)</f>
        <v>0</v>
      </c>
      <c r="U6" s="222">
        <f xml:space="preserve">
TRUNC(IF($A$4&lt;=12,SUMIFS('ON Data'!Z:Z,'ON Data'!$D:$D,$A$4,'ON Data'!$E:$E,1),SUMIFS('ON Data'!Z:Z,'ON Data'!$E:$E,1)/'ON Data'!$D$3),1)</f>
        <v>0</v>
      </c>
      <c r="V6" s="222">
        <f xml:space="preserve">
TRUNC(IF($A$4&lt;=12,SUMIFS('ON Data'!AA:AA,'ON Data'!$D:$D,$A$4,'ON Data'!$E:$E,1),SUMIFS('ON Data'!AA:AA,'ON Data'!$E:$E,1)/'ON Data'!$D$3),1)</f>
        <v>0</v>
      </c>
      <c r="W6" s="222">
        <f xml:space="preserve">
TRUNC(IF($A$4&lt;=12,SUMIFS('ON Data'!AB:AB,'ON Data'!$D:$D,$A$4,'ON Data'!$E:$E,1),SUMIFS('ON Data'!AB:AB,'ON Data'!$E:$E,1)/'ON Data'!$D$3),1)</f>
        <v>0</v>
      </c>
      <c r="X6" s="222">
        <f xml:space="preserve">
TRUNC(IF($A$4&lt;=12,SUMIFS('ON Data'!AC:AC,'ON Data'!$D:$D,$A$4,'ON Data'!$E:$E,1),SUMIFS('ON Data'!AC:AC,'ON Data'!$E:$E,1)/'ON Data'!$D$3),1)</f>
        <v>0</v>
      </c>
      <c r="Y6" s="222">
        <f xml:space="preserve">
TRUNC(IF($A$4&lt;=12,SUMIFS('ON Data'!AD:AD,'ON Data'!$D:$D,$A$4,'ON Data'!$E:$E,1),SUMIFS('ON Data'!AD:AD,'ON Data'!$E:$E,1)/'ON Data'!$D$3),1)</f>
        <v>0</v>
      </c>
      <c r="Z6" s="222">
        <f xml:space="preserve">
TRUNC(IF($A$4&lt;=12,SUMIFS('ON Data'!AE:AE,'ON Data'!$D:$D,$A$4,'ON Data'!$E:$E,1),SUMIFS('ON Data'!AE:AE,'ON Data'!$E:$E,1)/'ON Data'!$D$3),1)</f>
        <v>0</v>
      </c>
      <c r="AA6" s="222">
        <f xml:space="preserve">
TRUNC(IF($A$4&lt;=12,SUMIFS('ON Data'!AF:AF,'ON Data'!$D:$D,$A$4,'ON Data'!$E:$E,1),SUMIFS('ON Data'!AF:AF,'ON Data'!$E:$E,1)/'ON Data'!$D$3),1)</f>
        <v>0</v>
      </c>
      <c r="AB6" s="222">
        <f xml:space="preserve">
TRUNC(IF($A$4&lt;=12,SUMIFS('ON Data'!AG:AG,'ON Data'!$D:$D,$A$4,'ON Data'!$E:$E,1),SUMIFS('ON Data'!AG:AG,'ON Data'!$E:$E,1)/'ON Data'!$D$3),1)</f>
        <v>0</v>
      </c>
      <c r="AC6" s="222">
        <f xml:space="preserve">
TRUNC(IF($A$4&lt;=12,SUMIFS('ON Data'!AH:AH,'ON Data'!$D:$D,$A$4,'ON Data'!$E:$E,1),SUMIFS('ON Data'!AH:AH,'ON Data'!$E:$E,1)/'ON Data'!$D$3),1)</f>
        <v>13.4</v>
      </c>
      <c r="AD6" s="222">
        <f xml:space="preserve">
TRUNC(IF($A$4&lt;=12,SUMIFS('ON Data'!AI:AI,'ON Data'!$D:$D,$A$4,'ON Data'!$E:$E,1),SUMIFS('ON Data'!AI:AI,'ON Data'!$E:$E,1)/'ON Data'!$D$3),1)</f>
        <v>0</v>
      </c>
      <c r="AE6" s="222">
        <f xml:space="preserve">
TRUNC(IF($A$4&lt;=12,SUMIFS('ON Data'!AJ:AJ,'ON Data'!$D:$D,$A$4,'ON Data'!$E:$E,1),SUMIFS('ON Data'!AJ:AJ,'ON Data'!$E:$E,1)/'ON Data'!$D$3),1)</f>
        <v>0</v>
      </c>
      <c r="AF6" s="222">
        <f xml:space="preserve">
TRUNC(IF($A$4&lt;=12,SUMIFS('ON Data'!AK:AK,'ON Data'!$D:$D,$A$4,'ON Data'!$E:$E,1),SUMIFS('ON Data'!AK:AK,'ON Data'!$E:$E,1)/'ON Data'!$D$3),1)</f>
        <v>0</v>
      </c>
      <c r="AG6" s="397">
        <f xml:space="preserve">
TRUNC(IF($A$4&lt;=12,SUMIFS('ON Data'!AM:AM,'ON Data'!$D:$D,$A$4,'ON Data'!$E:$E,1),SUMIFS('ON Data'!AM:AM,'ON Data'!$E:$E,1)/'ON Data'!$D$3),1)</f>
        <v>0</v>
      </c>
      <c r="AH6" s="409"/>
    </row>
    <row r="7" spans="1:34" ht="15" hidden="1" outlineLevel="1" thickBot="1" x14ac:dyDescent="0.35">
      <c r="A7" s="182" t="s">
        <v>62</v>
      </c>
      <c r="B7" s="220"/>
      <c r="C7" s="223"/>
      <c r="D7" s="222"/>
      <c r="E7" s="222"/>
      <c r="F7" s="222"/>
      <c r="G7" s="222"/>
      <c r="H7" s="222"/>
      <c r="I7" s="222"/>
      <c r="J7" s="222"/>
      <c r="K7" s="222"/>
      <c r="L7" s="222"/>
      <c r="M7" s="222"/>
      <c r="N7" s="222"/>
      <c r="O7" s="222"/>
      <c r="P7" s="222"/>
      <c r="Q7" s="222"/>
      <c r="R7" s="222"/>
      <c r="S7" s="222"/>
      <c r="T7" s="222"/>
      <c r="U7" s="222"/>
      <c r="V7" s="222"/>
      <c r="W7" s="222"/>
      <c r="X7" s="222"/>
      <c r="Y7" s="222"/>
      <c r="Z7" s="222"/>
      <c r="AA7" s="222"/>
      <c r="AB7" s="222"/>
      <c r="AC7" s="222"/>
      <c r="AD7" s="222"/>
      <c r="AE7" s="222"/>
      <c r="AF7" s="222"/>
      <c r="AG7" s="397"/>
      <c r="AH7" s="409"/>
    </row>
    <row r="8" spans="1:34" ht="15" hidden="1" outlineLevel="1" thickBot="1" x14ac:dyDescent="0.35">
      <c r="A8" s="182" t="s">
        <v>57</v>
      </c>
      <c r="B8" s="220"/>
      <c r="C8" s="223"/>
      <c r="D8" s="222"/>
      <c r="E8" s="222"/>
      <c r="F8" s="222"/>
      <c r="G8" s="222"/>
      <c r="H8" s="222"/>
      <c r="I8" s="222"/>
      <c r="J8" s="222"/>
      <c r="K8" s="222"/>
      <c r="L8" s="222"/>
      <c r="M8" s="222"/>
      <c r="N8" s="222"/>
      <c r="O8" s="222"/>
      <c r="P8" s="222"/>
      <c r="Q8" s="222"/>
      <c r="R8" s="222"/>
      <c r="S8" s="222"/>
      <c r="T8" s="222"/>
      <c r="U8" s="222"/>
      <c r="V8" s="222"/>
      <c r="W8" s="222"/>
      <c r="X8" s="222"/>
      <c r="Y8" s="222"/>
      <c r="Z8" s="222"/>
      <c r="AA8" s="222"/>
      <c r="AB8" s="222"/>
      <c r="AC8" s="222"/>
      <c r="AD8" s="222"/>
      <c r="AE8" s="222"/>
      <c r="AF8" s="222"/>
      <c r="AG8" s="397"/>
      <c r="AH8" s="409"/>
    </row>
    <row r="9" spans="1:34" ht="15" hidden="1" outlineLevel="1" thickBot="1" x14ac:dyDescent="0.35">
      <c r="A9" s="183" t="s">
        <v>52</v>
      </c>
      <c r="B9" s="224"/>
      <c r="C9" s="225"/>
      <c r="D9" s="226"/>
      <c r="E9" s="226"/>
      <c r="F9" s="226"/>
      <c r="G9" s="226"/>
      <c r="H9" s="226"/>
      <c r="I9" s="226"/>
      <c r="J9" s="226"/>
      <c r="K9" s="226"/>
      <c r="L9" s="226"/>
      <c r="M9" s="226"/>
      <c r="N9" s="226"/>
      <c r="O9" s="226"/>
      <c r="P9" s="226"/>
      <c r="Q9" s="226"/>
      <c r="R9" s="226"/>
      <c r="S9" s="226"/>
      <c r="T9" s="226"/>
      <c r="U9" s="226"/>
      <c r="V9" s="226"/>
      <c r="W9" s="226"/>
      <c r="X9" s="226"/>
      <c r="Y9" s="226"/>
      <c r="Z9" s="226"/>
      <c r="AA9" s="226"/>
      <c r="AB9" s="226"/>
      <c r="AC9" s="226"/>
      <c r="AD9" s="226"/>
      <c r="AE9" s="226"/>
      <c r="AF9" s="226"/>
      <c r="AG9" s="398"/>
      <c r="AH9" s="409"/>
    </row>
    <row r="10" spans="1:34" x14ac:dyDescent="0.3">
      <c r="A10" s="184" t="s">
        <v>139</v>
      </c>
      <c r="B10" s="199"/>
      <c r="C10" s="200"/>
      <c r="D10" s="201"/>
      <c r="E10" s="201"/>
      <c r="F10" s="201"/>
      <c r="G10" s="201"/>
      <c r="H10" s="201"/>
      <c r="I10" s="201"/>
      <c r="J10" s="201"/>
      <c r="K10" s="201"/>
      <c r="L10" s="201"/>
      <c r="M10" s="201"/>
      <c r="N10" s="201"/>
      <c r="O10" s="201"/>
      <c r="P10" s="201"/>
      <c r="Q10" s="201"/>
      <c r="R10" s="201"/>
      <c r="S10" s="201"/>
      <c r="T10" s="201"/>
      <c r="U10" s="201"/>
      <c r="V10" s="201"/>
      <c r="W10" s="201"/>
      <c r="X10" s="201"/>
      <c r="Y10" s="201"/>
      <c r="Z10" s="201"/>
      <c r="AA10" s="201"/>
      <c r="AB10" s="201"/>
      <c r="AC10" s="201"/>
      <c r="AD10" s="201"/>
      <c r="AE10" s="201"/>
      <c r="AF10" s="201"/>
      <c r="AG10" s="399"/>
      <c r="AH10" s="409"/>
    </row>
    <row r="11" spans="1:34" x14ac:dyDescent="0.3">
      <c r="A11" s="185" t="s">
        <v>140</v>
      </c>
      <c r="B11" s="202">
        <f xml:space="preserve">
IF($A$4&lt;=12,SUMIFS('ON Data'!F:F,'ON Data'!$D:$D,$A$4,'ON Data'!$E:$E,2),SUMIFS('ON Data'!F:F,'ON Data'!$E:$E,2))</f>
        <v>52618.9</v>
      </c>
      <c r="C11" s="203">
        <f xml:space="preserve">
IF($A$4&lt;=12,SUMIFS('ON Data'!G:G,'ON Data'!$D:$D,$A$4,'ON Data'!$E:$E,2),SUMIFS('ON Data'!G:G,'ON Data'!$E:$E,2))</f>
        <v>0</v>
      </c>
      <c r="D11" s="204">
        <f xml:space="preserve">
IF($A$4&lt;=12,SUMIFS('ON Data'!H:H,'ON Data'!$D:$D,$A$4,'ON Data'!$E:$E,2),SUMIFS('ON Data'!H:H,'ON Data'!$E:$E,2))</f>
        <v>120</v>
      </c>
      <c r="E11" s="204">
        <f xml:space="preserve">
IF($A$4&lt;=12,SUMIFS('ON Data'!I:I,'ON Data'!$D:$D,$A$4,'ON Data'!$E:$E,2),SUMIFS('ON Data'!I:I,'ON Data'!$E:$E,2))</f>
        <v>0</v>
      </c>
      <c r="F11" s="204">
        <f xml:space="preserve">
IF($A$4&lt;=12,SUMIFS('ON Data'!K:K,'ON Data'!$D:$D,$A$4,'ON Data'!$E:$E,2),SUMIFS('ON Data'!K:K,'ON Data'!$E:$E,2))</f>
        <v>39366.400000000001</v>
      </c>
      <c r="G11" s="204">
        <f xml:space="preserve">
IF($A$4&lt;=12,SUMIFS('ON Data'!L:L,'ON Data'!$D:$D,$A$4,'ON Data'!$E:$E,2),SUMIFS('ON Data'!L:L,'ON Data'!$E:$E,2))</f>
        <v>0</v>
      </c>
      <c r="H11" s="204">
        <f xml:space="preserve">
IF($A$4&lt;=12,SUMIFS('ON Data'!M:M,'ON Data'!$D:$D,$A$4,'ON Data'!$E:$E,2),SUMIFS('ON Data'!M:M,'ON Data'!$E:$E,2))</f>
        <v>0</v>
      </c>
      <c r="I11" s="204">
        <f xml:space="preserve">
IF($A$4&lt;=12,SUMIFS('ON Data'!N:N,'ON Data'!$D:$D,$A$4,'ON Data'!$E:$E,2),SUMIFS('ON Data'!N:N,'ON Data'!$E:$E,2))</f>
        <v>0</v>
      </c>
      <c r="J11" s="204">
        <f xml:space="preserve">
IF($A$4&lt;=12,SUMIFS('ON Data'!O:O,'ON Data'!$D:$D,$A$4,'ON Data'!$E:$E,2),SUMIFS('ON Data'!O:O,'ON Data'!$E:$E,2))</f>
        <v>0</v>
      </c>
      <c r="K11" s="204">
        <f xml:space="preserve">
IF($A$4&lt;=12,SUMIFS('ON Data'!P:P,'ON Data'!$D:$D,$A$4,'ON Data'!$E:$E,2),SUMIFS('ON Data'!P:P,'ON Data'!$E:$E,2))</f>
        <v>0</v>
      </c>
      <c r="L11" s="204">
        <f xml:space="preserve">
IF($A$4&lt;=12,SUMIFS('ON Data'!Q:Q,'ON Data'!$D:$D,$A$4,'ON Data'!$E:$E,2),SUMIFS('ON Data'!Q:Q,'ON Data'!$E:$E,2))</f>
        <v>0</v>
      </c>
      <c r="M11" s="204">
        <f xml:space="preserve">
IF($A$4&lt;=12,SUMIFS('ON Data'!R:R,'ON Data'!$D:$D,$A$4,'ON Data'!$E:$E,2),SUMIFS('ON Data'!R:R,'ON Data'!$E:$E,2))</f>
        <v>0</v>
      </c>
      <c r="N11" s="204">
        <f xml:space="preserve">
IF($A$4&lt;=12,SUMIFS('ON Data'!S:S,'ON Data'!$D:$D,$A$4,'ON Data'!$E:$E,2),SUMIFS('ON Data'!S:S,'ON Data'!$E:$E,2))</f>
        <v>0</v>
      </c>
      <c r="O11" s="204">
        <f xml:space="preserve">
IF($A$4&lt;=12,SUMIFS('ON Data'!T:T,'ON Data'!$D:$D,$A$4,'ON Data'!$E:$E,2),SUMIFS('ON Data'!T:T,'ON Data'!$E:$E,2))</f>
        <v>0</v>
      </c>
      <c r="P11" s="204">
        <f xml:space="preserve">
IF($A$4&lt;=12,SUMIFS('ON Data'!U:U,'ON Data'!$D:$D,$A$4,'ON Data'!$E:$E,2),SUMIFS('ON Data'!U:U,'ON Data'!$E:$E,2))</f>
        <v>0</v>
      </c>
      <c r="Q11" s="204">
        <f xml:space="preserve">
IF($A$4&lt;=12,SUMIFS('ON Data'!V:V,'ON Data'!$D:$D,$A$4,'ON Data'!$E:$E,2),SUMIFS('ON Data'!V:V,'ON Data'!$E:$E,2))</f>
        <v>0</v>
      </c>
      <c r="R11" s="204">
        <f xml:space="preserve">
IF($A$4&lt;=12,SUMIFS('ON Data'!W:W,'ON Data'!$D:$D,$A$4,'ON Data'!$E:$E,2),SUMIFS('ON Data'!W:W,'ON Data'!$E:$E,2))</f>
        <v>0</v>
      </c>
      <c r="S11" s="204">
        <f xml:space="preserve">
IF($A$4&lt;=12,SUMIFS('ON Data'!X:X,'ON Data'!$D:$D,$A$4,'ON Data'!$E:$E,2),SUMIFS('ON Data'!X:X,'ON Data'!$E:$E,2))</f>
        <v>0</v>
      </c>
      <c r="T11" s="204">
        <f xml:space="preserve">
IF($A$4&lt;=12,SUMIFS('ON Data'!Y:Y,'ON Data'!$D:$D,$A$4,'ON Data'!$E:$E,2),SUMIFS('ON Data'!Y:Y,'ON Data'!$E:$E,2))</f>
        <v>0</v>
      </c>
      <c r="U11" s="204">
        <f xml:space="preserve">
IF($A$4&lt;=12,SUMIFS('ON Data'!Z:Z,'ON Data'!$D:$D,$A$4,'ON Data'!$E:$E,2),SUMIFS('ON Data'!Z:Z,'ON Data'!$E:$E,2))</f>
        <v>0</v>
      </c>
      <c r="V11" s="204">
        <f xml:space="preserve">
IF($A$4&lt;=12,SUMIFS('ON Data'!AA:AA,'ON Data'!$D:$D,$A$4,'ON Data'!$E:$E,2),SUMIFS('ON Data'!AA:AA,'ON Data'!$E:$E,2))</f>
        <v>0</v>
      </c>
      <c r="W11" s="204">
        <f xml:space="preserve">
IF($A$4&lt;=12,SUMIFS('ON Data'!AB:AB,'ON Data'!$D:$D,$A$4,'ON Data'!$E:$E,2),SUMIFS('ON Data'!AB:AB,'ON Data'!$E:$E,2))</f>
        <v>0</v>
      </c>
      <c r="X11" s="204">
        <f xml:space="preserve">
IF($A$4&lt;=12,SUMIFS('ON Data'!AC:AC,'ON Data'!$D:$D,$A$4,'ON Data'!$E:$E,2),SUMIFS('ON Data'!AC:AC,'ON Data'!$E:$E,2))</f>
        <v>0</v>
      </c>
      <c r="Y11" s="204">
        <f xml:space="preserve">
IF($A$4&lt;=12,SUMIFS('ON Data'!AD:AD,'ON Data'!$D:$D,$A$4,'ON Data'!$E:$E,2),SUMIFS('ON Data'!AD:AD,'ON Data'!$E:$E,2))</f>
        <v>0</v>
      </c>
      <c r="Z11" s="204">
        <f xml:space="preserve">
IF($A$4&lt;=12,SUMIFS('ON Data'!AE:AE,'ON Data'!$D:$D,$A$4,'ON Data'!$E:$E,2),SUMIFS('ON Data'!AE:AE,'ON Data'!$E:$E,2))</f>
        <v>0</v>
      </c>
      <c r="AA11" s="204">
        <f xml:space="preserve">
IF($A$4&lt;=12,SUMIFS('ON Data'!AF:AF,'ON Data'!$D:$D,$A$4,'ON Data'!$E:$E,2),SUMIFS('ON Data'!AF:AF,'ON Data'!$E:$E,2))</f>
        <v>0</v>
      </c>
      <c r="AB11" s="204">
        <f xml:space="preserve">
IF($A$4&lt;=12,SUMIFS('ON Data'!AG:AG,'ON Data'!$D:$D,$A$4,'ON Data'!$E:$E,2),SUMIFS('ON Data'!AG:AG,'ON Data'!$E:$E,2))</f>
        <v>0</v>
      </c>
      <c r="AC11" s="204">
        <f xml:space="preserve">
IF($A$4&lt;=12,SUMIFS('ON Data'!AH:AH,'ON Data'!$D:$D,$A$4,'ON Data'!$E:$E,2),SUMIFS('ON Data'!AH:AH,'ON Data'!$E:$E,2))</f>
        <v>13132.5</v>
      </c>
      <c r="AD11" s="204">
        <f xml:space="preserve">
IF($A$4&lt;=12,SUMIFS('ON Data'!AI:AI,'ON Data'!$D:$D,$A$4,'ON Data'!$E:$E,2),SUMIFS('ON Data'!AI:AI,'ON Data'!$E:$E,2))</f>
        <v>0</v>
      </c>
      <c r="AE11" s="204">
        <f xml:space="preserve">
IF($A$4&lt;=12,SUMIFS('ON Data'!AJ:AJ,'ON Data'!$D:$D,$A$4,'ON Data'!$E:$E,2),SUMIFS('ON Data'!AJ:AJ,'ON Data'!$E:$E,2))</f>
        <v>0</v>
      </c>
      <c r="AF11" s="204">
        <f xml:space="preserve">
IF($A$4&lt;=12,SUMIFS('ON Data'!AK:AK,'ON Data'!$D:$D,$A$4,'ON Data'!$E:$E,2),SUMIFS('ON Data'!AK:AK,'ON Data'!$E:$E,2))</f>
        <v>0</v>
      </c>
      <c r="AG11" s="400">
        <f xml:space="preserve">
IF($A$4&lt;=12,SUMIFS('ON Data'!AM:AM,'ON Data'!$D:$D,$A$4,'ON Data'!$E:$E,2),SUMIFS('ON Data'!AM:AM,'ON Data'!$E:$E,2))</f>
        <v>0</v>
      </c>
      <c r="AH11" s="409"/>
    </row>
    <row r="12" spans="1:34" x14ac:dyDescent="0.3">
      <c r="A12" s="185" t="s">
        <v>141</v>
      </c>
      <c r="B12" s="202">
        <f xml:space="preserve">
IF($A$4&lt;=12,SUMIFS('ON Data'!F:F,'ON Data'!$D:$D,$A$4,'ON Data'!$E:$E,3),SUMIFS('ON Data'!F:F,'ON Data'!$E:$E,3))</f>
        <v>0</v>
      </c>
      <c r="C12" s="203">
        <f xml:space="preserve">
IF($A$4&lt;=12,SUMIFS('ON Data'!G:G,'ON Data'!$D:$D,$A$4,'ON Data'!$E:$E,3),SUMIFS('ON Data'!G:G,'ON Data'!$E:$E,3))</f>
        <v>0</v>
      </c>
      <c r="D12" s="204">
        <f xml:space="preserve">
IF($A$4&lt;=12,SUMIFS('ON Data'!H:H,'ON Data'!$D:$D,$A$4,'ON Data'!$E:$E,3),SUMIFS('ON Data'!H:H,'ON Data'!$E:$E,3))</f>
        <v>0</v>
      </c>
      <c r="E12" s="204">
        <f xml:space="preserve">
IF($A$4&lt;=12,SUMIFS('ON Data'!I:I,'ON Data'!$D:$D,$A$4,'ON Data'!$E:$E,3),SUMIFS('ON Data'!I:I,'ON Data'!$E:$E,3))</f>
        <v>0</v>
      </c>
      <c r="F12" s="204">
        <f xml:space="preserve">
IF($A$4&lt;=12,SUMIFS('ON Data'!K:K,'ON Data'!$D:$D,$A$4,'ON Data'!$E:$E,3),SUMIFS('ON Data'!K:K,'ON Data'!$E:$E,3))</f>
        <v>0</v>
      </c>
      <c r="G12" s="204">
        <f xml:space="preserve">
IF($A$4&lt;=12,SUMIFS('ON Data'!L:L,'ON Data'!$D:$D,$A$4,'ON Data'!$E:$E,3),SUMIFS('ON Data'!L:L,'ON Data'!$E:$E,3))</f>
        <v>0</v>
      </c>
      <c r="H12" s="204">
        <f xml:space="preserve">
IF($A$4&lt;=12,SUMIFS('ON Data'!M:M,'ON Data'!$D:$D,$A$4,'ON Data'!$E:$E,3),SUMIFS('ON Data'!M:M,'ON Data'!$E:$E,3))</f>
        <v>0</v>
      </c>
      <c r="I12" s="204">
        <f xml:space="preserve">
IF($A$4&lt;=12,SUMIFS('ON Data'!N:N,'ON Data'!$D:$D,$A$4,'ON Data'!$E:$E,3),SUMIFS('ON Data'!N:N,'ON Data'!$E:$E,3))</f>
        <v>0</v>
      </c>
      <c r="J12" s="204">
        <f xml:space="preserve">
IF($A$4&lt;=12,SUMIFS('ON Data'!O:O,'ON Data'!$D:$D,$A$4,'ON Data'!$E:$E,3),SUMIFS('ON Data'!O:O,'ON Data'!$E:$E,3))</f>
        <v>0</v>
      </c>
      <c r="K12" s="204">
        <f xml:space="preserve">
IF($A$4&lt;=12,SUMIFS('ON Data'!P:P,'ON Data'!$D:$D,$A$4,'ON Data'!$E:$E,3),SUMIFS('ON Data'!P:P,'ON Data'!$E:$E,3))</f>
        <v>0</v>
      </c>
      <c r="L12" s="204">
        <f xml:space="preserve">
IF($A$4&lt;=12,SUMIFS('ON Data'!Q:Q,'ON Data'!$D:$D,$A$4,'ON Data'!$E:$E,3),SUMIFS('ON Data'!Q:Q,'ON Data'!$E:$E,3))</f>
        <v>0</v>
      </c>
      <c r="M12" s="204">
        <f xml:space="preserve">
IF($A$4&lt;=12,SUMIFS('ON Data'!R:R,'ON Data'!$D:$D,$A$4,'ON Data'!$E:$E,3),SUMIFS('ON Data'!R:R,'ON Data'!$E:$E,3))</f>
        <v>0</v>
      </c>
      <c r="N12" s="204">
        <f xml:space="preserve">
IF($A$4&lt;=12,SUMIFS('ON Data'!S:S,'ON Data'!$D:$D,$A$4,'ON Data'!$E:$E,3),SUMIFS('ON Data'!S:S,'ON Data'!$E:$E,3))</f>
        <v>0</v>
      </c>
      <c r="O12" s="204">
        <f xml:space="preserve">
IF($A$4&lt;=12,SUMIFS('ON Data'!T:T,'ON Data'!$D:$D,$A$4,'ON Data'!$E:$E,3),SUMIFS('ON Data'!T:T,'ON Data'!$E:$E,3))</f>
        <v>0</v>
      </c>
      <c r="P12" s="204">
        <f xml:space="preserve">
IF($A$4&lt;=12,SUMIFS('ON Data'!U:U,'ON Data'!$D:$D,$A$4,'ON Data'!$E:$E,3),SUMIFS('ON Data'!U:U,'ON Data'!$E:$E,3))</f>
        <v>0</v>
      </c>
      <c r="Q12" s="204">
        <f xml:space="preserve">
IF($A$4&lt;=12,SUMIFS('ON Data'!V:V,'ON Data'!$D:$D,$A$4,'ON Data'!$E:$E,3),SUMIFS('ON Data'!V:V,'ON Data'!$E:$E,3))</f>
        <v>0</v>
      </c>
      <c r="R12" s="204">
        <f xml:space="preserve">
IF($A$4&lt;=12,SUMIFS('ON Data'!W:W,'ON Data'!$D:$D,$A$4,'ON Data'!$E:$E,3),SUMIFS('ON Data'!W:W,'ON Data'!$E:$E,3))</f>
        <v>0</v>
      </c>
      <c r="S12" s="204">
        <f xml:space="preserve">
IF($A$4&lt;=12,SUMIFS('ON Data'!X:X,'ON Data'!$D:$D,$A$4,'ON Data'!$E:$E,3),SUMIFS('ON Data'!X:X,'ON Data'!$E:$E,3))</f>
        <v>0</v>
      </c>
      <c r="T12" s="204">
        <f xml:space="preserve">
IF($A$4&lt;=12,SUMIFS('ON Data'!Y:Y,'ON Data'!$D:$D,$A$4,'ON Data'!$E:$E,3),SUMIFS('ON Data'!Y:Y,'ON Data'!$E:$E,3))</f>
        <v>0</v>
      </c>
      <c r="U12" s="204">
        <f xml:space="preserve">
IF($A$4&lt;=12,SUMIFS('ON Data'!Z:Z,'ON Data'!$D:$D,$A$4,'ON Data'!$E:$E,3),SUMIFS('ON Data'!Z:Z,'ON Data'!$E:$E,3))</f>
        <v>0</v>
      </c>
      <c r="V12" s="204">
        <f xml:space="preserve">
IF($A$4&lt;=12,SUMIFS('ON Data'!AA:AA,'ON Data'!$D:$D,$A$4,'ON Data'!$E:$E,3),SUMIFS('ON Data'!AA:AA,'ON Data'!$E:$E,3))</f>
        <v>0</v>
      </c>
      <c r="W12" s="204">
        <f xml:space="preserve">
IF($A$4&lt;=12,SUMIFS('ON Data'!AB:AB,'ON Data'!$D:$D,$A$4,'ON Data'!$E:$E,3),SUMIFS('ON Data'!AB:AB,'ON Data'!$E:$E,3))</f>
        <v>0</v>
      </c>
      <c r="X12" s="204">
        <f xml:space="preserve">
IF($A$4&lt;=12,SUMIFS('ON Data'!AC:AC,'ON Data'!$D:$D,$A$4,'ON Data'!$E:$E,3),SUMIFS('ON Data'!AC:AC,'ON Data'!$E:$E,3))</f>
        <v>0</v>
      </c>
      <c r="Y12" s="204">
        <f xml:space="preserve">
IF($A$4&lt;=12,SUMIFS('ON Data'!AD:AD,'ON Data'!$D:$D,$A$4,'ON Data'!$E:$E,3),SUMIFS('ON Data'!AD:AD,'ON Data'!$E:$E,3))</f>
        <v>0</v>
      </c>
      <c r="Z12" s="204">
        <f xml:space="preserve">
IF($A$4&lt;=12,SUMIFS('ON Data'!AE:AE,'ON Data'!$D:$D,$A$4,'ON Data'!$E:$E,3),SUMIFS('ON Data'!AE:AE,'ON Data'!$E:$E,3))</f>
        <v>0</v>
      </c>
      <c r="AA12" s="204">
        <f xml:space="preserve">
IF($A$4&lt;=12,SUMIFS('ON Data'!AF:AF,'ON Data'!$D:$D,$A$4,'ON Data'!$E:$E,3),SUMIFS('ON Data'!AF:AF,'ON Data'!$E:$E,3))</f>
        <v>0</v>
      </c>
      <c r="AB12" s="204">
        <f xml:space="preserve">
IF($A$4&lt;=12,SUMIFS('ON Data'!AG:AG,'ON Data'!$D:$D,$A$4,'ON Data'!$E:$E,3),SUMIFS('ON Data'!AG:AG,'ON Data'!$E:$E,3))</f>
        <v>0</v>
      </c>
      <c r="AC12" s="204">
        <f xml:space="preserve">
IF($A$4&lt;=12,SUMIFS('ON Data'!AH:AH,'ON Data'!$D:$D,$A$4,'ON Data'!$E:$E,3),SUMIFS('ON Data'!AH:AH,'ON Data'!$E:$E,3))</f>
        <v>0</v>
      </c>
      <c r="AD12" s="204">
        <f xml:space="preserve">
IF($A$4&lt;=12,SUMIFS('ON Data'!AI:AI,'ON Data'!$D:$D,$A$4,'ON Data'!$E:$E,3),SUMIFS('ON Data'!AI:AI,'ON Data'!$E:$E,3))</f>
        <v>0</v>
      </c>
      <c r="AE12" s="204">
        <f xml:space="preserve">
IF($A$4&lt;=12,SUMIFS('ON Data'!AJ:AJ,'ON Data'!$D:$D,$A$4,'ON Data'!$E:$E,3),SUMIFS('ON Data'!AJ:AJ,'ON Data'!$E:$E,3))</f>
        <v>0</v>
      </c>
      <c r="AF12" s="204">
        <f xml:space="preserve">
IF($A$4&lt;=12,SUMIFS('ON Data'!AK:AK,'ON Data'!$D:$D,$A$4,'ON Data'!$E:$E,3),SUMIFS('ON Data'!AK:AK,'ON Data'!$E:$E,3))</f>
        <v>0</v>
      </c>
      <c r="AG12" s="400">
        <f xml:space="preserve">
IF($A$4&lt;=12,SUMIFS('ON Data'!AM:AM,'ON Data'!$D:$D,$A$4,'ON Data'!$E:$E,3),SUMIFS('ON Data'!AM:AM,'ON Data'!$E:$E,3))</f>
        <v>0</v>
      </c>
      <c r="AH12" s="409"/>
    </row>
    <row r="13" spans="1:34" x14ac:dyDescent="0.3">
      <c r="A13" s="185" t="s">
        <v>148</v>
      </c>
      <c r="B13" s="202">
        <f xml:space="preserve">
IF($A$4&lt;=12,SUMIFS('ON Data'!F:F,'ON Data'!$D:$D,$A$4,'ON Data'!$E:$E,4),SUMIFS('ON Data'!F:F,'ON Data'!$E:$E,4))</f>
        <v>2530</v>
      </c>
      <c r="C13" s="203">
        <f xml:space="preserve">
IF($A$4&lt;=12,SUMIFS('ON Data'!G:G,'ON Data'!$D:$D,$A$4,'ON Data'!$E:$E,4),SUMIFS('ON Data'!G:G,'ON Data'!$E:$E,4))</f>
        <v>0</v>
      </c>
      <c r="D13" s="204">
        <f xml:space="preserve">
IF($A$4&lt;=12,SUMIFS('ON Data'!H:H,'ON Data'!$D:$D,$A$4,'ON Data'!$E:$E,4),SUMIFS('ON Data'!H:H,'ON Data'!$E:$E,4))</f>
        <v>0</v>
      </c>
      <c r="E13" s="204">
        <f xml:space="preserve">
IF($A$4&lt;=12,SUMIFS('ON Data'!I:I,'ON Data'!$D:$D,$A$4,'ON Data'!$E:$E,4),SUMIFS('ON Data'!I:I,'ON Data'!$E:$E,4))</f>
        <v>0</v>
      </c>
      <c r="F13" s="204">
        <f xml:space="preserve">
IF($A$4&lt;=12,SUMIFS('ON Data'!K:K,'ON Data'!$D:$D,$A$4,'ON Data'!$E:$E,4),SUMIFS('ON Data'!K:K,'ON Data'!$E:$E,4))</f>
        <v>1403</v>
      </c>
      <c r="G13" s="204">
        <f xml:space="preserve">
IF($A$4&lt;=12,SUMIFS('ON Data'!L:L,'ON Data'!$D:$D,$A$4,'ON Data'!$E:$E,4),SUMIFS('ON Data'!L:L,'ON Data'!$E:$E,4))</f>
        <v>0</v>
      </c>
      <c r="H13" s="204">
        <f xml:space="preserve">
IF($A$4&lt;=12,SUMIFS('ON Data'!M:M,'ON Data'!$D:$D,$A$4,'ON Data'!$E:$E,4),SUMIFS('ON Data'!M:M,'ON Data'!$E:$E,4))</f>
        <v>0</v>
      </c>
      <c r="I13" s="204">
        <f xml:space="preserve">
IF($A$4&lt;=12,SUMIFS('ON Data'!N:N,'ON Data'!$D:$D,$A$4,'ON Data'!$E:$E,4),SUMIFS('ON Data'!N:N,'ON Data'!$E:$E,4))</f>
        <v>0</v>
      </c>
      <c r="J13" s="204">
        <f xml:space="preserve">
IF($A$4&lt;=12,SUMIFS('ON Data'!O:O,'ON Data'!$D:$D,$A$4,'ON Data'!$E:$E,4),SUMIFS('ON Data'!O:O,'ON Data'!$E:$E,4))</f>
        <v>0</v>
      </c>
      <c r="K13" s="204">
        <f xml:space="preserve">
IF($A$4&lt;=12,SUMIFS('ON Data'!P:P,'ON Data'!$D:$D,$A$4,'ON Data'!$E:$E,4),SUMIFS('ON Data'!P:P,'ON Data'!$E:$E,4))</f>
        <v>0</v>
      </c>
      <c r="L13" s="204">
        <f xml:space="preserve">
IF($A$4&lt;=12,SUMIFS('ON Data'!Q:Q,'ON Data'!$D:$D,$A$4,'ON Data'!$E:$E,4),SUMIFS('ON Data'!Q:Q,'ON Data'!$E:$E,4))</f>
        <v>0</v>
      </c>
      <c r="M13" s="204">
        <f xml:space="preserve">
IF($A$4&lt;=12,SUMIFS('ON Data'!R:R,'ON Data'!$D:$D,$A$4,'ON Data'!$E:$E,4),SUMIFS('ON Data'!R:R,'ON Data'!$E:$E,4))</f>
        <v>0</v>
      </c>
      <c r="N13" s="204">
        <f xml:space="preserve">
IF($A$4&lt;=12,SUMIFS('ON Data'!S:S,'ON Data'!$D:$D,$A$4,'ON Data'!$E:$E,4),SUMIFS('ON Data'!S:S,'ON Data'!$E:$E,4))</f>
        <v>0</v>
      </c>
      <c r="O13" s="204">
        <f xml:space="preserve">
IF($A$4&lt;=12,SUMIFS('ON Data'!T:T,'ON Data'!$D:$D,$A$4,'ON Data'!$E:$E,4),SUMIFS('ON Data'!T:T,'ON Data'!$E:$E,4))</f>
        <v>0</v>
      </c>
      <c r="P13" s="204">
        <f xml:space="preserve">
IF($A$4&lt;=12,SUMIFS('ON Data'!U:U,'ON Data'!$D:$D,$A$4,'ON Data'!$E:$E,4),SUMIFS('ON Data'!U:U,'ON Data'!$E:$E,4))</f>
        <v>0</v>
      </c>
      <c r="Q13" s="204">
        <f xml:space="preserve">
IF($A$4&lt;=12,SUMIFS('ON Data'!V:V,'ON Data'!$D:$D,$A$4,'ON Data'!$E:$E,4),SUMIFS('ON Data'!V:V,'ON Data'!$E:$E,4))</f>
        <v>0</v>
      </c>
      <c r="R13" s="204">
        <f xml:space="preserve">
IF($A$4&lt;=12,SUMIFS('ON Data'!W:W,'ON Data'!$D:$D,$A$4,'ON Data'!$E:$E,4),SUMIFS('ON Data'!W:W,'ON Data'!$E:$E,4))</f>
        <v>0</v>
      </c>
      <c r="S13" s="204">
        <f xml:space="preserve">
IF($A$4&lt;=12,SUMIFS('ON Data'!X:X,'ON Data'!$D:$D,$A$4,'ON Data'!$E:$E,4),SUMIFS('ON Data'!X:X,'ON Data'!$E:$E,4))</f>
        <v>0</v>
      </c>
      <c r="T13" s="204">
        <f xml:space="preserve">
IF($A$4&lt;=12,SUMIFS('ON Data'!Y:Y,'ON Data'!$D:$D,$A$4,'ON Data'!$E:$E,4),SUMIFS('ON Data'!Y:Y,'ON Data'!$E:$E,4))</f>
        <v>0</v>
      </c>
      <c r="U13" s="204">
        <f xml:space="preserve">
IF($A$4&lt;=12,SUMIFS('ON Data'!Z:Z,'ON Data'!$D:$D,$A$4,'ON Data'!$E:$E,4),SUMIFS('ON Data'!Z:Z,'ON Data'!$E:$E,4))</f>
        <v>0</v>
      </c>
      <c r="V13" s="204">
        <f xml:space="preserve">
IF($A$4&lt;=12,SUMIFS('ON Data'!AA:AA,'ON Data'!$D:$D,$A$4,'ON Data'!$E:$E,4),SUMIFS('ON Data'!AA:AA,'ON Data'!$E:$E,4))</f>
        <v>0</v>
      </c>
      <c r="W13" s="204">
        <f xml:space="preserve">
IF($A$4&lt;=12,SUMIFS('ON Data'!AB:AB,'ON Data'!$D:$D,$A$4,'ON Data'!$E:$E,4),SUMIFS('ON Data'!AB:AB,'ON Data'!$E:$E,4))</f>
        <v>0</v>
      </c>
      <c r="X13" s="204">
        <f xml:space="preserve">
IF($A$4&lt;=12,SUMIFS('ON Data'!AC:AC,'ON Data'!$D:$D,$A$4,'ON Data'!$E:$E,4),SUMIFS('ON Data'!AC:AC,'ON Data'!$E:$E,4))</f>
        <v>0</v>
      </c>
      <c r="Y13" s="204">
        <f xml:space="preserve">
IF($A$4&lt;=12,SUMIFS('ON Data'!AD:AD,'ON Data'!$D:$D,$A$4,'ON Data'!$E:$E,4),SUMIFS('ON Data'!AD:AD,'ON Data'!$E:$E,4))</f>
        <v>0</v>
      </c>
      <c r="Z13" s="204">
        <f xml:space="preserve">
IF($A$4&lt;=12,SUMIFS('ON Data'!AE:AE,'ON Data'!$D:$D,$A$4,'ON Data'!$E:$E,4),SUMIFS('ON Data'!AE:AE,'ON Data'!$E:$E,4))</f>
        <v>0</v>
      </c>
      <c r="AA13" s="204">
        <f xml:space="preserve">
IF($A$4&lt;=12,SUMIFS('ON Data'!AF:AF,'ON Data'!$D:$D,$A$4,'ON Data'!$E:$E,4),SUMIFS('ON Data'!AF:AF,'ON Data'!$E:$E,4))</f>
        <v>0</v>
      </c>
      <c r="AB13" s="204">
        <f xml:space="preserve">
IF($A$4&lt;=12,SUMIFS('ON Data'!AG:AG,'ON Data'!$D:$D,$A$4,'ON Data'!$E:$E,4),SUMIFS('ON Data'!AG:AG,'ON Data'!$E:$E,4))</f>
        <v>0</v>
      </c>
      <c r="AC13" s="204">
        <f xml:space="preserve">
IF($A$4&lt;=12,SUMIFS('ON Data'!AH:AH,'ON Data'!$D:$D,$A$4,'ON Data'!$E:$E,4),SUMIFS('ON Data'!AH:AH,'ON Data'!$E:$E,4))</f>
        <v>1127</v>
      </c>
      <c r="AD13" s="204">
        <f xml:space="preserve">
IF($A$4&lt;=12,SUMIFS('ON Data'!AI:AI,'ON Data'!$D:$D,$A$4,'ON Data'!$E:$E,4),SUMIFS('ON Data'!AI:AI,'ON Data'!$E:$E,4))</f>
        <v>0</v>
      </c>
      <c r="AE13" s="204">
        <f xml:space="preserve">
IF($A$4&lt;=12,SUMIFS('ON Data'!AJ:AJ,'ON Data'!$D:$D,$A$4,'ON Data'!$E:$E,4),SUMIFS('ON Data'!AJ:AJ,'ON Data'!$E:$E,4))</f>
        <v>0</v>
      </c>
      <c r="AF13" s="204">
        <f xml:space="preserve">
IF($A$4&lt;=12,SUMIFS('ON Data'!AK:AK,'ON Data'!$D:$D,$A$4,'ON Data'!$E:$E,4),SUMIFS('ON Data'!AK:AK,'ON Data'!$E:$E,4))</f>
        <v>0</v>
      </c>
      <c r="AG13" s="400">
        <f xml:space="preserve">
IF($A$4&lt;=12,SUMIFS('ON Data'!AM:AM,'ON Data'!$D:$D,$A$4,'ON Data'!$E:$E,4),SUMIFS('ON Data'!AM:AM,'ON Data'!$E:$E,4))</f>
        <v>0</v>
      </c>
      <c r="AH13" s="409"/>
    </row>
    <row r="14" spans="1:34" ht="15" thickBot="1" x14ac:dyDescent="0.35">
      <c r="A14" s="186" t="s">
        <v>142</v>
      </c>
      <c r="B14" s="205">
        <f xml:space="preserve">
IF($A$4&lt;=12,SUMIFS('ON Data'!F:F,'ON Data'!$D:$D,$A$4,'ON Data'!$E:$E,5),SUMIFS('ON Data'!F:F,'ON Data'!$E:$E,5))</f>
        <v>0</v>
      </c>
      <c r="C14" s="206">
        <f xml:space="preserve">
IF($A$4&lt;=12,SUMIFS('ON Data'!G:G,'ON Data'!$D:$D,$A$4,'ON Data'!$E:$E,5),SUMIFS('ON Data'!G:G,'ON Data'!$E:$E,5))</f>
        <v>0</v>
      </c>
      <c r="D14" s="207">
        <f xml:space="preserve">
IF($A$4&lt;=12,SUMIFS('ON Data'!H:H,'ON Data'!$D:$D,$A$4,'ON Data'!$E:$E,5),SUMIFS('ON Data'!H:H,'ON Data'!$E:$E,5))</f>
        <v>0</v>
      </c>
      <c r="E14" s="207">
        <f xml:space="preserve">
IF($A$4&lt;=12,SUMIFS('ON Data'!I:I,'ON Data'!$D:$D,$A$4,'ON Data'!$E:$E,5),SUMIFS('ON Data'!I:I,'ON Data'!$E:$E,5))</f>
        <v>0</v>
      </c>
      <c r="F14" s="207">
        <f xml:space="preserve">
IF($A$4&lt;=12,SUMIFS('ON Data'!K:K,'ON Data'!$D:$D,$A$4,'ON Data'!$E:$E,5),SUMIFS('ON Data'!K:K,'ON Data'!$E:$E,5))</f>
        <v>0</v>
      </c>
      <c r="G14" s="207">
        <f xml:space="preserve">
IF($A$4&lt;=12,SUMIFS('ON Data'!L:L,'ON Data'!$D:$D,$A$4,'ON Data'!$E:$E,5),SUMIFS('ON Data'!L:L,'ON Data'!$E:$E,5))</f>
        <v>0</v>
      </c>
      <c r="H14" s="207">
        <f xml:space="preserve">
IF($A$4&lt;=12,SUMIFS('ON Data'!M:M,'ON Data'!$D:$D,$A$4,'ON Data'!$E:$E,5),SUMIFS('ON Data'!M:M,'ON Data'!$E:$E,5))</f>
        <v>0</v>
      </c>
      <c r="I14" s="207">
        <f xml:space="preserve">
IF($A$4&lt;=12,SUMIFS('ON Data'!N:N,'ON Data'!$D:$D,$A$4,'ON Data'!$E:$E,5),SUMIFS('ON Data'!N:N,'ON Data'!$E:$E,5))</f>
        <v>0</v>
      </c>
      <c r="J14" s="207">
        <f xml:space="preserve">
IF($A$4&lt;=12,SUMIFS('ON Data'!O:O,'ON Data'!$D:$D,$A$4,'ON Data'!$E:$E,5),SUMIFS('ON Data'!O:O,'ON Data'!$E:$E,5))</f>
        <v>0</v>
      </c>
      <c r="K14" s="207">
        <f xml:space="preserve">
IF($A$4&lt;=12,SUMIFS('ON Data'!P:P,'ON Data'!$D:$D,$A$4,'ON Data'!$E:$E,5),SUMIFS('ON Data'!P:P,'ON Data'!$E:$E,5))</f>
        <v>0</v>
      </c>
      <c r="L14" s="207">
        <f xml:space="preserve">
IF($A$4&lt;=12,SUMIFS('ON Data'!Q:Q,'ON Data'!$D:$D,$A$4,'ON Data'!$E:$E,5),SUMIFS('ON Data'!Q:Q,'ON Data'!$E:$E,5))</f>
        <v>0</v>
      </c>
      <c r="M14" s="207">
        <f xml:space="preserve">
IF($A$4&lt;=12,SUMIFS('ON Data'!R:R,'ON Data'!$D:$D,$A$4,'ON Data'!$E:$E,5),SUMIFS('ON Data'!R:R,'ON Data'!$E:$E,5))</f>
        <v>0</v>
      </c>
      <c r="N14" s="207">
        <f xml:space="preserve">
IF($A$4&lt;=12,SUMIFS('ON Data'!S:S,'ON Data'!$D:$D,$A$4,'ON Data'!$E:$E,5),SUMIFS('ON Data'!S:S,'ON Data'!$E:$E,5))</f>
        <v>0</v>
      </c>
      <c r="O14" s="207">
        <f xml:space="preserve">
IF($A$4&lt;=12,SUMIFS('ON Data'!T:T,'ON Data'!$D:$D,$A$4,'ON Data'!$E:$E,5),SUMIFS('ON Data'!T:T,'ON Data'!$E:$E,5))</f>
        <v>0</v>
      </c>
      <c r="P14" s="207">
        <f xml:space="preserve">
IF($A$4&lt;=12,SUMIFS('ON Data'!U:U,'ON Data'!$D:$D,$A$4,'ON Data'!$E:$E,5),SUMIFS('ON Data'!U:U,'ON Data'!$E:$E,5))</f>
        <v>0</v>
      </c>
      <c r="Q14" s="207">
        <f xml:space="preserve">
IF($A$4&lt;=12,SUMIFS('ON Data'!V:V,'ON Data'!$D:$D,$A$4,'ON Data'!$E:$E,5),SUMIFS('ON Data'!V:V,'ON Data'!$E:$E,5))</f>
        <v>0</v>
      </c>
      <c r="R14" s="207">
        <f xml:space="preserve">
IF($A$4&lt;=12,SUMIFS('ON Data'!W:W,'ON Data'!$D:$D,$A$4,'ON Data'!$E:$E,5),SUMIFS('ON Data'!W:W,'ON Data'!$E:$E,5))</f>
        <v>0</v>
      </c>
      <c r="S14" s="207">
        <f xml:space="preserve">
IF($A$4&lt;=12,SUMIFS('ON Data'!X:X,'ON Data'!$D:$D,$A$4,'ON Data'!$E:$E,5),SUMIFS('ON Data'!X:X,'ON Data'!$E:$E,5))</f>
        <v>0</v>
      </c>
      <c r="T14" s="207">
        <f xml:space="preserve">
IF($A$4&lt;=12,SUMIFS('ON Data'!Y:Y,'ON Data'!$D:$D,$A$4,'ON Data'!$E:$E,5),SUMIFS('ON Data'!Y:Y,'ON Data'!$E:$E,5))</f>
        <v>0</v>
      </c>
      <c r="U14" s="207">
        <f xml:space="preserve">
IF($A$4&lt;=12,SUMIFS('ON Data'!Z:Z,'ON Data'!$D:$D,$A$4,'ON Data'!$E:$E,5),SUMIFS('ON Data'!Z:Z,'ON Data'!$E:$E,5))</f>
        <v>0</v>
      </c>
      <c r="V14" s="207">
        <f xml:space="preserve">
IF($A$4&lt;=12,SUMIFS('ON Data'!AA:AA,'ON Data'!$D:$D,$A$4,'ON Data'!$E:$E,5),SUMIFS('ON Data'!AA:AA,'ON Data'!$E:$E,5))</f>
        <v>0</v>
      </c>
      <c r="W14" s="207">
        <f xml:space="preserve">
IF($A$4&lt;=12,SUMIFS('ON Data'!AB:AB,'ON Data'!$D:$D,$A$4,'ON Data'!$E:$E,5),SUMIFS('ON Data'!AB:AB,'ON Data'!$E:$E,5))</f>
        <v>0</v>
      </c>
      <c r="X14" s="207">
        <f xml:space="preserve">
IF($A$4&lt;=12,SUMIFS('ON Data'!AC:AC,'ON Data'!$D:$D,$A$4,'ON Data'!$E:$E,5),SUMIFS('ON Data'!AC:AC,'ON Data'!$E:$E,5))</f>
        <v>0</v>
      </c>
      <c r="Y14" s="207">
        <f xml:space="preserve">
IF($A$4&lt;=12,SUMIFS('ON Data'!AD:AD,'ON Data'!$D:$D,$A$4,'ON Data'!$E:$E,5),SUMIFS('ON Data'!AD:AD,'ON Data'!$E:$E,5))</f>
        <v>0</v>
      </c>
      <c r="Z14" s="207">
        <f xml:space="preserve">
IF($A$4&lt;=12,SUMIFS('ON Data'!AE:AE,'ON Data'!$D:$D,$A$4,'ON Data'!$E:$E,5),SUMIFS('ON Data'!AE:AE,'ON Data'!$E:$E,5))</f>
        <v>0</v>
      </c>
      <c r="AA14" s="207">
        <f xml:space="preserve">
IF($A$4&lt;=12,SUMIFS('ON Data'!AF:AF,'ON Data'!$D:$D,$A$4,'ON Data'!$E:$E,5),SUMIFS('ON Data'!AF:AF,'ON Data'!$E:$E,5))</f>
        <v>0</v>
      </c>
      <c r="AB14" s="207">
        <f xml:space="preserve">
IF($A$4&lt;=12,SUMIFS('ON Data'!AG:AG,'ON Data'!$D:$D,$A$4,'ON Data'!$E:$E,5),SUMIFS('ON Data'!AG:AG,'ON Data'!$E:$E,5))</f>
        <v>0</v>
      </c>
      <c r="AC14" s="207">
        <f xml:space="preserve">
IF($A$4&lt;=12,SUMIFS('ON Data'!AH:AH,'ON Data'!$D:$D,$A$4,'ON Data'!$E:$E,5),SUMIFS('ON Data'!AH:AH,'ON Data'!$E:$E,5))</f>
        <v>0</v>
      </c>
      <c r="AD14" s="207">
        <f xml:space="preserve">
IF($A$4&lt;=12,SUMIFS('ON Data'!AI:AI,'ON Data'!$D:$D,$A$4,'ON Data'!$E:$E,5),SUMIFS('ON Data'!AI:AI,'ON Data'!$E:$E,5))</f>
        <v>0</v>
      </c>
      <c r="AE14" s="207">
        <f xml:space="preserve">
IF($A$4&lt;=12,SUMIFS('ON Data'!AJ:AJ,'ON Data'!$D:$D,$A$4,'ON Data'!$E:$E,5),SUMIFS('ON Data'!AJ:AJ,'ON Data'!$E:$E,5))</f>
        <v>0</v>
      </c>
      <c r="AF14" s="207">
        <f xml:space="preserve">
IF($A$4&lt;=12,SUMIFS('ON Data'!AK:AK,'ON Data'!$D:$D,$A$4,'ON Data'!$E:$E,5),SUMIFS('ON Data'!AK:AK,'ON Data'!$E:$E,5))</f>
        <v>0</v>
      </c>
      <c r="AG14" s="401">
        <f xml:space="preserve">
IF($A$4&lt;=12,SUMIFS('ON Data'!AM:AM,'ON Data'!$D:$D,$A$4,'ON Data'!$E:$E,5),SUMIFS('ON Data'!AM:AM,'ON Data'!$E:$E,5))</f>
        <v>0</v>
      </c>
      <c r="AH14" s="409"/>
    </row>
    <row r="15" spans="1:34" x14ac:dyDescent="0.3">
      <c r="A15" s="126" t="s">
        <v>152</v>
      </c>
      <c r="B15" s="208"/>
      <c r="C15" s="209"/>
      <c r="D15" s="210"/>
      <c r="E15" s="210"/>
      <c r="F15" s="210"/>
      <c r="G15" s="210"/>
      <c r="H15" s="210"/>
      <c r="I15" s="210"/>
      <c r="J15" s="210"/>
      <c r="K15" s="210"/>
      <c r="L15" s="210"/>
      <c r="M15" s="210"/>
      <c r="N15" s="210"/>
      <c r="O15" s="210"/>
      <c r="P15" s="210"/>
      <c r="Q15" s="210"/>
      <c r="R15" s="210"/>
      <c r="S15" s="210"/>
      <c r="T15" s="210"/>
      <c r="U15" s="210"/>
      <c r="V15" s="210"/>
      <c r="W15" s="210"/>
      <c r="X15" s="210"/>
      <c r="Y15" s="210"/>
      <c r="Z15" s="210"/>
      <c r="AA15" s="210"/>
      <c r="AB15" s="210"/>
      <c r="AC15" s="210"/>
      <c r="AD15" s="210"/>
      <c r="AE15" s="210"/>
      <c r="AF15" s="210"/>
      <c r="AG15" s="402"/>
      <c r="AH15" s="409"/>
    </row>
    <row r="16" spans="1:34" x14ac:dyDescent="0.3">
      <c r="A16" s="187" t="s">
        <v>143</v>
      </c>
      <c r="B16" s="202">
        <f xml:space="preserve">
IF($A$4&lt;=12,SUMIFS('ON Data'!F:F,'ON Data'!$D:$D,$A$4,'ON Data'!$E:$E,7),SUMIFS('ON Data'!F:F,'ON Data'!$E:$E,7))</f>
        <v>0</v>
      </c>
      <c r="C16" s="203">
        <f xml:space="preserve">
IF($A$4&lt;=12,SUMIFS('ON Data'!G:G,'ON Data'!$D:$D,$A$4,'ON Data'!$E:$E,7),SUMIFS('ON Data'!G:G,'ON Data'!$E:$E,7))</f>
        <v>0</v>
      </c>
      <c r="D16" s="204">
        <f xml:space="preserve">
IF($A$4&lt;=12,SUMIFS('ON Data'!H:H,'ON Data'!$D:$D,$A$4,'ON Data'!$E:$E,7),SUMIFS('ON Data'!H:H,'ON Data'!$E:$E,7))</f>
        <v>0</v>
      </c>
      <c r="E16" s="204">
        <f xml:space="preserve">
IF($A$4&lt;=12,SUMIFS('ON Data'!I:I,'ON Data'!$D:$D,$A$4,'ON Data'!$E:$E,7),SUMIFS('ON Data'!I:I,'ON Data'!$E:$E,7))</f>
        <v>0</v>
      </c>
      <c r="F16" s="204">
        <f xml:space="preserve">
IF($A$4&lt;=12,SUMIFS('ON Data'!K:K,'ON Data'!$D:$D,$A$4,'ON Data'!$E:$E,7),SUMIFS('ON Data'!K:K,'ON Data'!$E:$E,7))</f>
        <v>0</v>
      </c>
      <c r="G16" s="204">
        <f xml:space="preserve">
IF($A$4&lt;=12,SUMIFS('ON Data'!L:L,'ON Data'!$D:$D,$A$4,'ON Data'!$E:$E,7),SUMIFS('ON Data'!L:L,'ON Data'!$E:$E,7))</f>
        <v>0</v>
      </c>
      <c r="H16" s="204">
        <f xml:space="preserve">
IF($A$4&lt;=12,SUMIFS('ON Data'!M:M,'ON Data'!$D:$D,$A$4,'ON Data'!$E:$E,7),SUMIFS('ON Data'!M:M,'ON Data'!$E:$E,7))</f>
        <v>0</v>
      </c>
      <c r="I16" s="204">
        <f xml:space="preserve">
IF($A$4&lt;=12,SUMIFS('ON Data'!N:N,'ON Data'!$D:$D,$A$4,'ON Data'!$E:$E,7),SUMIFS('ON Data'!N:N,'ON Data'!$E:$E,7))</f>
        <v>0</v>
      </c>
      <c r="J16" s="204">
        <f xml:space="preserve">
IF($A$4&lt;=12,SUMIFS('ON Data'!O:O,'ON Data'!$D:$D,$A$4,'ON Data'!$E:$E,7),SUMIFS('ON Data'!O:O,'ON Data'!$E:$E,7))</f>
        <v>0</v>
      </c>
      <c r="K16" s="204">
        <f xml:space="preserve">
IF($A$4&lt;=12,SUMIFS('ON Data'!P:P,'ON Data'!$D:$D,$A$4,'ON Data'!$E:$E,7),SUMIFS('ON Data'!P:P,'ON Data'!$E:$E,7))</f>
        <v>0</v>
      </c>
      <c r="L16" s="204">
        <f xml:space="preserve">
IF($A$4&lt;=12,SUMIFS('ON Data'!Q:Q,'ON Data'!$D:$D,$A$4,'ON Data'!$E:$E,7),SUMIFS('ON Data'!Q:Q,'ON Data'!$E:$E,7))</f>
        <v>0</v>
      </c>
      <c r="M16" s="204">
        <f xml:space="preserve">
IF($A$4&lt;=12,SUMIFS('ON Data'!R:R,'ON Data'!$D:$D,$A$4,'ON Data'!$E:$E,7),SUMIFS('ON Data'!R:R,'ON Data'!$E:$E,7))</f>
        <v>0</v>
      </c>
      <c r="N16" s="204">
        <f xml:space="preserve">
IF($A$4&lt;=12,SUMIFS('ON Data'!S:S,'ON Data'!$D:$D,$A$4,'ON Data'!$E:$E,7),SUMIFS('ON Data'!S:S,'ON Data'!$E:$E,7))</f>
        <v>0</v>
      </c>
      <c r="O16" s="204">
        <f xml:space="preserve">
IF($A$4&lt;=12,SUMIFS('ON Data'!T:T,'ON Data'!$D:$D,$A$4,'ON Data'!$E:$E,7),SUMIFS('ON Data'!T:T,'ON Data'!$E:$E,7))</f>
        <v>0</v>
      </c>
      <c r="P16" s="204">
        <f xml:space="preserve">
IF($A$4&lt;=12,SUMIFS('ON Data'!U:U,'ON Data'!$D:$D,$A$4,'ON Data'!$E:$E,7),SUMIFS('ON Data'!U:U,'ON Data'!$E:$E,7))</f>
        <v>0</v>
      </c>
      <c r="Q16" s="204">
        <f xml:space="preserve">
IF($A$4&lt;=12,SUMIFS('ON Data'!V:V,'ON Data'!$D:$D,$A$4,'ON Data'!$E:$E,7),SUMIFS('ON Data'!V:V,'ON Data'!$E:$E,7))</f>
        <v>0</v>
      </c>
      <c r="R16" s="204">
        <f xml:space="preserve">
IF($A$4&lt;=12,SUMIFS('ON Data'!W:W,'ON Data'!$D:$D,$A$4,'ON Data'!$E:$E,7),SUMIFS('ON Data'!W:W,'ON Data'!$E:$E,7))</f>
        <v>0</v>
      </c>
      <c r="S16" s="204">
        <f xml:space="preserve">
IF($A$4&lt;=12,SUMIFS('ON Data'!X:X,'ON Data'!$D:$D,$A$4,'ON Data'!$E:$E,7),SUMIFS('ON Data'!X:X,'ON Data'!$E:$E,7))</f>
        <v>0</v>
      </c>
      <c r="T16" s="204">
        <f xml:space="preserve">
IF($A$4&lt;=12,SUMIFS('ON Data'!Y:Y,'ON Data'!$D:$D,$A$4,'ON Data'!$E:$E,7),SUMIFS('ON Data'!Y:Y,'ON Data'!$E:$E,7))</f>
        <v>0</v>
      </c>
      <c r="U16" s="204">
        <f xml:space="preserve">
IF($A$4&lt;=12,SUMIFS('ON Data'!Z:Z,'ON Data'!$D:$D,$A$4,'ON Data'!$E:$E,7),SUMIFS('ON Data'!Z:Z,'ON Data'!$E:$E,7))</f>
        <v>0</v>
      </c>
      <c r="V16" s="204">
        <f xml:space="preserve">
IF($A$4&lt;=12,SUMIFS('ON Data'!AA:AA,'ON Data'!$D:$D,$A$4,'ON Data'!$E:$E,7),SUMIFS('ON Data'!AA:AA,'ON Data'!$E:$E,7))</f>
        <v>0</v>
      </c>
      <c r="W16" s="204">
        <f xml:space="preserve">
IF($A$4&lt;=12,SUMIFS('ON Data'!AB:AB,'ON Data'!$D:$D,$A$4,'ON Data'!$E:$E,7),SUMIFS('ON Data'!AB:AB,'ON Data'!$E:$E,7))</f>
        <v>0</v>
      </c>
      <c r="X16" s="204">
        <f xml:space="preserve">
IF($A$4&lt;=12,SUMIFS('ON Data'!AC:AC,'ON Data'!$D:$D,$A$4,'ON Data'!$E:$E,7),SUMIFS('ON Data'!AC:AC,'ON Data'!$E:$E,7))</f>
        <v>0</v>
      </c>
      <c r="Y16" s="204">
        <f xml:space="preserve">
IF($A$4&lt;=12,SUMIFS('ON Data'!AD:AD,'ON Data'!$D:$D,$A$4,'ON Data'!$E:$E,7),SUMIFS('ON Data'!AD:AD,'ON Data'!$E:$E,7))</f>
        <v>0</v>
      </c>
      <c r="Z16" s="204">
        <f xml:space="preserve">
IF($A$4&lt;=12,SUMIFS('ON Data'!AE:AE,'ON Data'!$D:$D,$A$4,'ON Data'!$E:$E,7),SUMIFS('ON Data'!AE:AE,'ON Data'!$E:$E,7))</f>
        <v>0</v>
      </c>
      <c r="AA16" s="204">
        <f xml:space="preserve">
IF($A$4&lt;=12,SUMIFS('ON Data'!AF:AF,'ON Data'!$D:$D,$A$4,'ON Data'!$E:$E,7),SUMIFS('ON Data'!AF:AF,'ON Data'!$E:$E,7))</f>
        <v>0</v>
      </c>
      <c r="AB16" s="204">
        <f xml:space="preserve">
IF($A$4&lt;=12,SUMIFS('ON Data'!AG:AG,'ON Data'!$D:$D,$A$4,'ON Data'!$E:$E,7),SUMIFS('ON Data'!AG:AG,'ON Data'!$E:$E,7))</f>
        <v>0</v>
      </c>
      <c r="AC16" s="204">
        <f xml:space="preserve">
IF($A$4&lt;=12,SUMIFS('ON Data'!AH:AH,'ON Data'!$D:$D,$A$4,'ON Data'!$E:$E,7),SUMIFS('ON Data'!AH:AH,'ON Data'!$E:$E,7))</f>
        <v>0</v>
      </c>
      <c r="AD16" s="204">
        <f xml:space="preserve">
IF($A$4&lt;=12,SUMIFS('ON Data'!AI:AI,'ON Data'!$D:$D,$A$4,'ON Data'!$E:$E,7),SUMIFS('ON Data'!AI:AI,'ON Data'!$E:$E,7))</f>
        <v>0</v>
      </c>
      <c r="AE16" s="204">
        <f xml:space="preserve">
IF($A$4&lt;=12,SUMIFS('ON Data'!AJ:AJ,'ON Data'!$D:$D,$A$4,'ON Data'!$E:$E,7),SUMIFS('ON Data'!AJ:AJ,'ON Data'!$E:$E,7))</f>
        <v>0</v>
      </c>
      <c r="AF16" s="204">
        <f xml:space="preserve">
IF($A$4&lt;=12,SUMIFS('ON Data'!AK:AK,'ON Data'!$D:$D,$A$4,'ON Data'!$E:$E,7),SUMIFS('ON Data'!AK:AK,'ON Data'!$E:$E,7))</f>
        <v>0</v>
      </c>
      <c r="AG16" s="400">
        <f xml:space="preserve">
IF($A$4&lt;=12,SUMIFS('ON Data'!AM:AM,'ON Data'!$D:$D,$A$4,'ON Data'!$E:$E,7),SUMIFS('ON Data'!AM:AM,'ON Data'!$E:$E,7))</f>
        <v>0</v>
      </c>
      <c r="AH16" s="409"/>
    </row>
    <row r="17" spans="1:34" x14ac:dyDescent="0.3">
      <c r="A17" s="187" t="s">
        <v>144</v>
      </c>
      <c r="B17" s="202">
        <f xml:space="preserve">
IF($A$4&lt;=12,SUMIFS('ON Data'!F:F,'ON Data'!$D:$D,$A$4,'ON Data'!$E:$E,8),SUMIFS('ON Data'!F:F,'ON Data'!$E:$E,8))</f>
        <v>0</v>
      </c>
      <c r="C17" s="203">
        <f xml:space="preserve">
IF($A$4&lt;=12,SUMIFS('ON Data'!G:G,'ON Data'!$D:$D,$A$4,'ON Data'!$E:$E,8),SUMIFS('ON Data'!G:G,'ON Data'!$E:$E,8))</f>
        <v>0</v>
      </c>
      <c r="D17" s="204">
        <f xml:space="preserve">
IF($A$4&lt;=12,SUMIFS('ON Data'!H:H,'ON Data'!$D:$D,$A$4,'ON Data'!$E:$E,8),SUMIFS('ON Data'!H:H,'ON Data'!$E:$E,8))</f>
        <v>0</v>
      </c>
      <c r="E17" s="204">
        <f xml:space="preserve">
IF($A$4&lt;=12,SUMIFS('ON Data'!I:I,'ON Data'!$D:$D,$A$4,'ON Data'!$E:$E,8),SUMIFS('ON Data'!I:I,'ON Data'!$E:$E,8))</f>
        <v>0</v>
      </c>
      <c r="F17" s="204">
        <f xml:space="preserve">
IF($A$4&lt;=12,SUMIFS('ON Data'!K:K,'ON Data'!$D:$D,$A$4,'ON Data'!$E:$E,8),SUMIFS('ON Data'!K:K,'ON Data'!$E:$E,8))</f>
        <v>0</v>
      </c>
      <c r="G17" s="204">
        <f xml:space="preserve">
IF($A$4&lt;=12,SUMIFS('ON Data'!L:L,'ON Data'!$D:$D,$A$4,'ON Data'!$E:$E,8),SUMIFS('ON Data'!L:L,'ON Data'!$E:$E,8))</f>
        <v>0</v>
      </c>
      <c r="H17" s="204">
        <f xml:space="preserve">
IF($A$4&lt;=12,SUMIFS('ON Data'!M:M,'ON Data'!$D:$D,$A$4,'ON Data'!$E:$E,8),SUMIFS('ON Data'!M:M,'ON Data'!$E:$E,8))</f>
        <v>0</v>
      </c>
      <c r="I17" s="204">
        <f xml:space="preserve">
IF($A$4&lt;=12,SUMIFS('ON Data'!N:N,'ON Data'!$D:$D,$A$4,'ON Data'!$E:$E,8),SUMIFS('ON Data'!N:N,'ON Data'!$E:$E,8))</f>
        <v>0</v>
      </c>
      <c r="J17" s="204">
        <f xml:space="preserve">
IF($A$4&lt;=12,SUMIFS('ON Data'!O:O,'ON Data'!$D:$D,$A$4,'ON Data'!$E:$E,8),SUMIFS('ON Data'!O:O,'ON Data'!$E:$E,8))</f>
        <v>0</v>
      </c>
      <c r="K17" s="204">
        <f xml:space="preserve">
IF($A$4&lt;=12,SUMIFS('ON Data'!P:P,'ON Data'!$D:$D,$A$4,'ON Data'!$E:$E,8),SUMIFS('ON Data'!P:P,'ON Data'!$E:$E,8))</f>
        <v>0</v>
      </c>
      <c r="L17" s="204">
        <f xml:space="preserve">
IF($A$4&lt;=12,SUMIFS('ON Data'!Q:Q,'ON Data'!$D:$D,$A$4,'ON Data'!$E:$E,8),SUMIFS('ON Data'!Q:Q,'ON Data'!$E:$E,8))</f>
        <v>0</v>
      </c>
      <c r="M17" s="204">
        <f xml:space="preserve">
IF($A$4&lt;=12,SUMIFS('ON Data'!R:R,'ON Data'!$D:$D,$A$4,'ON Data'!$E:$E,8),SUMIFS('ON Data'!R:R,'ON Data'!$E:$E,8))</f>
        <v>0</v>
      </c>
      <c r="N17" s="204">
        <f xml:space="preserve">
IF($A$4&lt;=12,SUMIFS('ON Data'!S:S,'ON Data'!$D:$D,$A$4,'ON Data'!$E:$E,8),SUMIFS('ON Data'!S:S,'ON Data'!$E:$E,8))</f>
        <v>0</v>
      </c>
      <c r="O17" s="204">
        <f xml:space="preserve">
IF($A$4&lt;=12,SUMIFS('ON Data'!T:T,'ON Data'!$D:$D,$A$4,'ON Data'!$E:$E,8),SUMIFS('ON Data'!T:T,'ON Data'!$E:$E,8))</f>
        <v>0</v>
      </c>
      <c r="P17" s="204">
        <f xml:space="preserve">
IF($A$4&lt;=12,SUMIFS('ON Data'!U:U,'ON Data'!$D:$D,$A$4,'ON Data'!$E:$E,8),SUMIFS('ON Data'!U:U,'ON Data'!$E:$E,8))</f>
        <v>0</v>
      </c>
      <c r="Q17" s="204">
        <f xml:space="preserve">
IF($A$4&lt;=12,SUMIFS('ON Data'!V:V,'ON Data'!$D:$D,$A$4,'ON Data'!$E:$E,8),SUMIFS('ON Data'!V:V,'ON Data'!$E:$E,8))</f>
        <v>0</v>
      </c>
      <c r="R17" s="204">
        <f xml:space="preserve">
IF($A$4&lt;=12,SUMIFS('ON Data'!W:W,'ON Data'!$D:$D,$A$4,'ON Data'!$E:$E,8),SUMIFS('ON Data'!W:W,'ON Data'!$E:$E,8))</f>
        <v>0</v>
      </c>
      <c r="S17" s="204">
        <f xml:space="preserve">
IF($A$4&lt;=12,SUMIFS('ON Data'!X:X,'ON Data'!$D:$D,$A$4,'ON Data'!$E:$E,8),SUMIFS('ON Data'!X:X,'ON Data'!$E:$E,8))</f>
        <v>0</v>
      </c>
      <c r="T17" s="204">
        <f xml:space="preserve">
IF($A$4&lt;=12,SUMIFS('ON Data'!Y:Y,'ON Data'!$D:$D,$A$4,'ON Data'!$E:$E,8),SUMIFS('ON Data'!Y:Y,'ON Data'!$E:$E,8))</f>
        <v>0</v>
      </c>
      <c r="U17" s="204">
        <f xml:space="preserve">
IF($A$4&lt;=12,SUMIFS('ON Data'!Z:Z,'ON Data'!$D:$D,$A$4,'ON Data'!$E:$E,8),SUMIFS('ON Data'!Z:Z,'ON Data'!$E:$E,8))</f>
        <v>0</v>
      </c>
      <c r="V17" s="204">
        <f xml:space="preserve">
IF($A$4&lt;=12,SUMIFS('ON Data'!AA:AA,'ON Data'!$D:$D,$A$4,'ON Data'!$E:$E,8),SUMIFS('ON Data'!AA:AA,'ON Data'!$E:$E,8))</f>
        <v>0</v>
      </c>
      <c r="W17" s="204">
        <f xml:space="preserve">
IF($A$4&lt;=12,SUMIFS('ON Data'!AB:AB,'ON Data'!$D:$D,$A$4,'ON Data'!$E:$E,8),SUMIFS('ON Data'!AB:AB,'ON Data'!$E:$E,8))</f>
        <v>0</v>
      </c>
      <c r="X17" s="204">
        <f xml:space="preserve">
IF($A$4&lt;=12,SUMIFS('ON Data'!AC:AC,'ON Data'!$D:$D,$A$4,'ON Data'!$E:$E,8),SUMIFS('ON Data'!AC:AC,'ON Data'!$E:$E,8))</f>
        <v>0</v>
      </c>
      <c r="Y17" s="204">
        <f xml:space="preserve">
IF($A$4&lt;=12,SUMIFS('ON Data'!AD:AD,'ON Data'!$D:$D,$A$4,'ON Data'!$E:$E,8),SUMIFS('ON Data'!AD:AD,'ON Data'!$E:$E,8))</f>
        <v>0</v>
      </c>
      <c r="Z17" s="204">
        <f xml:space="preserve">
IF($A$4&lt;=12,SUMIFS('ON Data'!AE:AE,'ON Data'!$D:$D,$A$4,'ON Data'!$E:$E,8),SUMIFS('ON Data'!AE:AE,'ON Data'!$E:$E,8))</f>
        <v>0</v>
      </c>
      <c r="AA17" s="204">
        <f xml:space="preserve">
IF($A$4&lt;=12,SUMIFS('ON Data'!AF:AF,'ON Data'!$D:$D,$A$4,'ON Data'!$E:$E,8),SUMIFS('ON Data'!AF:AF,'ON Data'!$E:$E,8))</f>
        <v>0</v>
      </c>
      <c r="AB17" s="204">
        <f xml:space="preserve">
IF($A$4&lt;=12,SUMIFS('ON Data'!AG:AG,'ON Data'!$D:$D,$A$4,'ON Data'!$E:$E,8),SUMIFS('ON Data'!AG:AG,'ON Data'!$E:$E,8))</f>
        <v>0</v>
      </c>
      <c r="AC17" s="204">
        <f xml:space="preserve">
IF($A$4&lt;=12,SUMIFS('ON Data'!AH:AH,'ON Data'!$D:$D,$A$4,'ON Data'!$E:$E,8),SUMIFS('ON Data'!AH:AH,'ON Data'!$E:$E,8))</f>
        <v>0</v>
      </c>
      <c r="AD17" s="204">
        <f xml:space="preserve">
IF($A$4&lt;=12,SUMIFS('ON Data'!AI:AI,'ON Data'!$D:$D,$A$4,'ON Data'!$E:$E,8),SUMIFS('ON Data'!AI:AI,'ON Data'!$E:$E,8))</f>
        <v>0</v>
      </c>
      <c r="AE17" s="204">
        <f xml:space="preserve">
IF($A$4&lt;=12,SUMIFS('ON Data'!AJ:AJ,'ON Data'!$D:$D,$A$4,'ON Data'!$E:$E,8),SUMIFS('ON Data'!AJ:AJ,'ON Data'!$E:$E,8))</f>
        <v>0</v>
      </c>
      <c r="AF17" s="204">
        <f xml:space="preserve">
IF($A$4&lt;=12,SUMIFS('ON Data'!AK:AK,'ON Data'!$D:$D,$A$4,'ON Data'!$E:$E,8),SUMIFS('ON Data'!AK:AK,'ON Data'!$E:$E,8))</f>
        <v>0</v>
      </c>
      <c r="AG17" s="400">
        <f xml:space="preserve">
IF($A$4&lt;=12,SUMIFS('ON Data'!AM:AM,'ON Data'!$D:$D,$A$4,'ON Data'!$E:$E,8),SUMIFS('ON Data'!AM:AM,'ON Data'!$E:$E,8))</f>
        <v>0</v>
      </c>
      <c r="AH17" s="409"/>
    </row>
    <row r="18" spans="1:34" x14ac:dyDescent="0.3">
      <c r="A18" s="187" t="s">
        <v>145</v>
      </c>
      <c r="B18" s="202">
        <f xml:space="preserve">
B19-B16-B17</f>
        <v>595509</v>
      </c>
      <c r="C18" s="203">
        <f t="shared" ref="C18" si="0" xml:space="preserve">
C19-C16-C17</f>
        <v>0</v>
      </c>
      <c r="D18" s="204">
        <f t="shared" ref="D18:AG18" si="1" xml:space="preserve">
D19-D16-D17</f>
        <v>1980</v>
      </c>
      <c r="E18" s="204">
        <f t="shared" si="1"/>
        <v>0</v>
      </c>
      <c r="F18" s="204">
        <f t="shared" si="1"/>
        <v>454556</v>
      </c>
      <c r="G18" s="204">
        <f t="shared" si="1"/>
        <v>0</v>
      </c>
      <c r="H18" s="204">
        <f t="shared" si="1"/>
        <v>0</v>
      </c>
      <c r="I18" s="204">
        <f t="shared" si="1"/>
        <v>0</v>
      </c>
      <c r="J18" s="204">
        <f t="shared" si="1"/>
        <v>0</v>
      </c>
      <c r="K18" s="204">
        <f t="shared" si="1"/>
        <v>0</v>
      </c>
      <c r="L18" s="204">
        <f t="shared" si="1"/>
        <v>0</v>
      </c>
      <c r="M18" s="204">
        <f t="shared" si="1"/>
        <v>0</v>
      </c>
      <c r="N18" s="204">
        <f t="shared" si="1"/>
        <v>0</v>
      </c>
      <c r="O18" s="204">
        <f t="shared" si="1"/>
        <v>0</v>
      </c>
      <c r="P18" s="204">
        <f t="shared" si="1"/>
        <v>0</v>
      </c>
      <c r="Q18" s="204">
        <f t="shared" si="1"/>
        <v>0</v>
      </c>
      <c r="R18" s="204">
        <f t="shared" si="1"/>
        <v>0</v>
      </c>
      <c r="S18" s="204">
        <f t="shared" si="1"/>
        <v>0</v>
      </c>
      <c r="T18" s="204">
        <f t="shared" si="1"/>
        <v>0</v>
      </c>
      <c r="U18" s="204">
        <f t="shared" si="1"/>
        <v>0</v>
      </c>
      <c r="V18" s="204">
        <f t="shared" si="1"/>
        <v>0</v>
      </c>
      <c r="W18" s="204">
        <f t="shared" si="1"/>
        <v>0</v>
      </c>
      <c r="X18" s="204">
        <f t="shared" si="1"/>
        <v>0</v>
      </c>
      <c r="Y18" s="204">
        <f t="shared" si="1"/>
        <v>0</v>
      </c>
      <c r="Z18" s="204">
        <f t="shared" si="1"/>
        <v>0</v>
      </c>
      <c r="AA18" s="204">
        <f t="shared" si="1"/>
        <v>0</v>
      </c>
      <c r="AB18" s="204">
        <f t="shared" si="1"/>
        <v>0</v>
      </c>
      <c r="AC18" s="204">
        <f t="shared" si="1"/>
        <v>138973</v>
      </c>
      <c r="AD18" s="204">
        <f t="shared" si="1"/>
        <v>0</v>
      </c>
      <c r="AE18" s="204">
        <f t="shared" si="1"/>
        <v>0</v>
      </c>
      <c r="AF18" s="204">
        <f t="shared" si="1"/>
        <v>0</v>
      </c>
      <c r="AG18" s="400">
        <f t="shared" si="1"/>
        <v>0</v>
      </c>
      <c r="AH18" s="409"/>
    </row>
    <row r="19" spans="1:34" ht="15" thickBot="1" x14ac:dyDescent="0.35">
      <c r="A19" s="188" t="s">
        <v>146</v>
      </c>
      <c r="B19" s="211">
        <f xml:space="preserve">
IF($A$4&lt;=12,SUMIFS('ON Data'!F:F,'ON Data'!$D:$D,$A$4,'ON Data'!$E:$E,9),SUMIFS('ON Data'!F:F,'ON Data'!$E:$E,9))</f>
        <v>595509</v>
      </c>
      <c r="C19" s="212">
        <f xml:space="preserve">
IF($A$4&lt;=12,SUMIFS('ON Data'!G:G,'ON Data'!$D:$D,$A$4,'ON Data'!$E:$E,9),SUMIFS('ON Data'!G:G,'ON Data'!$E:$E,9))</f>
        <v>0</v>
      </c>
      <c r="D19" s="213">
        <f xml:space="preserve">
IF($A$4&lt;=12,SUMIFS('ON Data'!H:H,'ON Data'!$D:$D,$A$4,'ON Data'!$E:$E,9),SUMIFS('ON Data'!H:H,'ON Data'!$E:$E,9))</f>
        <v>1980</v>
      </c>
      <c r="E19" s="213">
        <f xml:space="preserve">
IF($A$4&lt;=12,SUMIFS('ON Data'!I:I,'ON Data'!$D:$D,$A$4,'ON Data'!$E:$E,9),SUMIFS('ON Data'!I:I,'ON Data'!$E:$E,9))</f>
        <v>0</v>
      </c>
      <c r="F19" s="213">
        <f xml:space="preserve">
IF($A$4&lt;=12,SUMIFS('ON Data'!K:K,'ON Data'!$D:$D,$A$4,'ON Data'!$E:$E,9),SUMIFS('ON Data'!K:K,'ON Data'!$E:$E,9))</f>
        <v>454556</v>
      </c>
      <c r="G19" s="213">
        <f xml:space="preserve">
IF($A$4&lt;=12,SUMIFS('ON Data'!L:L,'ON Data'!$D:$D,$A$4,'ON Data'!$E:$E,9),SUMIFS('ON Data'!L:L,'ON Data'!$E:$E,9))</f>
        <v>0</v>
      </c>
      <c r="H19" s="213">
        <f xml:space="preserve">
IF($A$4&lt;=12,SUMIFS('ON Data'!M:M,'ON Data'!$D:$D,$A$4,'ON Data'!$E:$E,9),SUMIFS('ON Data'!M:M,'ON Data'!$E:$E,9))</f>
        <v>0</v>
      </c>
      <c r="I19" s="213">
        <f xml:space="preserve">
IF($A$4&lt;=12,SUMIFS('ON Data'!N:N,'ON Data'!$D:$D,$A$4,'ON Data'!$E:$E,9),SUMIFS('ON Data'!N:N,'ON Data'!$E:$E,9))</f>
        <v>0</v>
      </c>
      <c r="J19" s="213">
        <f xml:space="preserve">
IF($A$4&lt;=12,SUMIFS('ON Data'!O:O,'ON Data'!$D:$D,$A$4,'ON Data'!$E:$E,9),SUMIFS('ON Data'!O:O,'ON Data'!$E:$E,9))</f>
        <v>0</v>
      </c>
      <c r="K19" s="213">
        <f xml:space="preserve">
IF($A$4&lt;=12,SUMIFS('ON Data'!P:P,'ON Data'!$D:$D,$A$4,'ON Data'!$E:$E,9),SUMIFS('ON Data'!P:P,'ON Data'!$E:$E,9))</f>
        <v>0</v>
      </c>
      <c r="L19" s="213">
        <f xml:space="preserve">
IF($A$4&lt;=12,SUMIFS('ON Data'!Q:Q,'ON Data'!$D:$D,$A$4,'ON Data'!$E:$E,9),SUMIFS('ON Data'!Q:Q,'ON Data'!$E:$E,9))</f>
        <v>0</v>
      </c>
      <c r="M19" s="213">
        <f xml:space="preserve">
IF($A$4&lt;=12,SUMIFS('ON Data'!R:R,'ON Data'!$D:$D,$A$4,'ON Data'!$E:$E,9),SUMIFS('ON Data'!R:R,'ON Data'!$E:$E,9))</f>
        <v>0</v>
      </c>
      <c r="N19" s="213">
        <f xml:space="preserve">
IF($A$4&lt;=12,SUMIFS('ON Data'!S:S,'ON Data'!$D:$D,$A$4,'ON Data'!$E:$E,9),SUMIFS('ON Data'!S:S,'ON Data'!$E:$E,9))</f>
        <v>0</v>
      </c>
      <c r="O19" s="213">
        <f xml:space="preserve">
IF($A$4&lt;=12,SUMIFS('ON Data'!T:T,'ON Data'!$D:$D,$A$4,'ON Data'!$E:$E,9),SUMIFS('ON Data'!T:T,'ON Data'!$E:$E,9))</f>
        <v>0</v>
      </c>
      <c r="P19" s="213">
        <f xml:space="preserve">
IF($A$4&lt;=12,SUMIFS('ON Data'!U:U,'ON Data'!$D:$D,$A$4,'ON Data'!$E:$E,9),SUMIFS('ON Data'!U:U,'ON Data'!$E:$E,9))</f>
        <v>0</v>
      </c>
      <c r="Q19" s="213">
        <f xml:space="preserve">
IF($A$4&lt;=12,SUMIFS('ON Data'!V:V,'ON Data'!$D:$D,$A$4,'ON Data'!$E:$E,9),SUMIFS('ON Data'!V:V,'ON Data'!$E:$E,9))</f>
        <v>0</v>
      </c>
      <c r="R19" s="213">
        <f xml:space="preserve">
IF($A$4&lt;=12,SUMIFS('ON Data'!W:W,'ON Data'!$D:$D,$A$4,'ON Data'!$E:$E,9),SUMIFS('ON Data'!W:W,'ON Data'!$E:$E,9))</f>
        <v>0</v>
      </c>
      <c r="S19" s="213">
        <f xml:space="preserve">
IF($A$4&lt;=12,SUMIFS('ON Data'!X:X,'ON Data'!$D:$D,$A$4,'ON Data'!$E:$E,9),SUMIFS('ON Data'!X:X,'ON Data'!$E:$E,9))</f>
        <v>0</v>
      </c>
      <c r="T19" s="213">
        <f xml:space="preserve">
IF($A$4&lt;=12,SUMIFS('ON Data'!Y:Y,'ON Data'!$D:$D,$A$4,'ON Data'!$E:$E,9),SUMIFS('ON Data'!Y:Y,'ON Data'!$E:$E,9))</f>
        <v>0</v>
      </c>
      <c r="U19" s="213">
        <f xml:space="preserve">
IF($A$4&lt;=12,SUMIFS('ON Data'!Z:Z,'ON Data'!$D:$D,$A$4,'ON Data'!$E:$E,9),SUMIFS('ON Data'!Z:Z,'ON Data'!$E:$E,9))</f>
        <v>0</v>
      </c>
      <c r="V19" s="213">
        <f xml:space="preserve">
IF($A$4&lt;=12,SUMIFS('ON Data'!AA:AA,'ON Data'!$D:$D,$A$4,'ON Data'!$E:$E,9),SUMIFS('ON Data'!AA:AA,'ON Data'!$E:$E,9))</f>
        <v>0</v>
      </c>
      <c r="W19" s="213">
        <f xml:space="preserve">
IF($A$4&lt;=12,SUMIFS('ON Data'!AB:AB,'ON Data'!$D:$D,$A$4,'ON Data'!$E:$E,9),SUMIFS('ON Data'!AB:AB,'ON Data'!$E:$E,9))</f>
        <v>0</v>
      </c>
      <c r="X19" s="213">
        <f xml:space="preserve">
IF($A$4&lt;=12,SUMIFS('ON Data'!AC:AC,'ON Data'!$D:$D,$A$4,'ON Data'!$E:$E,9),SUMIFS('ON Data'!AC:AC,'ON Data'!$E:$E,9))</f>
        <v>0</v>
      </c>
      <c r="Y19" s="213">
        <f xml:space="preserve">
IF($A$4&lt;=12,SUMIFS('ON Data'!AD:AD,'ON Data'!$D:$D,$A$4,'ON Data'!$E:$E,9),SUMIFS('ON Data'!AD:AD,'ON Data'!$E:$E,9))</f>
        <v>0</v>
      </c>
      <c r="Z19" s="213">
        <f xml:space="preserve">
IF($A$4&lt;=12,SUMIFS('ON Data'!AE:AE,'ON Data'!$D:$D,$A$4,'ON Data'!$E:$E,9),SUMIFS('ON Data'!AE:AE,'ON Data'!$E:$E,9))</f>
        <v>0</v>
      </c>
      <c r="AA19" s="213">
        <f xml:space="preserve">
IF($A$4&lt;=12,SUMIFS('ON Data'!AF:AF,'ON Data'!$D:$D,$A$4,'ON Data'!$E:$E,9),SUMIFS('ON Data'!AF:AF,'ON Data'!$E:$E,9))</f>
        <v>0</v>
      </c>
      <c r="AB19" s="213">
        <f xml:space="preserve">
IF($A$4&lt;=12,SUMIFS('ON Data'!AG:AG,'ON Data'!$D:$D,$A$4,'ON Data'!$E:$E,9),SUMIFS('ON Data'!AG:AG,'ON Data'!$E:$E,9))</f>
        <v>0</v>
      </c>
      <c r="AC19" s="213">
        <f xml:space="preserve">
IF($A$4&lt;=12,SUMIFS('ON Data'!AH:AH,'ON Data'!$D:$D,$A$4,'ON Data'!$E:$E,9),SUMIFS('ON Data'!AH:AH,'ON Data'!$E:$E,9))</f>
        <v>138973</v>
      </c>
      <c r="AD19" s="213">
        <f xml:space="preserve">
IF($A$4&lt;=12,SUMIFS('ON Data'!AI:AI,'ON Data'!$D:$D,$A$4,'ON Data'!$E:$E,9),SUMIFS('ON Data'!AI:AI,'ON Data'!$E:$E,9))</f>
        <v>0</v>
      </c>
      <c r="AE19" s="213">
        <f xml:space="preserve">
IF($A$4&lt;=12,SUMIFS('ON Data'!AJ:AJ,'ON Data'!$D:$D,$A$4,'ON Data'!$E:$E,9),SUMIFS('ON Data'!AJ:AJ,'ON Data'!$E:$E,9))</f>
        <v>0</v>
      </c>
      <c r="AF19" s="213">
        <f xml:space="preserve">
IF($A$4&lt;=12,SUMIFS('ON Data'!AK:AK,'ON Data'!$D:$D,$A$4,'ON Data'!$E:$E,9),SUMIFS('ON Data'!AK:AK,'ON Data'!$E:$E,9))</f>
        <v>0</v>
      </c>
      <c r="AG19" s="403">
        <f xml:space="preserve">
IF($A$4&lt;=12,SUMIFS('ON Data'!AM:AM,'ON Data'!$D:$D,$A$4,'ON Data'!$E:$E,9),SUMIFS('ON Data'!AM:AM,'ON Data'!$E:$E,9))</f>
        <v>0</v>
      </c>
      <c r="AH19" s="409"/>
    </row>
    <row r="20" spans="1:34" ht="15" collapsed="1" thickBot="1" x14ac:dyDescent="0.35">
      <c r="A20" s="189" t="s">
        <v>55</v>
      </c>
      <c r="B20" s="214">
        <f xml:space="preserve">
IF($A$4&lt;=12,SUMIFS('ON Data'!F:F,'ON Data'!$D:$D,$A$4,'ON Data'!$E:$E,6),SUMIFS('ON Data'!F:F,'ON Data'!$E:$E,6))</f>
        <v>9785999</v>
      </c>
      <c r="C20" s="215">
        <f xml:space="preserve">
IF($A$4&lt;=12,SUMIFS('ON Data'!G:G,'ON Data'!$D:$D,$A$4,'ON Data'!$E:$E,6),SUMIFS('ON Data'!G:G,'ON Data'!$E:$E,6))</f>
        <v>0</v>
      </c>
      <c r="D20" s="216">
        <f xml:space="preserve">
IF($A$4&lt;=12,SUMIFS('ON Data'!H:H,'ON Data'!$D:$D,$A$4,'ON Data'!$E:$E,6),SUMIFS('ON Data'!H:H,'ON Data'!$E:$E,6))</f>
        <v>67378</v>
      </c>
      <c r="E20" s="216">
        <f xml:space="preserve">
IF($A$4&lt;=12,SUMIFS('ON Data'!I:I,'ON Data'!$D:$D,$A$4,'ON Data'!$E:$E,6),SUMIFS('ON Data'!I:I,'ON Data'!$E:$E,6))</f>
        <v>0</v>
      </c>
      <c r="F20" s="216">
        <f xml:space="preserve">
IF($A$4&lt;=12,SUMIFS('ON Data'!K:K,'ON Data'!$D:$D,$A$4,'ON Data'!$E:$E,6),SUMIFS('ON Data'!K:K,'ON Data'!$E:$E,6))</f>
        <v>7812616</v>
      </c>
      <c r="G20" s="216">
        <f xml:space="preserve">
IF($A$4&lt;=12,SUMIFS('ON Data'!L:L,'ON Data'!$D:$D,$A$4,'ON Data'!$E:$E,6),SUMIFS('ON Data'!L:L,'ON Data'!$E:$E,6))</f>
        <v>0</v>
      </c>
      <c r="H20" s="216">
        <f xml:space="preserve">
IF($A$4&lt;=12,SUMIFS('ON Data'!M:M,'ON Data'!$D:$D,$A$4,'ON Data'!$E:$E,6),SUMIFS('ON Data'!M:M,'ON Data'!$E:$E,6))</f>
        <v>0</v>
      </c>
      <c r="I20" s="216">
        <f xml:space="preserve">
IF($A$4&lt;=12,SUMIFS('ON Data'!N:N,'ON Data'!$D:$D,$A$4,'ON Data'!$E:$E,6),SUMIFS('ON Data'!N:N,'ON Data'!$E:$E,6))</f>
        <v>0</v>
      </c>
      <c r="J20" s="216">
        <f xml:space="preserve">
IF($A$4&lt;=12,SUMIFS('ON Data'!O:O,'ON Data'!$D:$D,$A$4,'ON Data'!$E:$E,6),SUMIFS('ON Data'!O:O,'ON Data'!$E:$E,6))</f>
        <v>0</v>
      </c>
      <c r="K20" s="216">
        <f xml:space="preserve">
IF($A$4&lt;=12,SUMIFS('ON Data'!P:P,'ON Data'!$D:$D,$A$4,'ON Data'!$E:$E,6),SUMIFS('ON Data'!P:P,'ON Data'!$E:$E,6))</f>
        <v>0</v>
      </c>
      <c r="L20" s="216">
        <f xml:space="preserve">
IF($A$4&lt;=12,SUMIFS('ON Data'!Q:Q,'ON Data'!$D:$D,$A$4,'ON Data'!$E:$E,6),SUMIFS('ON Data'!Q:Q,'ON Data'!$E:$E,6))</f>
        <v>0</v>
      </c>
      <c r="M20" s="216">
        <f xml:space="preserve">
IF($A$4&lt;=12,SUMIFS('ON Data'!R:R,'ON Data'!$D:$D,$A$4,'ON Data'!$E:$E,6),SUMIFS('ON Data'!R:R,'ON Data'!$E:$E,6))</f>
        <v>0</v>
      </c>
      <c r="N20" s="216">
        <f xml:space="preserve">
IF($A$4&lt;=12,SUMIFS('ON Data'!S:S,'ON Data'!$D:$D,$A$4,'ON Data'!$E:$E,6),SUMIFS('ON Data'!S:S,'ON Data'!$E:$E,6))</f>
        <v>0</v>
      </c>
      <c r="O20" s="216">
        <f xml:space="preserve">
IF($A$4&lt;=12,SUMIFS('ON Data'!T:T,'ON Data'!$D:$D,$A$4,'ON Data'!$E:$E,6),SUMIFS('ON Data'!T:T,'ON Data'!$E:$E,6))</f>
        <v>0</v>
      </c>
      <c r="P20" s="216">
        <f xml:space="preserve">
IF($A$4&lt;=12,SUMIFS('ON Data'!U:U,'ON Data'!$D:$D,$A$4,'ON Data'!$E:$E,6),SUMIFS('ON Data'!U:U,'ON Data'!$E:$E,6))</f>
        <v>0</v>
      </c>
      <c r="Q20" s="216">
        <f xml:space="preserve">
IF($A$4&lt;=12,SUMIFS('ON Data'!V:V,'ON Data'!$D:$D,$A$4,'ON Data'!$E:$E,6),SUMIFS('ON Data'!V:V,'ON Data'!$E:$E,6))</f>
        <v>0</v>
      </c>
      <c r="R20" s="216">
        <f xml:space="preserve">
IF($A$4&lt;=12,SUMIFS('ON Data'!W:W,'ON Data'!$D:$D,$A$4,'ON Data'!$E:$E,6),SUMIFS('ON Data'!W:W,'ON Data'!$E:$E,6))</f>
        <v>0</v>
      </c>
      <c r="S20" s="216">
        <f xml:space="preserve">
IF($A$4&lt;=12,SUMIFS('ON Data'!X:X,'ON Data'!$D:$D,$A$4,'ON Data'!$E:$E,6),SUMIFS('ON Data'!X:X,'ON Data'!$E:$E,6))</f>
        <v>0</v>
      </c>
      <c r="T20" s="216">
        <f xml:space="preserve">
IF($A$4&lt;=12,SUMIFS('ON Data'!Y:Y,'ON Data'!$D:$D,$A$4,'ON Data'!$E:$E,6),SUMIFS('ON Data'!Y:Y,'ON Data'!$E:$E,6))</f>
        <v>0</v>
      </c>
      <c r="U20" s="216">
        <f xml:space="preserve">
IF($A$4&lt;=12,SUMIFS('ON Data'!Z:Z,'ON Data'!$D:$D,$A$4,'ON Data'!$E:$E,6),SUMIFS('ON Data'!Z:Z,'ON Data'!$E:$E,6))</f>
        <v>0</v>
      </c>
      <c r="V20" s="216">
        <f xml:space="preserve">
IF($A$4&lt;=12,SUMIFS('ON Data'!AA:AA,'ON Data'!$D:$D,$A$4,'ON Data'!$E:$E,6),SUMIFS('ON Data'!AA:AA,'ON Data'!$E:$E,6))</f>
        <v>0</v>
      </c>
      <c r="W20" s="216">
        <f xml:space="preserve">
IF($A$4&lt;=12,SUMIFS('ON Data'!AB:AB,'ON Data'!$D:$D,$A$4,'ON Data'!$E:$E,6),SUMIFS('ON Data'!AB:AB,'ON Data'!$E:$E,6))</f>
        <v>0</v>
      </c>
      <c r="X20" s="216">
        <f xml:space="preserve">
IF($A$4&lt;=12,SUMIFS('ON Data'!AC:AC,'ON Data'!$D:$D,$A$4,'ON Data'!$E:$E,6),SUMIFS('ON Data'!AC:AC,'ON Data'!$E:$E,6))</f>
        <v>0</v>
      </c>
      <c r="Y20" s="216">
        <f xml:space="preserve">
IF($A$4&lt;=12,SUMIFS('ON Data'!AD:AD,'ON Data'!$D:$D,$A$4,'ON Data'!$E:$E,6),SUMIFS('ON Data'!AD:AD,'ON Data'!$E:$E,6))</f>
        <v>0</v>
      </c>
      <c r="Z20" s="216">
        <f xml:space="preserve">
IF($A$4&lt;=12,SUMIFS('ON Data'!AE:AE,'ON Data'!$D:$D,$A$4,'ON Data'!$E:$E,6),SUMIFS('ON Data'!AE:AE,'ON Data'!$E:$E,6))</f>
        <v>0</v>
      </c>
      <c r="AA20" s="216">
        <f xml:space="preserve">
IF($A$4&lt;=12,SUMIFS('ON Data'!AF:AF,'ON Data'!$D:$D,$A$4,'ON Data'!$E:$E,6),SUMIFS('ON Data'!AF:AF,'ON Data'!$E:$E,6))</f>
        <v>0</v>
      </c>
      <c r="AB20" s="216">
        <f xml:space="preserve">
IF($A$4&lt;=12,SUMIFS('ON Data'!AG:AG,'ON Data'!$D:$D,$A$4,'ON Data'!$E:$E,6),SUMIFS('ON Data'!AG:AG,'ON Data'!$E:$E,6))</f>
        <v>0</v>
      </c>
      <c r="AC20" s="216">
        <f xml:space="preserve">
IF($A$4&lt;=12,SUMIFS('ON Data'!AH:AH,'ON Data'!$D:$D,$A$4,'ON Data'!$E:$E,6),SUMIFS('ON Data'!AH:AH,'ON Data'!$E:$E,6))</f>
        <v>1906005</v>
      </c>
      <c r="AD20" s="216">
        <f xml:space="preserve">
IF($A$4&lt;=12,SUMIFS('ON Data'!AI:AI,'ON Data'!$D:$D,$A$4,'ON Data'!$E:$E,6),SUMIFS('ON Data'!AI:AI,'ON Data'!$E:$E,6))</f>
        <v>0</v>
      </c>
      <c r="AE20" s="216">
        <f xml:space="preserve">
IF($A$4&lt;=12,SUMIFS('ON Data'!AJ:AJ,'ON Data'!$D:$D,$A$4,'ON Data'!$E:$E,6),SUMIFS('ON Data'!AJ:AJ,'ON Data'!$E:$E,6))</f>
        <v>0</v>
      </c>
      <c r="AF20" s="216">
        <f xml:space="preserve">
IF($A$4&lt;=12,SUMIFS('ON Data'!AK:AK,'ON Data'!$D:$D,$A$4,'ON Data'!$E:$E,6),SUMIFS('ON Data'!AK:AK,'ON Data'!$E:$E,6))</f>
        <v>0</v>
      </c>
      <c r="AG20" s="404">
        <f xml:space="preserve">
IF($A$4&lt;=12,SUMIFS('ON Data'!AM:AM,'ON Data'!$D:$D,$A$4,'ON Data'!$E:$E,6),SUMIFS('ON Data'!AM:AM,'ON Data'!$E:$E,6))</f>
        <v>0</v>
      </c>
      <c r="AH20" s="409"/>
    </row>
    <row r="21" spans="1:34" ht="15" hidden="1" outlineLevel="1" thickBot="1" x14ac:dyDescent="0.35">
      <c r="A21" s="182" t="s">
        <v>62</v>
      </c>
      <c r="B21" s="202"/>
      <c r="C21" s="203"/>
      <c r="D21" s="204"/>
      <c r="E21" s="204"/>
      <c r="F21" s="204"/>
      <c r="G21" s="204"/>
      <c r="H21" s="204"/>
      <c r="I21" s="204"/>
      <c r="J21" s="204"/>
      <c r="K21" s="204"/>
      <c r="L21" s="204"/>
      <c r="M21" s="204"/>
      <c r="N21" s="204"/>
      <c r="O21" s="204"/>
      <c r="P21" s="204"/>
      <c r="Q21" s="204"/>
      <c r="R21" s="204"/>
      <c r="S21" s="204"/>
      <c r="T21" s="204"/>
      <c r="U21" s="204"/>
      <c r="V21" s="204"/>
      <c r="W21" s="204"/>
      <c r="X21" s="204"/>
      <c r="Y21" s="204"/>
      <c r="Z21" s="204"/>
      <c r="AA21" s="204"/>
      <c r="AB21" s="204"/>
      <c r="AC21" s="204"/>
      <c r="AD21" s="204"/>
      <c r="AE21" s="204"/>
      <c r="AF21" s="204"/>
      <c r="AG21" s="400"/>
      <c r="AH21" s="409"/>
    </row>
    <row r="22" spans="1:34" ht="15" hidden="1" outlineLevel="1" thickBot="1" x14ac:dyDescent="0.35">
      <c r="A22" s="182" t="s">
        <v>57</v>
      </c>
      <c r="B22" s="202"/>
      <c r="C22" s="203"/>
      <c r="D22" s="204"/>
      <c r="E22" s="204"/>
      <c r="F22" s="204"/>
      <c r="G22" s="204"/>
      <c r="H22" s="204"/>
      <c r="I22" s="204"/>
      <c r="J22" s="204"/>
      <c r="K22" s="204"/>
      <c r="L22" s="204"/>
      <c r="M22" s="204"/>
      <c r="N22" s="204"/>
      <c r="O22" s="204"/>
      <c r="P22" s="204"/>
      <c r="Q22" s="204"/>
      <c r="R22" s="204"/>
      <c r="S22" s="204"/>
      <c r="T22" s="204"/>
      <c r="U22" s="204"/>
      <c r="V22" s="204"/>
      <c r="W22" s="204"/>
      <c r="X22" s="204"/>
      <c r="Y22" s="204"/>
      <c r="Z22" s="204"/>
      <c r="AA22" s="204"/>
      <c r="AB22" s="204"/>
      <c r="AC22" s="204"/>
      <c r="AD22" s="204"/>
      <c r="AE22" s="204"/>
      <c r="AF22" s="204"/>
      <c r="AG22" s="400"/>
      <c r="AH22" s="409"/>
    </row>
    <row r="23" spans="1:34" ht="15" hidden="1" outlineLevel="1" thickBot="1" x14ac:dyDescent="0.35">
      <c r="A23" s="190" t="s">
        <v>52</v>
      </c>
      <c r="B23" s="205"/>
      <c r="C23" s="206"/>
      <c r="D23" s="207"/>
      <c r="E23" s="207"/>
      <c r="F23" s="207"/>
      <c r="G23" s="207"/>
      <c r="H23" s="207"/>
      <c r="I23" s="207"/>
      <c r="J23" s="207"/>
      <c r="K23" s="207"/>
      <c r="L23" s="207"/>
      <c r="M23" s="207"/>
      <c r="N23" s="207"/>
      <c r="O23" s="207"/>
      <c r="P23" s="207"/>
      <c r="Q23" s="207"/>
      <c r="R23" s="207"/>
      <c r="S23" s="207"/>
      <c r="T23" s="207"/>
      <c r="U23" s="207"/>
      <c r="V23" s="207"/>
      <c r="W23" s="207"/>
      <c r="X23" s="207"/>
      <c r="Y23" s="207"/>
      <c r="Z23" s="207"/>
      <c r="AA23" s="207"/>
      <c r="AB23" s="207"/>
      <c r="AC23" s="207"/>
      <c r="AD23" s="207"/>
      <c r="AE23" s="207"/>
      <c r="AF23" s="207"/>
      <c r="AG23" s="401"/>
      <c r="AH23" s="409"/>
    </row>
    <row r="24" spans="1:34" x14ac:dyDescent="0.3">
      <c r="A24" s="184" t="s">
        <v>147</v>
      </c>
      <c r="B24" s="231" t="s">
        <v>2</v>
      </c>
      <c r="C24" s="410" t="s">
        <v>158</v>
      </c>
      <c r="D24" s="385"/>
      <c r="E24" s="386"/>
      <c r="F24" s="386" t="s">
        <v>159</v>
      </c>
      <c r="G24" s="386"/>
      <c r="H24" s="386"/>
      <c r="I24" s="386"/>
      <c r="J24" s="386"/>
      <c r="K24" s="386"/>
      <c r="L24" s="386"/>
      <c r="M24" s="386"/>
      <c r="N24" s="386"/>
      <c r="O24" s="386"/>
      <c r="P24" s="386"/>
      <c r="Q24" s="386"/>
      <c r="R24" s="386"/>
      <c r="S24" s="386"/>
      <c r="T24" s="386"/>
      <c r="U24" s="386"/>
      <c r="V24" s="386"/>
      <c r="W24" s="386"/>
      <c r="X24" s="386"/>
      <c r="Y24" s="386"/>
      <c r="Z24" s="386"/>
      <c r="AA24" s="386"/>
      <c r="AB24" s="386"/>
      <c r="AC24" s="386"/>
      <c r="AD24" s="386"/>
      <c r="AE24" s="386"/>
      <c r="AF24" s="386"/>
      <c r="AG24" s="405" t="s">
        <v>160</v>
      </c>
      <c r="AH24" s="409"/>
    </row>
    <row r="25" spans="1:34" x14ac:dyDescent="0.3">
      <c r="A25" s="185" t="s">
        <v>55</v>
      </c>
      <c r="B25" s="202">
        <f xml:space="preserve">
SUM(C25:AG25)</f>
        <v>23197</v>
      </c>
      <c r="C25" s="411">
        <f xml:space="preserve">
IF($A$4&lt;=12,SUMIFS('ON Data'!H:H,'ON Data'!$D:$D,$A$4,'ON Data'!$E:$E,10),SUMIFS('ON Data'!H:H,'ON Data'!$E:$E,10))</f>
        <v>0</v>
      </c>
      <c r="D25" s="387"/>
      <c r="E25" s="388"/>
      <c r="F25" s="388">
        <f xml:space="preserve">
IF($A$4&lt;=12,SUMIFS('ON Data'!K:K,'ON Data'!$D:$D,$A$4,'ON Data'!$E:$E,10),SUMIFS('ON Data'!K:K,'ON Data'!$E:$E,10))</f>
        <v>23197</v>
      </c>
      <c r="G25" s="388"/>
      <c r="H25" s="388"/>
      <c r="I25" s="388"/>
      <c r="J25" s="388"/>
      <c r="K25" s="388"/>
      <c r="L25" s="388"/>
      <c r="M25" s="388"/>
      <c r="N25" s="388"/>
      <c r="O25" s="388"/>
      <c r="P25" s="388"/>
      <c r="Q25" s="388"/>
      <c r="R25" s="388"/>
      <c r="S25" s="388"/>
      <c r="T25" s="388"/>
      <c r="U25" s="388"/>
      <c r="V25" s="388"/>
      <c r="W25" s="388"/>
      <c r="X25" s="388"/>
      <c r="Y25" s="388"/>
      <c r="Z25" s="388"/>
      <c r="AA25" s="388"/>
      <c r="AB25" s="388"/>
      <c r="AC25" s="388"/>
      <c r="AD25" s="388"/>
      <c r="AE25" s="388"/>
      <c r="AF25" s="388"/>
      <c r="AG25" s="406">
        <f xml:space="preserve">
IF($A$4&lt;=12,SUMIFS('ON Data'!AM:AM,'ON Data'!$D:$D,$A$4,'ON Data'!$E:$E,10),SUMIFS('ON Data'!AM:AM,'ON Data'!$E:$E,10))</f>
        <v>0</v>
      </c>
      <c r="AH25" s="409"/>
    </row>
    <row r="26" spans="1:34" x14ac:dyDescent="0.3">
      <c r="A26" s="191" t="s">
        <v>157</v>
      </c>
      <c r="B26" s="211">
        <f xml:space="preserve">
SUM(C26:AG26)</f>
        <v>35206.5</v>
      </c>
      <c r="C26" s="411">
        <f xml:space="preserve">
IF($A$4&lt;=12,SUMIFS('ON Data'!H:H,'ON Data'!$D:$D,$A$4,'ON Data'!$E:$E,11),SUMIFS('ON Data'!H:H,'ON Data'!$E:$E,11))</f>
        <v>206.5</v>
      </c>
      <c r="D26" s="387"/>
      <c r="E26" s="388"/>
      <c r="F26" s="389">
        <f xml:space="preserve">
IF($A$4&lt;=12,SUMIFS('ON Data'!K:K,'ON Data'!$D:$D,$A$4,'ON Data'!$E:$E,11),SUMIFS('ON Data'!K:K,'ON Data'!$E:$E,11))</f>
        <v>35000</v>
      </c>
      <c r="G26" s="389"/>
      <c r="H26" s="389"/>
      <c r="I26" s="389"/>
      <c r="J26" s="389"/>
      <c r="K26" s="389"/>
      <c r="L26" s="389"/>
      <c r="M26" s="389"/>
      <c r="N26" s="389"/>
      <c r="O26" s="389"/>
      <c r="P26" s="389"/>
      <c r="Q26" s="389"/>
      <c r="R26" s="389"/>
      <c r="S26" s="389"/>
      <c r="T26" s="389"/>
      <c r="U26" s="389"/>
      <c r="V26" s="389"/>
      <c r="W26" s="389"/>
      <c r="X26" s="389"/>
      <c r="Y26" s="389"/>
      <c r="Z26" s="389"/>
      <c r="AA26" s="389"/>
      <c r="AB26" s="389"/>
      <c r="AC26" s="389"/>
      <c r="AD26" s="389"/>
      <c r="AE26" s="389"/>
      <c r="AF26" s="389"/>
      <c r="AG26" s="406">
        <f xml:space="preserve">
IF($A$4&lt;=12,SUMIFS('ON Data'!AM:AM,'ON Data'!$D:$D,$A$4,'ON Data'!$E:$E,11),SUMIFS('ON Data'!AM:AM,'ON Data'!$E:$E,11))</f>
        <v>0</v>
      </c>
      <c r="AH26" s="409"/>
    </row>
    <row r="27" spans="1:34" x14ac:dyDescent="0.3">
      <c r="A27" s="191" t="s">
        <v>57</v>
      </c>
      <c r="B27" s="232">
        <f xml:space="preserve">
IF(B26=0,0,B25/B26)</f>
        <v>0.65888401289534604</v>
      </c>
      <c r="C27" s="412">
        <f xml:space="preserve">
IF(C26=0,0,C25/C26)</f>
        <v>0</v>
      </c>
      <c r="D27" s="390"/>
      <c r="E27" s="391"/>
      <c r="F27" s="391">
        <f xml:space="preserve">
IF(F26=0,0,F25/F26)</f>
        <v>0.66277142857142857</v>
      </c>
      <c r="G27" s="391"/>
      <c r="H27" s="391"/>
      <c r="I27" s="391"/>
      <c r="J27" s="391"/>
      <c r="K27" s="391"/>
      <c r="L27" s="391"/>
      <c r="M27" s="391"/>
      <c r="N27" s="391"/>
      <c r="O27" s="391"/>
      <c r="P27" s="391"/>
      <c r="Q27" s="391"/>
      <c r="R27" s="391"/>
      <c r="S27" s="391"/>
      <c r="T27" s="391"/>
      <c r="U27" s="391"/>
      <c r="V27" s="391"/>
      <c r="W27" s="391"/>
      <c r="X27" s="391"/>
      <c r="Y27" s="391"/>
      <c r="Z27" s="391"/>
      <c r="AA27" s="391"/>
      <c r="AB27" s="391"/>
      <c r="AC27" s="391"/>
      <c r="AD27" s="391"/>
      <c r="AE27" s="391"/>
      <c r="AF27" s="391"/>
      <c r="AG27" s="407">
        <f xml:space="preserve">
IF(AG26=0,0,AG25/AG26)</f>
        <v>0</v>
      </c>
      <c r="AH27" s="409"/>
    </row>
    <row r="28" spans="1:34" ht="15" thickBot="1" x14ac:dyDescent="0.35">
      <c r="A28" s="191" t="s">
        <v>156</v>
      </c>
      <c r="B28" s="211">
        <f xml:space="preserve">
SUM(C28:AG28)</f>
        <v>12009.5</v>
      </c>
      <c r="C28" s="413">
        <f xml:space="preserve">
C26-C25</f>
        <v>206.5</v>
      </c>
      <c r="D28" s="392"/>
      <c r="E28" s="393"/>
      <c r="F28" s="393">
        <f xml:space="preserve">
F26-F25</f>
        <v>11803</v>
      </c>
      <c r="G28" s="393"/>
      <c r="H28" s="393"/>
      <c r="I28" s="393"/>
      <c r="J28" s="393"/>
      <c r="K28" s="393"/>
      <c r="L28" s="393"/>
      <c r="M28" s="393"/>
      <c r="N28" s="393"/>
      <c r="O28" s="393"/>
      <c r="P28" s="393"/>
      <c r="Q28" s="393"/>
      <c r="R28" s="393"/>
      <c r="S28" s="393"/>
      <c r="T28" s="393"/>
      <c r="U28" s="393"/>
      <c r="V28" s="393"/>
      <c r="W28" s="393"/>
      <c r="X28" s="393"/>
      <c r="Y28" s="393"/>
      <c r="Z28" s="393"/>
      <c r="AA28" s="393"/>
      <c r="AB28" s="393"/>
      <c r="AC28" s="393"/>
      <c r="AD28" s="393"/>
      <c r="AE28" s="393"/>
      <c r="AF28" s="393"/>
      <c r="AG28" s="408">
        <f xml:space="preserve">
AG26-AG25</f>
        <v>0</v>
      </c>
      <c r="AH28" s="409"/>
    </row>
    <row r="29" spans="1:34" x14ac:dyDescent="0.3">
      <c r="A29" s="192"/>
      <c r="B29" s="192"/>
      <c r="C29" s="193"/>
      <c r="D29" s="192"/>
      <c r="E29" s="192"/>
      <c r="F29" s="193"/>
      <c r="G29" s="193"/>
      <c r="H29" s="193"/>
      <c r="I29" s="193"/>
      <c r="J29" s="193"/>
      <c r="K29" s="193"/>
      <c r="L29" s="193"/>
      <c r="M29" s="193"/>
      <c r="N29" s="193"/>
      <c r="O29" s="193"/>
      <c r="P29" s="193"/>
      <c r="Q29" s="193"/>
      <c r="R29" s="193"/>
      <c r="S29" s="193"/>
      <c r="T29" s="193"/>
      <c r="U29" s="193"/>
      <c r="V29" s="193"/>
      <c r="W29" s="193"/>
      <c r="X29" s="193"/>
      <c r="Y29" s="193"/>
      <c r="Z29" s="193"/>
      <c r="AA29" s="193"/>
      <c r="AB29" s="193"/>
      <c r="AC29" s="193"/>
      <c r="AD29" s="193"/>
      <c r="AE29" s="192"/>
      <c r="AF29" s="192"/>
      <c r="AG29" s="192"/>
    </row>
    <row r="30" spans="1:34" x14ac:dyDescent="0.3">
      <c r="A30" s="79" t="s">
        <v>90</v>
      </c>
      <c r="B30" s="96"/>
      <c r="C30" s="96"/>
      <c r="D30" s="96"/>
      <c r="E30" s="96"/>
      <c r="F30" s="96"/>
      <c r="G30" s="96"/>
      <c r="H30" s="96"/>
      <c r="I30" s="96"/>
      <c r="J30" s="96"/>
      <c r="K30" s="96"/>
      <c r="L30" s="96"/>
      <c r="M30" s="96"/>
      <c r="N30" s="96"/>
      <c r="O30" s="96"/>
      <c r="P30" s="96"/>
      <c r="Q30" s="96"/>
      <c r="R30" s="96"/>
      <c r="S30" s="96"/>
      <c r="T30" s="96"/>
      <c r="U30" s="96"/>
      <c r="V30" s="96"/>
      <c r="W30" s="96"/>
      <c r="X30" s="96"/>
      <c r="Y30" s="96"/>
      <c r="Z30" s="96"/>
      <c r="AA30" s="96"/>
      <c r="AB30" s="96"/>
      <c r="AC30" s="96"/>
      <c r="AD30" s="96"/>
      <c r="AE30" s="96"/>
      <c r="AF30" s="96"/>
      <c r="AG30" s="114"/>
    </row>
    <row r="31" spans="1:34" x14ac:dyDescent="0.3">
      <c r="A31" s="80" t="s">
        <v>154</v>
      </c>
      <c r="B31" s="96"/>
      <c r="C31" s="96"/>
      <c r="D31" s="96"/>
      <c r="E31" s="96"/>
      <c r="F31" s="96"/>
      <c r="G31" s="96"/>
      <c r="H31" s="96"/>
      <c r="I31" s="96"/>
      <c r="J31" s="96"/>
      <c r="K31" s="96"/>
      <c r="L31" s="96"/>
      <c r="M31" s="96"/>
      <c r="N31" s="96"/>
      <c r="O31" s="96"/>
      <c r="P31" s="96"/>
      <c r="Q31" s="96"/>
      <c r="R31" s="96"/>
      <c r="S31" s="96"/>
      <c r="T31" s="96"/>
      <c r="U31" s="96"/>
      <c r="V31" s="96"/>
      <c r="W31" s="96"/>
      <c r="X31" s="96"/>
      <c r="Y31" s="96"/>
      <c r="Z31" s="96"/>
      <c r="AA31" s="96"/>
      <c r="AB31" s="96"/>
      <c r="AC31" s="96"/>
      <c r="AD31" s="96"/>
      <c r="AE31" s="96"/>
      <c r="AF31" s="96"/>
      <c r="AG31" s="114"/>
    </row>
    <row r="32" spans="1:34" ht="14.4" customHeight="1" x14ac:dyDescent="0.3">
      <c r="A32" s="228" t="s">
        <v>151</v>
      </c>
      <c r="B32" s="229"/>
      <c r="C32" s="229"/>
      <c r="D32" s="229"/>
      <c r="E32" s="229"/>
      <c r="F32" s="229"/>
      <c r="G32" s="229"/>
      <c r="H32" s="229"/>
      <c r="I32" s="229"/>
      <c r="J32" s="229"/>
      <c r="K32" s="229"/>
      <c r="L32" s="229"/>
      <c r="M32" s="229"/>
      <c r="N32" s="229"/>
      <c r="O32" s="229"/>
      <c r="P32" s="229"/>
      <c r="Q32" s="229"/>
      <c r="R32" s="229"/>
      <c r="S32" s="229"/>
      <c r="T32" s="229"/>
      <c r="U32" s="229"/>
      <c r="V32" s="229"/>
      <c r="W32" s="229"/>
      <c r="X32" s="229"/>
      <c r="Y32" s="229"/>
      <c r="Z32" s="229"/>
      <c r="AA32" s="229"/>
      <c r="AB32" s="229"/>
      <c r="AC32" s="229"/>
      <c r="AD32" s="229"/>
      <c r="AE32" s="229"/>
      <c r="AF32" s="229"/>
    </row>
    <row r="33" spans="1:1" x14ac:dyDescent="0.3">
      <c r="A33" s="230" t="s">
        <v>161</v>
      </c>
    </row>
    <row r="34" spans="1:1" x14ac:dyDescent="0.3">
      <c r="A34" s="230" t="s">
        <v>162</v>
      </c>
    </row>
    <row r="35" spans="1:1" x14ac:dyDescent="0.3">
      <c r="A35" s="230" t="s">
        <v>163</v>
      </c>
    </row>
    <row r="36" spans="1:1" x14ac:dyDescent="0.3">
      <c r="A36" s="230" t="s">
        <v>164</v>
      </c>
    </row>
  </sheetData>
  <mergeCells count="12">
    <mergeCell ref="C28:E28"/>
    <mergeCell ref="C27:E27"/>
    <mergeCell ref="F27:AF27"/>
    <mergeCell ref="F28:AF28"/>
    <mergeCell ref="C25:E25"/>
    <mergeCell ref="C26:E26"/>
    <mergeCell ref="F24:AF24"/>
    <mergeCell ref="F25:AF25"/>
    <mergeCell ref="F26:AF26"/>
    <mergeCell ref="A1:AG1"/>
    <mergeCell ref="B3:B4"/>
    <mergeCell ref="C24:E24"/>
  </mergeCells>
  <conditionalFormatting sqref="C27 AG27 F27">
    <cfRule type="cellIs" dxfId="1" priority="2" operator="greaterThan">
      <formula>1</formula>
    </cfRule>
  </conditionalFormatting>
  <conditionalFormatting sqref="C28 AG28 F28">
    <cfRule type="cellIs" dxfId="0" priority="1" operator="less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'ON Data'!$B$3:$B$16</xm:f>
          </x14:formula1>
          <xm:sqref>A4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N50"/>
  <sheetViews>
    <sheetView showGridLines="0" showRowColHeaders="0" workbookViewId="0"/>
  </sheetViews>
  <sheetFormatPr defaultRowHeight="14.4" x14ac:dyDescent="0.3"/>
  <cols>
    <col min="1" max="16384" width="8.88671875" style="171"/>
  </cols>
  <sheetData>
    <row r="1" spans="1:40" x14ac:dyDescent="0.3">
      <c r="A1" s="171" t="s">
        <v>1144</v>
      </c>
    </row>
    <row r="2" spans="1:40" x14ac:dyDescent="0.3">
      <c r="A2" s="175" t="s">
        <v>205</v>
      </c>
    </row>
    <row r="3" spans="1:40" x14ac:dyDescent="0.3">
      <c r="A3" s="171" t="s">
        <v>121</v>
      </c>
      <c r="B3" s="196">
        <v>2014</v>
      </c>
      <c r="D3" s="172">
        <f>MAX(D5:D1048576)</f>
        <v>7</v>
      </c>
      <c r="F3" s="172">
        <f>SUMIF($E5:$E1048576,"&lt;10",F5:F1048576)</f>
        <v>10437031.199999999</v>
      </c>
      <c r="G3" s="172">
        <f t="shared" ref="G3:AN3" si="0">SUMIF($E5:$E1048576,"&lt;10",G5:G1048576)</f>
        <v>0</v>
      </c>
      <c r="H3" s="172">
        <f t="shared" si="0"/>
        <v>69478.7</v>
      </c>
      <c r="I3" s="172">
        <f t="shared" si="0"/>
        <v>0</v>
      </c>
      <c r="J3" s="172">
        <f t="shared" si="0"/>
        <v>0</v>
      </c>
      <c r="K3" s="172">
        <f t="shared" si="0"/>
        <v>8308221</v>
      </c>
      <c r="L3" s="172">
        <f t="shared" si="0"/>
        <v>0</v>
      </c>
      <c r="M3" s="172">
        <f t="shared" si="0"/>
        <v>0</v>
      </c>
      <c r="N3" s="172">
        <f t="shared" si="0"/>
        <v>0</v>
      </c>
      <c r="O3" s="172">
        <f t="shared" si="0"/>
        <v>0</v>
      </c>
      <c r="P3" s="172">
        <f t="shared" si="0"/>
        <v>0</v>
      </c>
      <c r="Q3" s="172">
        <f t="shared" si="0"/>
        <v>0</v>
      </c>
      <c r="R3" s="172">
        <f t="shared" si="0"/>
        <v>0</v>
      </c>
      <c r="S3" s="172">
        <f t="shared" si="0"/>
        <v>0</v>
      </c>
      <c r="T3" s="172">
        <f t="shared" si="0"/>
        <v>0</v>
      </c>
      <c r="U3" s="172">
        <f t="shared" si="0"/>
        <v>0</v>
      </c>
      <c r="V3" s="172">
        <f t="shared" si="0"/>
        <v>0</v>
      </c>
      <c r="W3" s="172">
        <f t="shared" si="0"/>
        <v>0</v>
      </c>
      <c r="X3" s="172">
        <f t="shared" si="0"/>
        <v>0</v>
      </c>
      <c r="Y3" s="172">
        <f t="shared" si="0"/>
        <v>0</v>
      </c>
      <c r="Z3" s="172">
        <f t="shared" si="0"/>
        <v>0</v>
      </c>
      <c r="AA3" s="172">
        <f t="shared" si="0"/>
        <v>0</v>
      </c>
      <c r="AB3" s="172">
        <f t="shared" si="0"/>
        <v>0</v>
      </c>
      <c r="AC3" s="172">
        <f t="shared" si="0"/>
        <v>0</v>
      </c>
      <c r="AD3" s="172">
        <f t="shared" si="0"/>
        <v>0</v>
      </c>
      <c r="AE3" s="172">
        <f t="shared" si="0"/>
        <v>0</v>
      </c>
      <c r="AF3" s="172">
        <f t="shared" si="0"/>
        <v>0</v>
      </c>
      <c r="AG3" s="172">
        <f t="shared" si="0"/>
        <v>0</v>
      </c>
      <c r="AH3" s="172">
        <f t="shared" si="0"/>
        <v>2059331.5</v>
      </c>
      <c r="AI3" s="172">
        <f t="shared" si="0"/>
        <v>0</v>
      </c>
      <c r="AJ3" s="172">
        <f t="shared" si="0"/>
        <v>0</v>
      </c>
      <c r="AK3" s="172">
        <f t="shared" si="0"/>
        <v>0</v>
      </c>
      <c r="AL3" s="172">
        <f t="shared" si="0"/>
        <v>0</v>
      </c>
      <c r="AM3" s="172">
        <f t="shared" si="0"/>
        <v>0</v>
      </c>
      <c r="AN3" s="172">
        <f t="shared" si="0"/>
        <v>0</v>
      </c>
    </row>
    <row r="4" spans="1:40" x14ac:dyDescent="0.3">
      <c r="A4" s="171" t="s">
        <v>122</v>
      </c>
      <c r="B4" s="196">
        <v>1</v>
      </c>
      <c r="C4" s="173" t="s">
        <v>4</v>
      </c>
      <c r="D4" s="174" t="s">
        <v>51</v>
      </c>
      <c r="E4" s="174" t="s">
        <v>116</v>
      </c>
      <c r="F4" s="174" t="s">
        <v>2</v>
      </c>
      <c r="G4" s="174" t="s">
        <v>117</v>
      </c>
      <c r="H4" s="174" t="s">
        <v>118</v>
      </c>
      <c r="I4" s="174" t="s">
        <v>119</v>
      </c>
      <c r="J4" s="174" t="s">
        <v>120</v>
      </c>
      <c r="K4" s="174">
        <v>305</v>
      </c>
      <c r="L4" s="174">
        <v>306</v>
      </c>
      <c r="M4" s="174">
        <v>408</v>
      </c>
      <c r="N4" s="174">
        <v>409</v>
      </c>
      <c r="O4" s="174">
        <v>410</v>
      </c>
      <c r="P4" s="174">
        <v>415</v>
      </c>
      <c r="Q4" s="174">
        <v>416</v>
      </c>
      <c r="R4" s="174">
        <v>418</v>
      </c>
      <c r="S4" s="174">
        <v>419</v>
      </c>
      <c r="T4" s="174">
        <v>420</v>
      </c>
      <c r="U4" s="174">
        <v>421</v>
      </c>
      <c r="V4" s="174">
        <v>522</v>
      </c>
      <c r="W4" s="174">
        <v>523</v>
      </c>
      <c r="X4" s="174">
        <v>524</v>
      </c>
      <c r="Y4" s="174">
        <v>525</v>
      </c>
      <c r="Z4" s="174">
        <v>526</v>
      </c>
      <c r="AA4" s="174">
        <v>527</v>
      </c>
      <c r="AB4" s="174">
        <v>528</v>
      </c>
      <c r="AC4" s="174">
        <v>629</v>
      </c>
      <c r="AD4" s="174">
        <v>630</v>
      </c>
      <c r="AE4" s="174">
        <v>636</v>
      </c>
      <c r="AF4" s="174">
        <v>637</v>
      </c>
      <c r="AG4" s="174">
        <v>640</v>
      </c>
      <c r="AH4" s="174">
        <v>642</v>
      </c>
      <c r="AI4" s="174">
        <v>743</v>
      </c>
      <c r="AJ4" s="174">
        <v>745</v>
      </c>
      <c r="AK4" s="174">
        <v>746</v>
      </c>
      <c r="AL4" s="174">
        <v>747</v>
      </c>
      <c r="AM4" s="174">
        <v>930</v>
      </c>
      <c r="AN4" s="174">
        <v>940</v>
      </c>
    </row>
    <row r="5" spans="1:40" x14ac:dyDescent="0.3">
      <c r="A5" s="171" t="s">
        <v>123</v>
      </c>
      <c r="B5" s="196">
        <v>2</v>
      </c>
      <c r="C5" s="171">
        <v>47</v>
      </c>
      <c r="D5" s="171">
        <v>1</v>
      </c>
      <c r="E5" s="171">
        <v>1</v>
      </c>
      <c r="F5" s="171">
        <v>53.9</v>
      </c>
      <c r="G5" s="171">
        <v>0</v>
      </c>
      <c r="H5" s="171">
        <v>0.1</v>
      </c>
      <c r="I5" s="171">
        <v>0</v>
      </c>
      <c r="J5" s="171">
        <v>0</v>
      </c>
      <c r="K5" s="171">
        <v>39.799999999999997</v>
      </c>
      <c r="L5" s="171">
        <v>0</v>
      </c>
      <c r="M5" s="171">
        <v>0</v>
      </c>
      <c r="N5" s="171">
        <v>0</v>
      </c>
      <c r="O5" s="171">
        <v>0</v>
      </c>
      <c r="P5" s="171">
        <v>0</v>
      </c>
      <c r="Q5" s="171">
        <v>0</v>
      </c>
      <c r="R5" s="171">
        <v>0</v>
      </c>
      <c r="S5" s="171">
        <v>0</v>
      </c>
      <c r="T5" s="171">
        <v>0</v>
      </c>
      <c r="U5" s="171">
        <v>0</v>
      </c>
      <c r="V5" s="171">
        <v>0</v>
      </c>
      <c r="W5" s="171">
        <v>0</v>
      </c>
      <c r="X5" s="171">
        <v>0</v>
      </c>
      <c r="Y5" s="171">
        <v>0</v>
      </c>
      <c r="Z5" s="171">
        <v>0</v>
      </c>
      <c r="AA5" s="171">
        <v>0</v>
      </c>
      <c r="AB5" s="171">
        <v>0</v>
      </c>
      <c r="AC5" s="171">
        <v>0</v>
      </c>
      <c r="AD5" s="171">
        <v>0</v>
      </c>
      <c r="AE5" s="171">
        <v>0</v>
      </c>
      <c r="AF5" s="171">
        <v>0</v>
      </c>
      <c r="AG5" s="171">
        <v>0</v>
      </c>
      <c r="AH5" s="171">
        <v>14</v>
      </c>
      <c r="AI5" s="171">
        <v>0</v>
      </c>
      <c r="AJ5" s="171">
        <v>0</v>
      </c>
      <c r="AK5" s="171">
        <v>0</v>
      </c>
      <c r="AL5" s="171">
        <v>0</v>
      </c>
      <c r="AM5" s="171">
        <v>0</v>
      </c>
      <c r="AN5" s="171">
        <v>0</v>
      </c>
    </row>
    <row r="6" spans="1:40" x14ac:dyDescent="0.3">
      <c r="A6" s="171" t="s">
        <v>124</v>
      </c>
      <c r="B6" s="196">
        <v>3</v>
      </c>
      <c r="C6" s="171">
        <v>47</v>
      </c>
      <c r="D6" s="171">
        <v>1</v>
      </c>
      <c r="E6" s="171">
        <v>2</v>
      </c>
      <c r="F6" s="171">
        <v>8056.95</v>
      </c>
      <c r="G6" s="171">
        <v>0</v>
      </c>
      <c r="H6" s="171">
        <v>18.399999999999999</v>
      </c>
      <c r="I6" s="171">
        <v>0</v>
      </c>
      <c r="J6" s="171">
        <v>0</v>
      </c>
      <c r="K6" s="171">
        <v>5852.55</v>
      </c>
      <c r="L6" s="171">
        <v>0</v>
      </c>
      <c r="M6" s="171">
        <v>0</v>
      </c>
      <c r="N6" s="171">
        <v>0</v>
      </c>
      <c r="O6" s="171">
        <v>0</v>
      </c>
      <c r="P6" s="171">
        <v>0</v>
      </c>
      <c r="Q6" s="171">
        <v>0</v>
      </c>
      <c r="R6" s="171">
        <v>0</v>
      </c>
      <c r="S6" s="171">
        <v>0</v>
      </c>
      <c r="T6" s="171">
        <v>0</v>
      </c>
      <c r="U6" s="171">
        <v>0</v>
      </c>
      <c r="V6" s="171">
        <v>0</v>
      </c>
      <c r="W6" s="171">
        <v>0</v>
      </c>
      <c r="X6" s="171">
        <v>0</v>
      </c>
      <c r="Y6" s="171">
        <v>0</v>
      </c>
      <c r="Z6" s="171">
        <v>0</v>
      </c>
      <c r="AA6" s="171">
        <v>0</v>
      </c>
      <c r="AB6" s="171">
        <v>0</v>
      </c>
      <c r="AC6" s="171">
        <v>0</v>
      </c>
      <c r="AD6" s="171">
        <v>0</v>
      </c>
      <c r="AE6" s="171">
        <v>0</v>
      </c>
      <c r="AF6" s="171">
        <v>0</v>
      </c>
      <c r="AG6" s="171">
        <v>0</v>
      </c>
      <c r="AH6" s="171">
        <v>2186</v>
      </c>
      <c r="AI6" s="171">
        <v>0</v>
      </c>
      <c r="AJ6" s="171">
        <v>0</v>
      </c>
      <c r="AK6" s="171">
        <v>0</v>
      </c>
      <c r="AL6" s="171">
        <v>0</v>
      </c>
      <c r="AM6" s="171">
        <v>0</v>
      </c>
      <c r="AN6" s="171">
        <v>0</v>
      </c>
    </row>
    <row r="7" spans="1:40" x14ac:dyDescent="0.3">
      <c r="A7" s="171" t="s">
        <v>125</v>
      </c>
      <c r="B7" s="196">
        <v>4</v>
      </c>
      <c r="C7" s="171">
        <v>47</v>
      </c>
      <c r="D7" s="171">
        <v>1</v>
      </c>
      <c r="E7" s="171">
        <v>6</v>
      </c>
      <c r="F7" s="171">
        <v>1277664</v>
      </c>
      <c r="G7" s="171">
        <v>0</v>
      </c>
      <c r="H7" s="171">
        <v>9338</v>
      </c>
      <c r="I7" s="171">
        <v>0</v>
      </c>
      <c r="J7" s="171">
        <v>0</v>
      </c>
      <c r="K7" s="171">
        <v>1028829</v>
      </c>
      <c r="L7" s="171">
        <v>0</v>
      </c>
      <c r="M7" s="171">
        <v>0</v>
      </c>
      <c r="N7" s="171">
        <v>0</v>
      </c>
      <c r="O7" s="171">
        <v>0</v>
      </c>
      <c r="P7" s="171">
        <v>0</v>
      </c>
      <c r="Q7" s="171">
        <v>0</v>
      </c>
      <c r="R7" s="171">
        <v>0</v>
      </c>
      <c r="S7" s="171">
        <v>0</v>
      </c>
      <c r="T7" s="171">
        <v>0</v>
      </c>
      <c r="U7" s="171">
        <v>0</v>
      </c>
      <c r="V7" s="171">
        <v>0</v>
      </c>
      <c r="W7" s="171">
        <v>0</v>
      </c>
      <c r="X7" s="171">
        <v>0</v>
      </c>
      <c r="Y7" s="171">
        <v>0</v>
      </c>
      <c r="Z7" s="171">
        <v>0</v>
      </c>
      <c r="AA7" s="171">
        <v>0</v>
      </c>
      <c r="AB7" s="171">
        <v>0</v>
      </c>
      <c r="AC7" s="171">
        <v>0</v>
      </c>
      <c r="AD7" s="171">
        <v>0</v>
      </c>
      <c r="AE7" s="171">
        <v>0</v>
      </c>
      <c r="AF7" s="171">
        <v>0</v>
      </c>
      <c r="AG7" s="171">
        <v>0</v>
      </c>
      <c r="AH7" s="171">
        <v>239497</v>
      </c>
      <c r="AI7" s="171">
        <v>0</v>
      </c>
      <c r="AJ7" s="171">
        <v>0</v>
      </c>
      <c r="AK7" s="171">
        <v>0</v>
      </c>
      <c r="AL7" s="171">
        <v>0</v>
      </c>
      <c r="AM7" s="171">
        <v>0</v>
      </c>
      <c r="AN7" s="171">
        <v>0</v>
      </c>
    </row>
    <row r="8" spans="1:40" x14ac:dyDescent="0.3">
      <c r="A8" s="171" t="s">
        <v>126</v>
      </c>
      <c r="B8" s="196">
        <v>5</v>
      </c>
      <c r="C8" s="171">
        <v>47</v>
      </c>
      <c r="D8" s="171">
        <v>1</v>
      </c>
      <c r="E8" s="171">
        <v>9</v>
      </c>
      <c r="F8" s="171">
        <v>5900</v>
      </c>
      <c r="G8" s="171">
        <v>0</v>
      </c>
      <c r="H8" s="171">
        <v>0</v>
      </c>
      <c r="I8" s="171">
        <v>0</v>
      </c>
      <c r="J8" s="171">
        <v>0</v>
      </c>
      <c r="K8" s="171">
        <v>0</v>
      </c>
      <c r="L8" s="171">
        <v>0</v>
      </c>
      <c r="M8" s="171">
        <v>0</v>
      </c>
      <c r="N8" s="171">
        <v>0</v>
      </c>
      <c r="O8" s="171">
        <v>0</v>
      </c>
      <c r="P8" s="171">
        <v>0</v>
      </c>
      <c r="Q8" s="171">
        <v>0</v>
      </c>
      <c r="R8" s="171">
        <v>0</v>
      </c>
      <c r="S8" s="171">
        <v>0</v>
      </c>
      <c r="T8" s="171">
        <v>0</v>
      </c>
      <c r="U8" s="171">
        <v>0</v>
      </c>
      <c r="V8" s="171">
        <v>0</v>
      </c>
      <c r="W8" s="171">
        <v>0</v>
      </c>
      <c r="X8" s="171">
        <v>0</v>
      </c>
      <c r="Y8" s="171">
        <v>0</v>
      </c>
      <c r="Z8" s="171">
        <v>0</v>
      </c>
      <c r="AA8" s="171">
        <v>0</v>
      </c>
      <c r="AB8" s="171">
        <v>0</v>
      </c>
      <c r="AC8" s="171">
        <v>0</v>
      </c>
      <c r="AD8" s="171">
        <v>0</v>
      </c>
      <c r="AE8" s="171">
        <v>0</v>
      </c>
      <c r="AF8" s="171">
        <v>0</v>
      </c>
      <c r="AG8" s="171">
        <v>0</v>
      </c>
      <c r="AH8" s="171">
        <v>5900</v>
      </c>
      <c r="AI8" s="171">
        <v>0</v>
      </c>
      <c r="AJ8" s="171">
        <v>0</v>
      </c>
      <c r="AK8" s="171">
        <v>0</v>
      </c>
      <c r="AL8" s="171">
        <v>0</v>
      </c>
      <c r="AM8" s="171">
        <v>0</v>
      </c>
      <c r="AN8" s="171">
        <v>0</v>
      </c>
    </row>
    <row r="9" spans="1:40" x14ac:dyDescent="0.3">
      <c r="A9" s="171" t="s">
        <v>127</v>
      </c>
      <c r="B9" s="196">
        <v>6</v>
      </c>
      <c r="C9" s="171">
        <v>47</v>
      </c>
      <c r="D9" s="171">
        <v>1</v>
      </c>
      <c r="E9" s="171">
        <v>10</v>
      </c>
      <c r="F9" s="171">
        <v>500</v>
      </c>
      <c r="G9" s="171">
        <v>0</v>
      </c>
      <c r="H9" s="171">
        <v>0</v>
      </c>
      <c r="I9" s="171">
        <v>0</v>
      </c>
      <c r="J9" s="171">
        <v>0</v>
      </c>
      <c r="K9" s="171">
        <v>500</v>
      </c>
      <c r="L9" s="171">
        <v>0</v>
      </c>
      <c r="M9" s="171">
        <v>0</v>
      </c>
      <c r="N9" s="171">
        <v>0</v>
      </c>
      <c r="O9" s="171">
        <v>0</v>
      </c>
      <c r="P9" s="171">
        <v>0</v>
      </c>
      <c r="Q9" s="171">
        <v>0</v>
      </c>
      <c r="R9" s="171">
        <v>0</v>
      </c>
      <c r="S9" s="171">
        <v>0</v>
      </c>
      <c r="T9" s="171">
        <v>0</v>
      </c>
      <c r="U9" s="171">
        <v>0</v>
      </c>
      <c r="V9" s="171">
        <v>0</v>
      </c>
      <c r="W9" s="171">
        <v>0</v>
      </c>
      <c r="X9" s="171">
        <v>0</v>
      </c>
      <c r="Y9" s="171">
        <v>0</v>
      </c>
      <c r="Z9" s="171">
        <v>0</v>
      </c>
      <c r="AA9" s="171">
        <v>0</v>
      </c>
      <c r="AB9" s="171">
        <v>0</v>
      </c>
      <c r="AC9" s="171">
        <v>0</v>
      </c>
      <c r="AD9" s="171">
        <v>0</v>
      </c>
      <c r="AE9" s="171">
        <v>0</v>
      </c>
      <c r="AF9" s="171">
        <v>0</v>
      </c>
      <c r="AG9" s="171">
        <v>0</v>
      </c>
      <c r="AH9" s="171">
        <v>0</v>
      </c>
      <c r="AI9" s="171">
        <v>0</v>
      </c>
      <c r="AJ9" s="171">
        <v>0</v>
      </c>
      <c r="AK9" s="171">
        <v>0</v>
      </c>
      <c r="AL9" s="171">
        <v>0</v>
      </c>
      <c r="AM9" s="171">
        <v>0</v>
      </c>
      <c r="AN9" s="171">
        <v>0</v>
      </c>
    </row>
    <row r="10" spans="1:40" x14ac:dyDescent="0.3">
      <c r="A10" s="171" t="s">
        <v>128</v>
      </c>
      <c r="B10" s="196">
        <v>7</v>
      </c>
      <c r="C10" s="171">
        <v>47</v>
      </c>
      <c r="D10" s="171">
        <v>1</v>
      </c>
      <c r="E10" s="171">
        <v>11</v>
      </c>
      <c r="F10" s="171">
        <v>5029.5</v>
      </c>
      <c r="G10" s="171">
        <v>0</v>
      </c>
      <c r="H10" s="171">
        <v>29.5</v>
      </c>
      <c r="I10" s="171">
        <v>0</v>
      </c>
      <c r="J10" s="171">
        <v>0</v>
      </c>
      <c r="K10" s="171">
        <v>5000</v>
      </c>
      <c r="L10" s="171">
        <v>0</v>
      </c>
      <c r="M10" s="171">
        <v>0</v>
      </c>
      <c r="N10" s="171">
        <v>0</v>
      </c>
      <c r="O10" s="171">
        <v>0</v>
      </c>
      <c r="P10" s="171">
        <v>0</v>
      </c>
      <c r="Q10" s="171">
        <v>0</v>
      </c>
      <c r="R10" s="171">
        <v>0</v>
      </c>
      <c r="S10" s="171">
        <v>0</v>
      </c>
      <c r="T10" s="171">
        <v>0</v>
      </c>
      <c r="U10" s="171">
        <v>0</v>
      </c>
      <c r="V10" s="171">
        <v>0</v>
      </c>
      <c r="W10" s="171">
        <v>0</v>
      </c>
      <c r="X10" s="171">
        <v>0</v>
      </c>
      <c r="Y10" s="171">
        <v>0</v>
      </c>
      <c r="Z10" s="171">
        <v>0</v>
      </c>
      <c r="AA10" s="171">
        <v>0</v>
      </c>
      <c r="AB10" s="171">
        <v>0</v>
      </c>
      <c r="AC10" s="171">
        <v>0</v>
      </c>
      <c r="AD10" s="171">
        <v>0</v>
      </c>
      <c r="AE10" s="171">
        <v>0</v>
      </c>
      <c r="AF10" s="171">
        <v>0</v>
      </c>
      <c r="AG10" s="171">
        <v>0</v>
      </c>
      <c r="AH10" s="171">
        <v>0</v>
      </c>
      <c r="AI10" s="171">
        <v>0</v>
      </c>
      <c r="AJ10" s="171">
        <v>0</v>
      </c>
      <c r="AK10" s="171">
        <v>0</v>
      </c>
      <c r="AL10" s="171">
        <v>0</v>
      </c>
      <c r="AM10" s="171">
        <v>0</v>
      </c>
      <c r="AN10" s="171">
        <v>0</v>
      </c>
    </row>
    <row r="11" spans="1:40" x14ac:dyDescent="0.3">
      <c r="A11" s="171" t="s">
        <v>129</v>
      </c>
      <c r="B11" s="196">
        <v>8</v>
      </c>
      <c r="C11" s="171">
        <v>47</v>
      </c>
      <c r="D11" s="171">
        <v>2</v>
      </c>
      <c r="E11" s="171">
        <v>1</v>
      </c>
      <c r="F11" s="171">
        <v>52.9</v>
      </c>
      <c r="G11" s="171">
        <v>0</v>
      </c>
      <c r="H11" s="171">
        <v>0.1</v>
      </c>
      <c r="I11" s="171">
        <v>0</v>
      </c>
      <c r="J11" s="171">
        <v>0</v>
      </c>
      <c r="K11" s="171">
        <v>38.799999999999997</v>
      </c>
      <c r="L11" s="171">
        <v>0</v>
      </c>
      <c r="M11" s="171">
        <v>0</v>
      </c>
      <c r="N11" s="171">
        <v>0</v>
      </c>
      <c r="O11" s="171">
        <v>0</v>
      </c>
      <c r="P11" s="171">
        <v>0</v>
      </c>
      <c r="Q11" s="171">
        <v>0</v>
      </c>
      <c r="R11" s="171">
        <v>0</v>
      </c>
      <c r="S11" s="171">
        <v>0</v>
      </c>
      <c r="T11" s="171">
        <v>0</v>
      </c>
      <c r="U11" s="171">
        <v>0</v>
      </c>
      <c r="V11" s="171">
        <v>0</v>
      </c>
      <c r="W11" s="171">
        <v>0</v>
      </c>
      <c r="X11" s="171">
        <v>0</v>
      </c>
      <c r="Y11" s="171">
        <v>0</v>
      </c>
      <c r="Z11" s="171">
        <v>0</v>
      </c>
      <c r="AA11" s="171">
        <v>0</v>
      </c>
      <c r="AB11" s="171">
        <v>0</v>
      </c>
      <c r="AC11" s="171">
        <v>0</v>
      </c>
      <c r="AD11" s="171">
        <v>0</v>
      </c>
      <c r="AE11" s="171">
        <v>0</v>
      </c>
      <c r="AF11" s="171">
        <v>0</v>
      </c>
      <c r="AG11" s="171">
        <v>0</v>
      </c>
      <c r="AH11" s="171">
        <v>14</v>
      </c>
      <c r="AI11" s="171">
        <v>0</v>
      </c>
      <c r="AJ11" s="171">
        <v>0</v>
      </c>
      <c r="AK11" s="171">
        <v>0</v>
      </c>
      <c r="AL11" s="171">
        <v>0</v>
      </c>
      <c r="AM11" s="171">
        <v>0</v>
      </c>
      <c r="AN11" s="171">
        <v>0</v>
      </c>
    </row>
    <row r="12" spans="1:40" x14ac:dyDescent="0.3">
      <c r="A12" s="171" t="s">
        <v>130</v>
      </c>
      <c r="B12" s="196">
        <v>9</v>
      </c>
      <c r="C12" s="171">
        <v>47</v>
      </c>
      <c r="D12" s="171">
        <v>2</v>
      </c>
      <c r="E12" s="171">
        <v>2</v>
      </c>
      <c r="F12" s="171">
        <v>7237.1</v>
      </c>
      <c r="G12" s="171">
        <v>0</v>
      </c>
      <c r="H12" s="171">
        <v>16</v>
      </c>
      <c r="I12" s="171">
        <v>0</v>
      </c>
      <c r="J12" s="171">
        <v>0</v>
      </c>
      <c r="K12" s="171">
        <v>5266.1</v>
      </c>
      <c r="L12" s="171">
        <v>0</v>
      </c>
      <c r="M12" s="171">
        <v>0</v>
      </c>
      <c r="N12" s="171">
        <v>0</v>
      </c>
      <c r="O12" s="171">
        <v>0</v>
      </c>
      <c r="P12" s="171">
        <v>0</v>
      </c>
      <c r="Q12" s="171">
        <v>0</v>
      </c>
      <c r="R12" s="171">
        <v>0</v>
      </c>
      <c r="S12" s="171">
        <v>0</v>
      </c>
      <c r="T12" s="171">
        <v>0</v>
      </c>
      <c r="U12" s="171">
        <v>0</v>
      </c>
      <c r="V12" s="171">
        <v>0</v>
      </c>
      <c r="W12" s="171">
        <v>0</v>
      </c>
      <c r="X12" s="171">
        <v>0</v>
      </c>
      <c r="Y12" s="171">
        <v>0</v>
      </c>
      <c r="Z12" s="171">
        <v>0</v>
      </c>
      <c r="AA12" s="171">
        <v>0</v>
      </c>
      <c r="AB12" s="171">
        <v>0</v>
      </c>
      <c r="AC12" s="171">
        <v>0</v>
      </c>
      <c r="AD12" s="171">
        <v>0</v>
      </c>
      <c r="AE12" s="171">
        <v>0</v>
      </c>
      <c r="AF12" s="171">
        <v>0</v>
      </c>
      <c r="AG12" s="171">
        <v>0</v>
      </c>
      <c r="AH12" s="171">
        <v>1955</v>
      </c>
      <c r="AI12" s="171">
        <v>0</v>
      </c>
      <c r="AJ12" s="171">
        <v>0</v>
      </c>
      <c r="AK12" s="171">
        <v>0</v>
      </c>
      <c r="AL12" s="171">
        <v>0</v>
      </c>
      <c r="AM12" s="171">
        <v>0</v>
      </c>
      <c r="AN12" s="171">
        <v>0</v>
      </c>
    </row>
    <row r="13" spans="1:40" x14ac:dyDescent="0.3">
      <c r="A13" s="171" t="s">
        <v>131</v>
      </c>
      <c r="B13" s="196">
        <v>10</v>
      </c>
      <c r="C13" s="171">
        <v>47</v>
      </c>
      <c r="D13" s="171">
        <v>2</v>
      </c>
      <c r="E13" s="171">
        <v>4</v>
      </c>
      <c r="F13" s="171">
        <v>170</v>
      </c>
      <c r="G13" s="171">
        <v>0</v>
      </c>
      <c r="H13" s="171">
        <v>0</v>
      </c>
      <c r="I13" s="171">
        <v>0</v>
      </c>
      <c r="J13" s="171">
        <v>0</v>
      </c>
      <c r="K13" s="171">
        <v>0</v>
      </c>
      <c r="L13" s="171">
        <v>0</v>
      </c>
      <c r="M13" s="171">
        <v>0</v>
      </c>
      <c r="N13" s="171">
        <v>0</v>
      </c>
      <c r="O13" s="171">
        <v>0</v>
      </c>
      <c r="P13" s="171">
        <v>0</v>
      </c>
      <c r="Q13" s="171">
        <v>0</v>
      </c>
      <c r="R13" s="171">
        <v>0</v>
      </c>
      <c r="S13" s="171">
        <v>0</v>
      </c>
      <c r="T13" s="171">
        <v>0</v>
      </c>
      <c r="U13" s="171">
        <v>0</v>
      </c>
      <c r="V13" s="171">
        <v>0</v>
      </c>
      <c r="W13" s="171">
        <v>0</v>
      </c>
      <c r="X13" s="171">
        <v>0</v>
      </c>
      <c r="Y13" s="171">
        <v>0</v>
      </c>
      <c r="Z13" s="171">
        <v>0</v>
      </c>
      <c r="AA13" s="171">
        <v>0</v>
      </c>
      <c r="AB13" s="171">
        <v>0</v>
      </c>
      <c r="AC13" s="171">
        <v>0</v>
      </c>
      <c r="AD13" s="171">
        <v>0</v>
      </c>
      <c r="AE13" s="171">
        <v>0</v>
      </c>
      <c r="AF13" s="171">
        <v>0</v>
      </c>
      <c r="AG13" s="171">
        <v>0</v>
      </c>
      <c r="AH13" s="171">
        <v>170</v>
      </c>
      <c r="AI13" s="171">
        <v>0</v>
      </c>
      <c r="AJ13" s="171">
        <v>0</v>
      </c>
      <c r="AK13" s="171">
        <v>0</v>
      </c>
      <c r="AL13" s="171">
        <v>0</v>
      </c>
      <c r="AM13" s="171">
        <v>0</v>
      </c>
      <c r="AN13" s="171">
        <v>0</v>
      </c>
    </row>
    <row r="14" spans="1:40" x14ac:dyDescent="0.3">
      <c r="A14" s="171" t="s">
        <v>132</v>
      </c>
      <c r="B14" s="196">
        <v>11</v>
      </c>
      <c r="C14" s="171">
        <v>47</v>
      </c>
      <c r="D14" s="171">
        <v>2</v>
      </c>
      <c r="E14" s="171">
        <v>6</v>
      </c>
      <c r="F14" s="171">
        <v>1271771</v>
      </c>
      <c r="G14" s="171">
        <v>0</v>
      </c>
      <c r="H14" s="171">
        <v>9338</v>
      </c>
      <c r="I14" s="171">
        <v>0</v>
      </c>
      <c r="J14" s="171">
        <v>0</v>
      </c>
      <c r="K14" s="171">
        <v>991267</v>
      </c>
      <c r="L14" s="171">
        <v>0</v>
      </c>
      <c r="M14" s="171">
        <v>0</v>
      </c>
      <c r="N14" s="171">
        <v>0</v>
      </c>
      <c r="O14" s="171">
        <v>0</v>
      </c>
      <c r="P14" s="171">
        <v>0</v>
      </c>
      <c r="Q14" s="171">
        <v>0</v>
      </c>
      <c r="R14" s="171">
        <v>0</v>
      </c>
      <c r="S14" s="171">
        <v>0</v>
      </c>
      <c r="T14" s="171">
        <v>0</v>
      </c>
      <c r="U14" s="171">
        <v>0</v>
      </c>
      <c r="V14" s="171">
        <v>0</v>
      </c>
      <c r="W14" s="171">
        <v>0</v>
      </c>
      <c r="X14" s="171">
        <v>0</v>
      </c>
      <c r="Y14" s="171">
        <v>0</v>
      </c>
      <c r="Z14" s="171">
        <v>0</v>
      </c>
      <c r="AA14" s="171">
        <v>0</v>
      </c>
      <c r="AB14" s="171">
        <v>0</v>
      </c>
      <c r="AC14" s="171">
        <v>0</v>
      </c>
      <c r="AD14" s="171">
        <v>0</v>
      </c>
      <c r="AE14" s="171">
        <v>0</v>
      </c>
      <c r="AF14" s="171">
        <v>0</v>
      </c>
      <c r="AG14" s="171">
        <v>0</v>
      </c>
      <c r="AH14" s="171">
        <v>271166</v>
      </c>
      <c r="AI14" s="171">
        <v>0</v>
      </c>
      <c r="AJ14" s="171">
        <v>0</v>
      </c>
      <c r="AK14" s="171">
        <v>0</v>
      </c>
      <c r="AL14" s="171">
        <v>0</v>
      </c>
      <c r="AM14" s="171">
        <v>0</v>
      </c>
      <c r="AN14" s="171">
        <v>0</v>
      </c>
    </row>
    <row r="15" spans="1:40" x14ac:dyDescent="0.3">
      <c r="A15" s="171" t="s">
        <v>133</v>
      </c>
      <c r="B15" s="196">
        <v>12</v>
      </c>
      <c r="C15" s="171">
        <v>47</v>
      </c>
      <c r="D15" s="171">
        <v>2</v>
      </c>
      <c r="E15" s="171">
        <v>9</v>
      </c>
      <c r="F15" s="171">
        <v>7408</v>
      </c>
      <c r="G15" s="171">
        <v>0</v>
      </c>
      <c r="H15" s="171">
        <v>0</v>
      </c>
      <c r="I15" s="171">
        <v>0</v>
      </c>
      <c r="J15" s="171">
        <v>0</v>
      </c>
      <c r="K15" s="171">
        <v>7408</v>
      </c>
      <c r="L15" s="171">
        <v>0</v>
      </c>
      <c r="M15" s="171">
        <v>0</v>
      </c>
      <c r="N15" s="171">
        <v>0</v>
      </c>
      <c r="O15" s="171">
        <v>0</v>
      </c>
      <c r="P15" s="171">
        <v>0</v>
      </c>
      <c r="Q15" s="171">
        <v>0</v>
      </c>
      <c r="R15" s="171">
        <v>0</v>
      </c>
      <c r="S15" s="171">
        <v>0</v>
      </c>
      <c r="T15" s="171">
        <v>0</v>
      </c>
      <c r="U15" s="171">
        <v>0</v>
      </c>
      <c r="V15" s="171">
        <v>0</v>
      </c>
      <c r="W15" s="171">
        <v>0</v>
      </c>
      <c r="X15" s="171">
        <v>0</v>
      </c>
      <c r="Y15" s="171">
        <v>0</v>
      </c>
      <c r="Z15" s="171">
        <v>0</v>
      </c>
      <c r="AA15" s="171">
        <v>0</v>
      </c>
      <c r="AB15" s="171">
        <v>0</v>
      </c>
      <c r="AC15" s="171">
        <v>0</v>
      </c>
      <c r="AD15" s="171">
        <v>0</v>
      </c>
      <c r="AE15" s="171">
        <v>0</v>
      </c>
      <c r="AF15" s="171">
        <v>0</v>
      </c>
      <c r="AG15" s="171">
        <v>0</v>
      </c>
      <c r="AH15" s="171">
        <v>0</v>
      </c>
      <c r="AI15" s="171">
        <v>0</v>
      </c>
      <c r="AJ15" s="171">
        <v>0</v>
      </c>
      <c r="AK15" s="171">
        <v>0</v>
      </c>
      <c r="AL15" s="171">
        <v>0</v>
      </c>
      <c r="AM15" s="171">
        <v>0</v>
      </c>
      <c r="AN15" s="171">
        <v>0</v>
      </c>
    </row>
    <row r="16" spans="1:40" x14ac:dyDescent="0.3">
      <c r="A16" s="171" t="s">
        <v>121</v>
      </c>
      <c r="B16" s="196">
        <v>2014</v>
      </c>
      <c r="C16" s="171">
        <v>47</v>
      </c>
      <c r="D16" s="171">
        <v>2</v>
      </c>
      <c r="E16" s="171">
        <v>10</v>
      </c>
      <c r="F16" s="171">
        <v>7949</v>
      </c>
      <c r="G16" s="171">
        <v>0</v>
      </c>
      <c r="H16" s="171">
        <v>0</v>
      </c>
      <c r="I16" s="171">
        <v>0</v>
      </c>
      <c r="J16" s="171">
        <v>0</v>
      </c>
      <c r="K16" s="171">
        <v>7949</v>
      </c>
      <c r="L16" s="171">
        <v>0</v>
      </c>
      <c r="M16" s="171">
        <v>0</v>
      </c>
      <c r="N16" s="171">
        <v>0</v>
      </c>
      <c r="O16" s="171">
        <v>0</v>
      </c>
      <c r="P16" s="171">
        <v>0</v>
      </c>
      <c r="Q16" s="171">
        <v>0</v>
      </c>
      <c r="R16" s="171">
        <v>0</v>
      </c>
      <c r="S16" s="171">
        <v>0</v>
      </c>
      <c r="T16" s="171">
        <v>0</v>
      </c>
      <c r="U16" s="171">
        <v>0</v>
      </c>
      <c r="V16" s="171">
        <v>0</v>
      </c>
      <c r="W16" s="171">
        <v>0</v>
      </c>
      <c r="X16" s="171">
        <v>0</v>
      </c>
      <c r="Y16" s="171">
        <v>0</v>
      </c>
      <c r="Z16" s="171">
        <v>0</v>
      </c>
      <c r="AA16" s="171">
        <v>0</v>
      </c>
      <c r="AB16" s="171">
        <v>0</v>
      </c>
      <c r="AC16" s="171">
        <v>0</v>
      </c>
      <c r="AD16" s="171">
        <v>0</v>
      </c>
      <c r="AE16" s="171">
        <v>0</v>
      </c>
      <c r="AF16" s="171">
        <v>0</v>
      </c>
      <c r="AG16" s="171">
        <v>0</v>
      </c>
      <c r="AH16" s="171">
        <v>0</v>
      </c>
      <c r="AI16" s="171">
        <v>0</v>
      </c>
      <c r="AJ16" s="171">
        <v>0</v>
      </c>
      <c r="AK16" s="171">
        <v>0</v>
      </c>
      <c r="AL16" s="171">
        <v>0</v>
      </c>
      <c r="AM16" s="171">
        <v>0</v>
      </c>
      <c r="AN16" s="171">
        <v>0</v>
      </c>
    </row>
    <row r="17" spans="3:40" x14ac:dyDescent="0.3">
      <c r="C17" s="171">
        <v>47</v>
      </c>
      <c r="D17" s="171">
        <v>2</v>
      </c>
      <c r="E17" s="171">
        <v>11</v>
      </c>
      <c r="F17" s="171">
        <v>5029.5</v>
      </c>
      <c r="G17" s="171">
        <v>0</v>
      </c>
      <c r="H17" s="171">
        <v>29.5</v>
      </c>
      <c r="I17" s="171">
        <v>0</v>
      </c>
      <c r="J17" s="171">
        <v>0</v>
      </c>
      <c r="K17" s="171">
        <v>5000</v>
      </c>
      <c r="L17" s="171">
        <v>0</v>
      </c>
      <c r="M17" s="171">
        <v>0</v>
      </c>
      <c r="N17" s="171">
        <v>0</v>
      </c>
      <c r="O17" s="171">
        <v>0</v>
      </c>
      <c r="P17" s="171">
        <v>0</v>
      </c>
      <c r="Q17" s="171">
        <v>0</v>
      </c>
      <c r="R17" s="171">
        <v>0</v>
      </c>
      <c r="S17" s="171">
        <v>0</v>
      </c>
      <c r="T17" s="171">
        <v>0</v>
      </c>
      <c r="U17" s="171">
        <v>0</v>
      </c>
      <c r="V17" s="171">
        <v>0</v>
      </c>
      <c r="W17" s="171">
        <v>0</v>
      </c>
      <c r="X17" s="171">
        <v>0</v>
      </c>
      <c r="Y17" s="171">
        <v>0</v>
      </c>
      <c r="Z17" s="171">
        <v>0</v>
      </c>
      <c r="AA17" s="171">
        <v>0</v>
      </c>
      <c r="AB17" s="171">
        <v>0</v>
      </c>
      <c r="AC17" s="171">
        <v>0</v>
      </c>
      <c r="AD17" s="171">
        <v>0</v>
      </c>
      <c r="AE17" s="171">
        <v>0</v>
      </c>
      <c r="AF17" s="171">
        <v>0</v>
      </c>
      <c r="AG17" s="171">
        <v>0</v>
      </c>
      <c r="AH17" s="171">
        <v>0</v>
      </c>
      <c r="AI17" s="171">
        <v>0</v>
      </c>
      <c r="AJ17" s="171">
        <v>0</v>
      </c>
      <c r="AK17" s="171">
        <v>0</v>
      </c>
      <c r="AL17" s="171">
        <v>0</v>
      </c>
      <c r="AM17" s="171">
        <v>0</v>
      </c>
      <c r="AN17" s="171">
        <v>0</v>
      </c>
    </row>
    <row r="18" spans="3:40" x14ac:dyDescent="0.3">
      <c r="C18" s="171">
        <v>47</v>
      </c>
      <c r="D18" s="171">
        <v>3</v>
      </c>
      <c r="E18" s="171">
        <v>1</v>
      </c>
      <c r="F18" s="171">
        <v>53.1</v>
      </c>
      <c r="G18" s="171">
        <v>0</v>
      </c>
      <c r="H18" s="171">
        <v>0.1</v>
      </c>
      <c r="I18" s="171">
        <v>0</v>
      </c>
      <c r="J18" s="171">
        <v>0</v>
      </c>
      <c r="K18" s="171">
        <v>39</v>
      </c>
      <c r="L18" s="171">
        <v>0</v>
      </c>
      <c r="M18" s="171">
        <v>0</v>
      </c>
      <c r="N18" s="171">
        <v>0</v>
      </c>
      <c r="O18" s="171">
        <v>0</v>
      </c>
      <c r="P18" s="171">
        <v>0</v>
      </c>
      <c r="Q18" s="171">
        <v>0</v>
      </c>
      <c r="R18" s="171">
        <v>0</v>
      </c>
      <c r="S18" s="171">
        <v>0</v>
      </c>
      <c r="T18" s="171">
        <v>0</v>
      </c>
      <c r="U18" s="171">
        <v>0</v>
      </c>
      <c r="V18" s="171">
        <v>0</v>
      </c>
      <c r="W18" s="171">
        <v>0</v>
      </c>
      <c r="X18" s="171">
        <v>0</v>
      </c>
      <c r="Y18" s="171">
        <v>0</v>
      </c>
      <c r="Z18" s="171">
        <v>0</v>
      </c>
      <c r="AA18" s="171">
        <v>0</v>
      </c>
      <c r="AB18" s="171">
        <v>0</v>
      </c>
      <c r="AC18" s="171">
        <v>0</v>
      </c>
      <c r="AD18" s="171">
        <v>0</v>
      </c>
      <c r="AE18" s="171">
        <v>0</v>
      </c>
      <c r="AF18" s="171">
        <v>0</v>
      </c>
      <c r="AG18" s="171">
        <v>0</v>
      </c>
      <c r="AH18" s="171">
        <v>14</v>
      </c>
      <c r="AI18" s="171">
        <v>0</v>
      </c>
      <c r="AJ18" s="171">
        <v>0</v>
      </c>
      <c r="AK18" s="171">
        <v>0</v>
      </c>
      <c r="AL18" s="171">
        <v>0</v>
      </c>
      <c r="AM18" s="171">
        <v>0</v>
      </c>
      <c r="AN18" s="171">
        <v>0</v>
      </c>
    </row>
    <row r="19" spans="3:40" x14ac:dyDescent="0.3">
      <c r="C19" s="171">
        <v>47</v>
      </c>
      <c r="D19" s="171">
        <v>3</v>
      </c>
      <c r="E19" s="171">
        <v>2</v>
      </c>
      <c r="F19" s="171">
        <v>7668.05</v>
      </c>
      <c r="G19" s="171">
        <v>0</v>
      </c>
      <c r="H19" s="171">
        <v>16.8</v>
      </c>
      <c r="I19" s="171">
        <v>0</v>
      </c>
      <c r="J19" s="171">
        <v>0</v>
      </c>
      <c r="K19" s="171">
        <v>5633.75</v>
      </c>
      <c r="L19" s="171">
        <v>0</v>
      </c>
      <c r="M19" s="171">
        <v>0</v>
      </c>
      <c r="N19" s="171">
        <v>0</v>
      </c>
      <c r="O19" s="171">
        <v>0</v>
      </c>
      <c r="P19" s="171">
        <v>0</v>
      </c>
      <c r="Q19" s="171">
        <v>0</v>
      </c>
      <c r="R19" s="171">
        <v>0</v>
      </c>
      <c r="S19" s="171">
        <v>0</v>
      </c>
      <c r="T19" s="171">
        <v>0</v>
      </c>
      <c r="U19" s="171">
        <v>0</v>
      </c>
      <c r="V19" s="171">
        <v>0</v>
      </c>
      <c r="W19" s="171">
        <v>0</v>
      </c>
      <c r="X19" s="171">
        <v>0</v>
      </c>
      <c r="Y19" s="171">
        <v>0</v>
      </c>
      <c r="Z19" s="171">
        <v>0</v>
      </c>
      <c r="AA19" s="171">
        <v>0</v>
      </c>
      <c r="AB19" s="171">
        <v>0</v>
      </c>
      <c r="AC19" s="171">
        <v>0</v>
      </c>
      <c r="AD19" s="171">
        <v>0</v>
      </c>
      <c r="AE19" s="171">
        <v>0</v>
      </c>
      <c r="AF19" s="171">
        <v>0</v>
      </c>
      <c r="AG19" s="171">
        <v>0</v>
      </c>
      <c r="AH19" s="171">
        <v>2017.5</v>
      </c>
      <c r="AI19" s="171">
        <v>0</v>
      </c>
      <c r="AJ19" s="171">
        <v>0</v>
      </c>
      <c r="AK19" s="171">
        <v>0</v>
      </c>
      <c r="AL19" s="171">
        <v>0</v>
      </c>
      <c r="AM19" s="171">
        <v>0</v>
      </c>
      <c r="AN19" s="171">
        <v>0</v>
      </c>
    </row>
    <row r="20" spans="3:40" x14ac:dyDescent="0.3">
      <c r="C20" s="171">
        <v>47</v>
      </c>
      <c r="D20" s="171">
        <v>3</v>
      </c>
      <c r="E20" s="171">
        <v>4</v>
      </c>
      <c r="F20" s="171">
        <v>207</v>
      </c>
      <c r="G20" s="171">
        <v>0</v>
      </c>
      <c r="H20" s="171">
        <v>0</v>
      </c>
      <c r="I20" s="171">
        <v>0</v>
      </c>
      <c r="J20" s="171">
        <v>0</v>
      </c>
      <c r="K20" s="171">
        <v>0</v>
      </c>
      <c r="L20" s="171">
        <v>0</v>
      </c>
      <c r="M20" s="171">
        <v>0</v>
      </c>
      <c r="N20" s="171">
        <v>0</v>
      </c>
      <c r="O20" s="171">
        <v>0</v>
      </c>
      <c r="P20" s="171">
        <v>0</v>
      </c>
      <c r="Q20" s="171">
        <v>0</v>
      </c>
      <c r="R20" s="171">
        <v>0</v>
      </c>
      <c r="S20" s="171">
        <v>0</v>
      </c>
      <c r="T20" s="171">
        <v>0</v>
      </c>
      <c r="U20" s="171">
        <v>0</v>
      </c>
      <c r="V20" s="171">
        <v>0</v>
      </c>
      <c r="W20" s="171">
        <v>0</v>
      </c>
      <c r="X20" s="171">
        <v>0</v>
      </c>
      <c r="Y20" s="171">
        <v>0</v>
      </c>
      <c r="Z20" s="171">
        <v>0</v>
      </c>
      <c r="AA20" s="171">
        <v>0</v>
      </c>
      <c r="AB20" s="171">
        <v>0</v>
      </c>
      <c r="AC20" s="171">
        <v>0</v>
      </c>
      <c r="AD20" s="171">
        <v>0</v>
      </c>
      <c r="AE20" s="171">
        <v>0</v>
      </c>
      <c r="AF20" s="171">
        <v>0</v>
      </c>
      <c r="AG20" s="171">
        <v>0</v>
      </c>
      <c r="AH20" s="171">
        <v>207</v>
      </c>
      <c r="AI20" s="171">
        <v>0</v>
      </c>
      <c r="AJ20" s="171">
        <v>0</v>
      </c>
      <c r="AK20" s="171">
        <v>0</v>
      </c>
      <c r="AL20" s="171">
        <v>0</v>
      </c>
      <c r="AM20" s="171">
        <v>0</v>
      </c>
      <c r="AN20" s="171">
        <v>0</v>
      </c>
    </row>
    <row r="21" spans="3:40" x14ac:dyDescent="0.3">
      <c r="C21" s="171">
        <v>47</v>
      </c>
      <c r="D21" s="171">
        <v>3</v>
      </c>
      <c r="E21" s="171">
        <v>6</v>
      </c>
      <c r="F21" s="171">
        <v>1281950</v>
      </c>
      <c r="G21" s="171">
        <v>0</v>
      </c>
      <c r="H21" s="171">
        <v>9338</v>
      </c>
      <c r="I21" s="171">
        <v>0</v>
      </c>
      <c r="J21" s="171">
        <v>0</v>
      </c>
      <c r="K21" s="171">
        <v>1004442</v>
      </c>
      <c r="L21" s="171">
        <v>0</v>
      </c>
      <c r="M21" s="171">
        <v>0</v>
      </c>
      <c r="N21" s="171">
        <v>0</v>
      </c>
      <c r="O21" s="171">
        <v>0</v>
      </c>
      <c r="P21" s="171">
        <v>0</v>
      </c>
      <c r="Q21" s="171">
        <v>0</v>
      </c>
      <c r="R21" s="171">
        <v>0</v>
      </c>
      <c r="S21" s="171">
        <v>0</v>
      </c>
      <c r="T21" s="171">
        <v>0</v>
      </c>
      <c r="U21" s="171">
        <v>0</v>
      </c>
      <c r="V21" s="171">
        <v>0</v>
      </c>
      <c r="W21" s="171">
        <v>0</v>
      </c>
      <c r="X21" s="171">
        <v>0</v>
      </c>
      <c r="Y21" s="171">
        <v>0</v>
      </c>
      <c r="Z21" s="171">
        <v>0</v>
      </c>
      <c r="AA21" s="171">
        <v>0</v>
      </c>
      <c r="AB21" s="171">
        <v>0</v>
      </c>
      <c r="AC21" s="171">
        <v>0</v>
      </c>
      <c r="AD21" s="171">
        <v>0</v>
      </c>
      <c r="AE21" s="171">
        <v>0</v>
      </c>
      <c r="AF21" s="171">
        <v>0</v>
      </c>
      <c r="AG21" s="171">
        <v>0</v>
      </c>
      <c r="AH21" s="171">
        <v>268170</v>
      </c>
      <c r="AI21" s="171">
        <v>0</v>
      </c>
      <c r="AJ21" s="171">
        <v>0</v>
      </c>
      <c r="AK21" s="171">
        <v>0</v>
      </c>
      <c r="AL21" s="171">
        <v>0</v>
      </c>
      <c r="AM21" s="171">
        <v>0</v>
      </c>
      <c r="AN21" s="171">
        <v>0</v>
      </c>
    </row>
    <row r="22" spans="3:40" x14ac:dyDescent="0.3">
      <c r="C22" s="171">
        <v>47</v>
      </c>
      <c r="D22" s="171">
        <v>3</v>
      </c>
      <c r="E22" s="171">
        <v>9</v>
      </c>
      <c r="F22" s="171">
        <v>13308</v>
      </c>
      <c r="G22" s="171">
        <v>0</v>
      </c>
      <c r="H22" s="171">
        <v>0</v>
      </c>
      <c r="I22" s="171">
        <v>0</v>
      </c>
      <c r="J22" s="171">
        <v>0</v>
      </c>
      <c r="K22" s="171">
        <v>7408</v>
      </c>
      <c r="L22" s="171">
        <v>0</v>
      </c>
      <c r="M22" s="171">
        <v>0</v>
      </c>
      <c r="N22" s="171">
        <v>0</v>
      </c>
      <c r="O22" s="171">
        <v>0</v>
      </c>
      <c r="P22" s="171">
        <v>0</v>
      </c>
      <c r="Q22" s="171">
        <v>0</v>
      </c>
      <c r="R22" s="171">
        <v>0</v>
      </c>
      <c r="S22" s="171">
        <v>0</v>
      </c>
      <c r="T22" s="171">
        <v>0</v>
      </c>
      <c r="U22" s="171">
        <v>0</v>
      </c>
      <c r="V22" s="171">
        <v>0</v>
      </c>
      <c r="W22" s="171">
        <v>0</v>
      </c>
      <c r="X22" s="171">
        <v>0</v>
      </c>
      <c r="Y22" s="171">
        <v>0</v>
      </c>
      <c r="Z22" s="171">
        <v>0</v>
      </c>
      <c r="AA22" s="171">
        <v>0</v>
      </c>
      <c r="AB22" s="171">
        <v>0</v>
      </c>
      <c r="AC22" s="171">
        <v>0</v>
      </c>
      <c r="AD22" s="171">
        <v>0</v>
      </c>
      <c r="AE22" s="171">
        <v>0</v>
      </c>
      <c r="AF22" s="171">
        <v>0</v>
      </c>
      <c r="AG22" s="171">
        <v>0</v>
      </c>
      <c r="AH22" s="171">
        <v>5900</v>
      </c>
      <c r="AI22" s="171">
        <v>0</v>
      </c>
      <c r="AJ22" s="171">
        <v>0</v>
      </c>
      <c r="AK22" s="171">
        <v>0</v>
      </c>
      <c r="AL22" s="171">
        <v>0</v>
      </c>
      <c r="AM22" s="171">
        <v>0</v>
      </c>
      <c r="AN22" s="171">
        <v>0</v>
      </c>
    </row>
    <row r="23" spans="3:40" x14ac:dyDescent="0.3">
      <c r="C23" s="171">
        <v>47</v>
      </c>
      <c r="D23" s="171">
        <v>3</v>
      </c>
      <c r="E23" s="171">
        <v>11</v>
      </c>
      <c r="F23" s="171">
        <v>5029.5</v>
      </c>
      <c r="G23" s="171">
        <v>0</v>
      </c>
      <c r="H23" s="171">
        <v>29.5</v>
      </c>
      <c r="I23" s="171">
        <v>0</v>
      </c>
      <c r="J23" s="171">
        <v>0</v>
      </c>
      <c r="K23" s="171">
        <v>5000</v>
      </c>
      <c r="L23" s="171">
        <v>0</v>
      </c>
      <c r="M23" s="171">
        <v>0</v>
      </c>
      <c r="N23" s="171">
        <v>0</v>
      </c>
      <c r="O23" s="171">
        <v>0</v>
      </c>
      <c r="P23" s="171">
        <v>0</v>
      </c>
      <c r="Q23" s="171">
        <v>0</v>
      </c>
      <c r="R23" s="171">
        <v>0</v>
      </c>
      <c r="S23" s="171">
        <v>0</v>
      </c>
      <c r="T23" s="171">
        <v>0</v>
      </c>
      <c r="U23" s="171">
        <v>0</v>
      </c>
      <c r="V23" s="171">
        <v>0</v>
      </c>
      <c r="W23" s="171">
        <v>0</v>
      </c>
      <c r="X23" s="171">
        <v>0</v>
      </c>
      <c r="Y23" s="171">
        <v>0</v>
      </c>
      <c r="Z23" s="171">
        <v>0</v>
      </c>
      <c r="AA23" s="171">
        <v>0</v>
      </c>
      <c r="AB23" s="171">
        <v>0</v>
      </c>
      <c r="AC23" s="171">
        <v>0</v>
      </c>
      <c r="AD23" s="171">
        <v>0</v>
      </c>
      <c r="AE23" s="171">
        <v>0</v>
      </c>
      <c r="AF23" s="171">
        <v>0</v>
      </c>
      <c r="AG23" s="171">
        <v>0</v>
      </c>
      <c r="AH23" s="171">
        <v>0</v>
      </c>
      <c r="AI23" s="171">
        <v>0</v>
      </c>
      <c r="AJ23" s="171">
        <v>0</v>
      </c>
      <c r="AK23" s="171">
        <v>0</v>
      </c>
      <c r="AL23" s="171">
        <v>0</v>
      </c>
      <c r="AM23" s="171">
        <v>0</v>
      </c>
      <c r="AN23" s="171">
        <v>0</v>
      </c>
    </row>
    <row r="24" spans="3:40" x14ac:dyDescent="0.3">
      <c r="C24" s="171">
        <v>47</v>
      </c>
      <c r="D24" s="171">
        <v>4</v>
      </c>
      <c r="E24" s="171">
        <v>1</v>
      </c>
      <c r="F24" s="171">
        <v>53.1</v>
      </c>
      <c r="G24" s="171">
        <v>0</v>
      </c>
      <c r="H24" s="171">
        <v>0.1</v>
      </c>
      <c r="I24" s="171">
        <v>0</v>
      </c>
      <c r="J24" s="171">
        <v>0</v>
      </c>
      <c r="K24" s="171">
        <v>40</v>
      </c>
      <c r="L24" s="171">
        <v>0</v>
      </c>
      <c r="M24" s="171">
        <v>0</v>
      </c>
      <c r="N24" s="171">
        <v>0</v>
      </c>
      <c r="O24" s="171">
        <v>0</v>
      </c>
      <c r="P24" s="171">
        <v>0</v>
      </c>
      <c r="Q24" s="171">
        <v>0</v>
      </c>
      <c r="R24" s="171">
        <v>0</v>
      </c>
      <c r="S24" s="171">
        <v>0</v>
      </c>
      <c r="T24" s="171">
        <v>0</v>
      </c>
      <c r="U24" s="171">
        <v>0</v>
      </c>
      <c r="V24" s="171">
        <v>0</v>
      </c>
      <c r="W24" s="171">
        <v>0</v>
      </c>
      <c r="X24" s="171">
        <v>0</v>
      </c>
      <c r="Y24" s="171">
        <v>0</v>
      </c>
      <c r="Z24" s="171">
        <v>0</v>
      </c>
      <c r="AA24" s="171">
        <v>0</v>
      </c>
      <c r="AB24" s="171">
        <v>0</v>
      </c>
      <c r="AC24" s="171">
        <v>0</v>
      </c>
      <c r="AD24" s="171">
        <v>0</v>
      </c>
      <c r="AE24" s="171">
        <v>0</v>
      </c>
      <c r="AF24" s="171">
        <v>0</v>
      </c>
      <c r="AG24" s="171">
        <v>0</v>
      </c>
      <c r="AH24" s="171">
        <v>13</v>
      </c>
      <c r="AI24" s="171">
        <v>0</v>
      </c>
      <c r="AJ24" s="171">
        <v>0</v>
      </c>
      <c r="AK24" s="171">
        <v>0</v>
      </c>
      <c r="AL24" s="171">
        <v>0</v>
      </c>
      <c r="AM24" s="171">
        <v>0</v>
      </c>
      <c r="AN24" s="171">
        <v>0</v>
      </c>
    </row>
    <row r="25" spans="3:40" x14ac:dyDescent="0.3">
      <c r="C25" s="171">
        <v>47</v>
      </c>
      <c r="D25" s="171">
        <v>4</v>
      </c>
      <c r="E25" s="171">
        <v>2</v>
      </c>
      <c r="F25" s="171">
        <v>7513.35</v>
      </c>
      <c r="G25" s="171">
        <v>0</v>
      </c>
      <c r="H25" s="171">
        <v>17.600000000000001</v>
      </c>
      <c r="I25" s="171">
        <v>0</v>
      </c>
      <c r="J25" s="171">
        <v>0</v>
      </c>
      <c r="K25" s="171">
        <v>5736.75</v>
      </c>
      <c r="L25" s="171">
        <v>0</v>
      </c>
      <c r="M25" s="171">
        <v>0</v>
      </c>
      <c r="N25" s="171">
        <v>0</v>
      </c>
      <c r="O25" s="171">
        <v>0</v>
      </c>
      <c r="P25" s="171">
        <v>0</v>
      </c>
      <c r="Q25" s="171">
        <v>0</v>
      </c>
      <c r="R25" s="171">
        <v>0</v>
      </c>
      <c r="S25" s="171">
        <v>0</v>
      </c>
      <c r="T25" s="171">
        <v>0</v>
      </c>
      <c r="U25" s="171">
        <v>0</v>
      </c>
      <c r="V25" s="171">
        <v>0</v>
      </c>
      <c r="W25" s="171">
        <v>0</v>
      </c>
      <c r="X25" s="171">
        <v>0</v>
      </c>
      <c r="Y25" s="171">
        <v>0</v>
      </c>
      <c r="Z25" s="171">
        <v>0</v>
      </c>
      <c r="AA25" s="171">
        <v>0</v>
      </c>
      <c r="AB25" s="171">
        <v>0</v>
      </c>
      <c r="AC25" s="171">
        <v>0</v>
      </c>
      <c r="AD25" s="171">
        <v>0</v>
      </c>
      <c r="AE25" s="171">
        <v>0</v>
      </c>
      <c r="AF25" s="171">
        <v>0</v>
      </c>
      <c r="AG25" s="171">
        <v>0</v>
      </c>
      <c r="AH25" s="171">
        <v>1759</v>
      </c>
      <c r="AI25" s="171">
        <v>0</v>
      </c>
      <c r="AJ25" s="171">
        <v>0</v>
      </c>
      <c r="AK25" s="171">
        <v>0</v>
      </c>
      <c r="AL25" s="171">
        <v>0</v>
      </c>
      <c r="AM25" s="171">
        <v>0</v>
      </c>
      <c r="AN25" s="171">
        <v>0</v>
      </c>
    </row>
    <row r="26" spans="3:40" x14ac:dyDescent="0.3">
      <c r="C26" s="171">
        <v>47</v>
      </c>
      <c r="D26" s="171">
        <v>4</v>
      </c>
      <c r="E26" s="171">
        <v>4</v>
      </c>
      <c r="F26" s="171">
        <v>759</v>
      </c>
      <c r="G26" s="171">
        <v>0</v>
      </c>
      <c r="H26" s="171">
        <v>0</v>
      </c>
      <c r="I26" s="171">
        <v>0</v>
      </c>
      <c r="J26" s="171">
        <v>0</v>
      </c>
      <c r="K26" s="171">
        <v>569</v>
      </c>
      <c r="L26" s="171">
        <v>0</v>
      </c>
      <c r="M26" s="171">
        <v>0</v>
      </c>
      <c r="N26" s="171">
        <v>0</v>
      </c>
      <c r="O26" s="171">
        <v>0</v>
      </c>
      <c r="P26" s="171">
        <v>0</v>
      </c>
      <c r="Q26" s="171">
        <v>0</v>
      </c>
      <c r="R26" s="171">
        <v>0</v>
      </c>
      <c r="S26" s="171">
        <v>0</v>
      </c>
      <c r="T26" s="171">
        <v>0</v>
      </c>
      <c r="U26" s="171">
        <v>0</v>
      </c>
      <c r="V26" s="171">
        <v>0</v>
      </c>
      <c r="W26" s="171">
        <v>0</v>
      </c>
      <c r="X26" s="171">
        <v>0</v>
      </c>
      <c r="Y26" s="171">
        <v>0</v>
      </c>
      <c r="Z26" s="171">
        <v>0</v>
      </c>
      <c r="AA26" s="171">
        <v>0</v>
      </c>
      <c r="AB26" s="171">
        <v>0</v>
      </c>
      <c r="AC26" s="171">
        <v>0</v>
      </c>
      <c r="AD26" s="171">
        <v>0</v>
      </c>
      <c r="AE26" s="171">
        <v>0</v>
      </c>
      <c r="AF26" s="171">
        <v>0</v>
      </c>
      <c r="AG26" s="171">
        <v>0</v>
      </c>
      <c r="AH26" s="171">
        <v>190</v>
      </c>
      <c r="AI26" s="171">
        <v>0</v>
      </c>
      <c r="AJ26" s="171">
        <v>0</v>
      </c>
      <c r="AK26" s="171">
        <v>0</v>
      </c>
      <c r="AL26" s="171">
        <v>0</v>
      </c>
      <c r="AM26" s="171">
        <v>0</v>
      </c>
      <c r="AN26" s="171">
        <v>0</v>
      </c>
    </row>
    <row r="27" spans="3:40" x14ac:dyDescent="0.3">
      <c r="C27" s="171">
        <v>47</v>
      </c>
      <c r="D27" s="171">
        <v>4</v>
      </c>
      <c r="E27" s="171">
        <v>6</v>
      </c>
      <c r="F27" s="171">
        <v>1381224</v>
      </c>
      <c r="G27" s="171">
        <v>0</v>
      </c>
      <c r="H27" s="171">
        <v>9338</v>
      </c>
      <c r="I27" s="171">
        <v>0</v>
      </c>
      <c r="J27" s="171">
        <v>0</v>
      </c>
      <c r="K27" s="171">
        <v>1127304</v>
      </c>
      <c r="L27" s="171">
        <v>0</v>
      </c>
      <c r="M27" s="171">
        <v>0</v>
      </c>
      <c r="N27" s="171">
        <v>0</v>
      </c>
      <c r="O27" s="171">
        <v>0</v>
      </c>
      <c r="P27" s="171">
        <v>0</v>
      </c>
      <c r="Q27" s="171">
        <v>0</v>
      </c>
      <c r="R27" s="171">
        <v>0</v>
      </c>
      <c r="S27" s="171">
        <v>0</v>
      </c>
      <c r="T27" s="171">
        <v>0</v>
      </c>
      <c r="U27" s="171">
        <v>0</v>
      </c>
      <c r="V27" s="171">
        <v>0</v>
      </c>
      <c r="W27" s="171">
        <v>0</v>
      </c>
      <c r="X27" s="171">
        <v>0</v>
      </c>
      <c r="Y27" s="171">
        <v>0</v>
      </c>
      <c r="Z27" s="171">
        <v>0</v>
      </c>
      <c r="AA27" s="171">
        <v>0</v>
      </c>
      <c r="AB27" s="171">
        <v>0</v>
      </c>
      <c r="AC27" s="171">
        <v>0</v>
      </c>
      <c r="AD27" s="171">
        <v>0</v>
      </c>
      <c r="AE27" s="171">
        <v>0</v>
      </c>
      <c r="AF27" s="171">
        <v>0</v>
      </c>
      <c r="AG27" s="171">
        <v>0</v>
      </c>
      <c r="AH27" s="171">
        <v>244582</v>
      </c>
      <c r="AI27" s="171">
        <v>0</v>
      </c>
      <c r="AJ27" s="171">
        <v>0</v>
      </c>
      <c r="AK27" s="171">
        <v>0</v>
      </c>
      <c r="AL27" s="171">
        <v>0</v>
      </c>
      <c r="AM27" s="171">
        <v>0</v>
      </c>
      <c r="AN27" s="171">
        <v>0</v>
      </c>
    </row>
    <row r="28" spans="3:40" x14ac:dyDescent="0.3">
      <c r="C28" s="171">
        <v>47</v>
      </c>
      <c r="D28" s="171">
        <v>4</v>
      </c>
      <c r="E28" s="171">
        <v>9</v>
      </c>
      <c r="F28" s="171">
        <v>26544</v>
      </c>
      <c r="G28" s="171">
        <v>0</v>
      </c>
      <c r="H28" s="171">
        <v>0</v>
      </c>
      <c r="I28" s="171">
        <v>0</v>
      </c>
      <c r="J28" s="171">
        <v>0</v>
      </c>
      <c r="K28" s="171">
        <v>26544</v>
      </c>
      <c r="L28" s="171">
        <v>0</v>
      </c>
      <c r="M28" s="171">
        <v>0</v>
      </c>
      <c r="N28" s="171">
        <v>0</v>
      </c>
      <c r="O28" s="171">
        <v>0</v>
      </c>
      <c r="P28" s="171">
        <v>0</v>
      </c>
      <c r="Q28" s="171">
        <v>0</v>
      </c>
      <c r="R28" s="171">
        <v>0</v>
      </c>
      <c r="S28" s="171">
        <v>0</v>
      </c>
      <c r="T28" s="171">
        <v>0</v>
      </c>
      <c r="U28" s="171">
        <v>0</v>
      </c>
      <c r="V28" s="171">
        <v>0</v>
      </c>
      <c r="W28" s="171">
        <v>0</v>
      </c>
      <c r="X28" s="171">
        <v>0</v>
      </c>
      <c r="Y28" s="171">
        <v>0</v>
      </c>
      <c r="Z28" s="171">
        <v>0</v>
      </c>
      <c r="AA28" s="171">
        <v>0</v>
      </c>
      <c r="AB28" s="171">
        <v>0</v>
      </c>
      <c r="AC28" s="171">
        <v>0</v>
      </c>
      <c r="AD28" s="171">
        <v>0</v>
      </c>
      <c r="AE28" s="171">
        <v>0</v>
      </c>
      <c r="AF28" s="171">
        <v>0</v>
      </c>
      <c r="AG28" s="171">
        <v>0</v>
      </c>
      <c r="AH28" s="171">
        <v>0</v>
      </c>
      <c r="AI28" s="171">
        <v>0</v>
      </c>
      <c r="AJ28" s="171">
        <v>0</v>
      </c>
      <c r="AK28" s="171">
        <v>0</v>
      </c>
      <c r="AL28" s="171">
        <v>0</v>
      </c>
      <c r="AM28" s="171">
        <v>0</v>
      </c>
      <c r="AN28" s="171">
        <v>0</v>
      </c>
    </row>
    <row r="29" spans="3:40" x14ac:dyDescent="0.3">
      <c r="C29" s="171">
        <v>47</v>
      </c>
      <c r="D29" s="171">
        <v>4</v>
      </c>
      <c r="E29" s="171">
        <v>10</v>
      </c>
      <c r="F29" s="171">
        <v>6000</v>
      </c>
      <c r="G29" s="171">
        <v>0</v>
      </c>
      <c r="H29" s="171">
        <v>0</v>
      </c>
      <c r="I29" s="171">
        <v>0</v>
      </c>
      <c r="J29" s="171">
        <v>0</v>
      </c>
      <c r="K29" s="171">
        <v>6000</v>
      </c>
      <c r="L29" s="171">
        <v>0</v>
      </c>
      <c r="M29" s="171">
        <v>0</v>
      </c>
      <c r="N29" s="171">
        <v>0</v>
      </c>
      <c r="O29" s="171">
        <v>0</v>
      </c>
      <c r="P29" s="171">
        <v>0</v>
      </c>
      <c r="Q29" s="171">
        <v>0</v>
      </c>
      <c r="R29" s="171">
        <v>0</v>
      </c>
      <c r="S29" s="171">
        <v>0</v>
      </c>
      <c r="T29" s="171">
        <v>0</v>
      </c>
      <c r="U29" s="171">
        <v>0</v>
      </c>
      <c r="V29" s="171">
        <v>0</v>
      </c>
      <c r="W29" s="171">
        <v>0</v>
      </c>
      <c r="X29" s="171">
        <v>0</v>
      </c>
      <c r="Y29" s="171">
        <v>0</v>
      </c>
      <c r="Z29" s="171">
        <v>0</v>
      </c>
      <c r="AA29" s="171">
        <v>0</v>
      </c>
      <c r="AB29" s="171">
        <v>0</v>
      </c>
      <c r="AC29" s="171">
        <v>0</v>
      </c>
      <c r="AD29" s="171">
        <v>0</v>
      </c>
      <c r="AE29" s="171">
        <v>0</v>
      </c>
      <c r="AF29" s="171">
        <v>0</v>
      </c>
      <c r="AG29" s="171">
        <v>0</v>
      </c>
      <c r="AH29" s="171">
        <v>0</v>
      </c>
      <c r="AI29" s="171">
        <v>0</v>
      </c>
      <c r="AJ29" s="171">
        <v>0</v>
      </c>
      <c r="AK29" s="171">
        <v>0</v>
      </c>
      <c r="AL29" s="171">
        <v>0</v>
      </c>
      <c r="AM29" s="171">
        <v>0</v>
      </c>
      <c r="AN29" s="171">
        <v>0</v>
      </c>
    </row>
    <row r="30" spans="3:40" x14ac:dyDescent="0.3">
      <c r="C30" s="171">
        <v>47</v>
      </c>
      <c r="D30" s="171">
        <v>4</v>
      </c>
      <c r="E30" s="171">
        <v>11</v>
      </c>
      <c r="F30" s="171">
        <v>5029.5</v>
      </c>
      <c r="G30" s="171">
        <v>0</v>
      </c>
      <c r="H30" s="171">
        <v>29.5</v>
      </c>
      <c r="I30" s="171">
        <v>0</v>
      </c>
      <c r="J30" s="171">
        <v>0</v>
      </c>
      <c r="K30" s="171">
        <v>5000</v>
      </c>
      <c r="L30" s="171">
        <v>0</v>
      </c>
      <c r="M30" s="171">
        <v>0</v>
      </c>
      <c r="N30" s="171">
        <v>0</v>
      </c>
      <c r="O30" s="171">
        <v>0</v>
      </c>
      <c r="P30" s="171">
        <v>0</v>
      </c>
      <c r="Q30" s="171">
        <v>0</v>
      </c>
      <c r="R30" s="171">
        <v>0</v>
      </c>
      <c r="S30" s="171">
        <v>0</v>
      </c>
      <c r="T30" s="171">
        <v>0</v>
      </c>
      <c r="U30" s="171">
        <v>0</v>
      </c>
      <c r="V30" s="171">
        <v>0</v>
      </c>
      <c r="W30" s="171">
        <v>0</v>
      </c>
      <c r="X30" s="171">
        <v>0</v>
      </c>
      <c r="Y30" s="171">
        <v>0</v>
      </c>
      <c r="Z30" s="171">
        <v>0</v>
      </c>
      <c r="AA30" s="171">
        <v>0</v>
      </c>
      <c r="AB30" s="171">
        <v>0</v>
      </c>
      <c r="AC30" s="171">
        <v>0</v>
      </c>
      <c r="AD30" s="171">
        <v>0</v>
      </c>
      <c r="AE30" s="171">
        <v>0</v>
      </c>
      <c r="AF30" s="171">
        <v>0</v>
      </c>
      <c r="AG30" s="171">
        <v>0</v>
      </c>
      <c r="AH30" s="171">
        <v>0</v>
      </c>
      <c r="AI30" s="171">
        <v>0</v>
      </c>
      <c r="AJ30" s="171">
        <v>0</v>
      </c>
      <c r="AK30" s="171">
        <v>0</v>
      </c>
      <c r="AL30" s="171">
        <v>0</v>
      </c>
      <c r="AM30" s="171">
        <v>0</v>
      </c>
      <c r="AN30" s="171">
        <v>0</v>
      </c>
    </row>
    <row r="31" spans="3:40" x14ac:dyDescent="0.3">
      <c r="C31" s="171">
        <v>47</v>
      </c>
      <c r="D31" s="171">
        <v>5</v>
      </c>
      <c r="E31" s="171">
        <v>1</v>
      </c>
      <c r="F31" s="171">
        <v>53.1</v>
      </c>
      <c r="G31" s="171">
        <v>0</v>
      </c>
      <c r="H31" s="171">
        <v>0.1</v>
      </c>
      <c r="I31" s="171">
        <v>0</v>
      </c>
      <c r="J31" s="171">
        <v>0</v>
      </c>
      <c r="K31" s="171">
        <v>40</v>
      </c>
      <c r="L31" s="171">
        <v>0</v>
      </c>
      <c r="M31" s="171">
        <v>0</v>
      </c>
      <c r="N31" s="171">
        <v>0</v>
      </c>
      <c r="O31" s="171">
        <v>0</v>
      </c>
      <c r="P31" s="171">
        <v>0</v>
      </c>
      <c r="Q31" s="171">
        <v>0</v>
      </c>
      <c r="R31" s="171">
        <v>0</v>
      </c>
      <c r="S31" s="171">
        <v>0</v>
      </c>
      <c r="T31" s="171">
        <v>0</v>
      </c>
      <c r="U31" s="171">
        <v>0</v>
      </c>
      <c r="V31" s="171">
        <v>0</v>
      </c>
      <c r="W31" s="171">
        <v>0</v>
      </c>
      <c r="X31" s="171">
        <v>0</v>
      </c>
      <c r="Y31" s="171">
        <v>0</v>
      </c>
      <c r="Z31" s="171">
        <v>0</v>
      </c>
      <c r="AA31" s="171">
        <v>0</v>
      </c>
      <c r="AB31" s="171">
        <v>0</v>
      </c>
      <c r="AC31" s="171">
        <v>0</v>
      </c>
      <c r="AD31" s="171">
        <v>0</v>
      </c>
      <c r="AE31" s="171">
        <v>0</v>
      </c>
      <c r="AF31" s="171">
        <v>0</v>
      </c>
      <c r="AG31" s="171">
        <v>0</v>
      </c>
      <c r="AH31" s="171">
        <v>13</v>
      </c>
      <c r="AI31" s="171">
        <v>0</v>
      </c>
      <c r="AJ31" s="171">
        <v>0</v>
      </c>
      <c r="AK31" s="171">
        <v>0</v>
      </c>
      <c r="AL31" s="171">
        <v>0</v>
      </c>
      <c r="AM31" s="171">
        <v>0</v>
      </c>
      <c r="AN31" s="171">
        <v>0</v>
      </c>
    </row>
    <row r="32" spans="3:40" x14ac:dyDescent="0.3">
      <c r="C32" s="171">
        <v>47</v>
      </c>
      <c r="D32" s="171">
        <v>5</v>
      </c>
      <c r="E32" s="171">
        <v>2</v>
      </c>
      <c r="F32" s="171">
        <v>7904.3</v>
      </c>
      <c r="G32" s="171">
        <v>0</v>
      </c>
      <c r="H32" s="171">
        <v>16.8</v>
      </c>
      <c r="I32" s="171">
        <v>0</v>
      </c>
      <c r="J32" s="171">
        <v>0</v>
      </c>
      <c r="K32" s="171">
        <v>5973</v>
      </c>
      <c r="L32" s="171">
        <v>0</v>
      </c>
      <c r="M32" s="171">
        <v>0</v>
      </c>
      <c r="N32" s="171">
        <v>0</v>
      </c>
      <c r="O32" s="171">
        <v>0</v>
      </c>
      <c r="P32" s="171">
        <v>0</v>
      </c>
      <c r="Q32" s="171">
        <v>0</v>
      </c>
      <c r="R32" s="171">
        <v>0</v>
      </c>
      <c r="S32" s="171">
        <v>0</v>
      </c>
      <c r="T32" s="171">
        <v>0</v>
      </c>
      <c r="U32" s="171">
        <v>0</v>
      </c>
      <c r="V32" s="171">
        <v>0</v>
      </c>
      <c r="W32" s="171">
        <v>0</v>
      </c>
      <c r="X32" s="171">
        <v>0</v>
      </c>
      <c r="Y32" s="171">
        <v>0</v>
      </c>
      <c r="Z32" s="171">
        <v>0</v>
      </c>
      <c r="AA32" s="171">
        <v>0</v>
      </c>
      <c r="AB32" s="171">
        <v>0</v>
      </c>
      <c r="AC32" s="171">
        <v>0</v>
      </c>
      <c r="AD32" s="171">
        <v>0</v>
      </c>
      <c r="AE32" s="171">
        <v>0</v>
      </c>
      <c r="AF32" s="171">
        <v>0</v>
      </c>
      <c r="AG32" s="171">
        <v>0</v>
      </c>
      <c r="AH32" s="171">
        <v>1914.5</v>
      </c>
      <c r="AI32" s="171">
        <v>0</v>
      </c>
      <c r="AJ32" s="171">
        <v>0</v>
      </c>
      <c r="AK32" s="171">
        <v>0</v>
      </c>
      <c r="AL32" s="171">
        <v>0</v>
      </c>
      <c r="AM32" s="171">
        <v>0</v>
      </c>
      <c r="AN32" s="171">
        <v>0</v>
      </c>
    </row>
    <row r="33" spans="3:40" x14ac:dyDescent="0.3">
      <c r="C33" s="171">
        <v>47</v>
      </c>
      <c r="D33" s="171">
        <v>5</v>
      </c>
      <c r="E33" s="171">
        <v>4</v>
      </c>
      <c r="F33" s="171">
        <v>429</v>
      </c>
      <c r="G33" s="171">
        <v>0</v>
      </c>
      <c r="H33" s="171">
        <v>0</v>
      </c>
      <c r="I33" s="171">
        <v>0</v>
      </c>
      <c r="J33" s="171">
        <v>0</v>
      </c>
      <c r="K33" s="171">
        <v>289</v>
      </c>
      <c r="L33" s="171">
        <v>0</v>
      </c>
      <c r="M33" s="171">
        <v>0</v>
      </c>
      <c r="N33" s="171">
        <v>0</v>
      </c>
      <c r="O33" s="171">
        <v>0</v>
      </c>
      <c r="P33" s="171">
        <v>0</v>
      </c>
      <c r="Q33" s="171">
        <v>0</v>
      </c>
      <c r="R33" s="171">
        <v>0</v>
      </c>
      <c r="S33" s="171">
        <v>0</v>
      </c>
      <c r="T33" s="171">
        <v>0</v>
      </c>
      <c r="U33" s="171">
        <v>0</v>
      </c>
      <c r="V33" s="171">
        <v>0</v>
      </c>
      <c r="W33" s="171">
        <v>0</v>
      </c>
      <c r="X33" s="171">
        <v>0</v>
      </c>
      <c r="Y33" s="171">
        <v>0</v>
      </c>
      <c r="Z33" s="171">
        <v>0</v>
      </c>
      <c r="AA33" s="171">
        <v>0</v>
      </c>
      <c r="AB33" s="171">
        <v>0</v>
      </c>
      <c r="AC33" s="171">
        <v>0</v>
      </c>
      <c r="AD33" s="171">
        <v>0</v>
      </c>
      <c r="AE33" s="171">
        <v>0</v>
      </c>
      <c r="AF33" s="171">
        <v>0</v>
      </c>
      <c r="AG33" s="171">
        <v>0</v>
      </c>
      <c r="AH33" s="171">
        <v>140</v>
      </c>
      <c r="AI33" s="171">
        <v>0</v>
      </c>
      <c r="AJ33" s="171">
        <v>0</v>
      </c>
      <c r="AK33" s="171">
        <v>0</v>
      </c>
      <c r="AL33" s="171">
        <v>0</v>
      </c>
      <c r="AM33" s="171">
        <v>0</v>
      </c>
      <c r="AN33" s="171">
        <v>0</v>
      </c>
    </row>
    <row r="34" spans="3:40" x14ac:dyDescent="0.3">
      <c r="C34" s="171">
        <v>47</v>
      </c>
      <c r="D34" s="171">
        <v>5</v>
      </c>
      <c r="E34" s="171">
        <v>6</v>
      </c>
      <c r="F34" s="171">
        <v>1361274</v>
      </c>
      <c r="G34" s="171">
        <v>0</v>
      </c>
      <c r="H34" s="171">
        <v>9364</v>
      </c>
      <c r="I34" s="171">
        <v>0</v>
      </c>
      <c r="J34" s="171">
        <v>0</v>
      </c>
      <c r="K34" s="171">
        <v>1097180</v>
      </c>
      <c r="L34" s="171">
        <v>0</v>
      </c>
      <c r="M34" s="171">
        <v>0</v>
      </c>
      <c r="N34" s="171">
        <v>0</v>
      </c>
      <c r="O34" s="171">
        <v>0</v>
      </c>
      <c r="P34" s="171">
        <v>0</v>
      </c>
      <c r="Q34" s="171">
        <v>0</v>
      </c>
      <c r="R34" s="171">
        <v>0</v>
      </c>
      <c r="S34" s="171">
        <v>0</v>
      </c>
      <c r="T34" s="171">
        <v>0</v>
      </c>
      <c r="U34" s="171">
        <v>0</v>
      </c>
      <c r="V34" s="171">
        <v>0</v>
      </c>
      <c r="W34" s="171">
        <v>0</v>
      </c>
      <c r="X34" s="171">
        <v>0</v>
      </c>
      <c r="Y34" s="171">
        <v>0</v>
      </c>
      <c r="Z34" s="171">
        <v>0</v>
      </c>
      <c r="AA34" s="171">
        <v>0</v>
      </c>
      <c r="AB34" s="171">
        <v>0</v>
      </c>
      <c r="AC34" s="171">
        <v>0</v>
      </c>
      <c r="AD34" s="171">
        <v>0</v>
      </c>
      <c r="AE34" s="171">
        <v>0</v>
      </c>
      <c r="AF34" s="171">
        <v>0</v>
      </c>
      <c r="AG34" s="171">
        <v>0</v>
      </c>
      <c r="AH34" s="171">
        <v>254730</v>
      </c>
      <c r="AI34" s="171">
        <v>0</v>
      </c>
      <c r="AJ34" s="171">
        <v>0</v>
      </c>
      <c r="AK34" s="171">
        <v>0</v>
      </c>
      <c r="AL34" s="171">
        <v>0</v>
      </c>
      <c r="AM34" s="171">
        <v>0</v>
      </c>
      <c r="AN34" s="171">
        <v>0</v>
      </c>
    </row>
    <row r="35" spans="3:40" x14ac:dyDescent="0.3">
      <c r="C35" s="171">
        <v>47</v>
      </c>
      <c r="D35" s="171">
        <v>5</v>
      </c>
      <c r="E35" s="171">
        <v>9</v>
      </c>
      <c r="F35" s="171">
        <v>27971</v>
      </c>
      <c r="G35" s="171">
        <v>0</v>
      </c>
      <c r="H35" s="171">
        <v>0</v>
      </c>
      <c r="I35" s="171">
        <v>0</v>
      </c>
      <c r="J35" s="171">
        <v>0</v>
      </c>
      <c r="K35" s="171">
        <v>18143</v>
      </c>
      <c r="L35" s="171">
        <v>0</v>
      </c>
      <c r="M35" s="171">
        <v>0</v>
      </c>
      <c r="N35" s="171">
        <v>0</v>
      </c>
      <c r="O35" s="171">
        <v>0</v>
      </c>
      <c r="P35" s="171">
        <v>0</v>
      </c>
      <c r="Q35" s="171">
        <v>0</v>
      </c>
      <c r="R35" s="171">
        <v>0</v>
      </c>
      <c r="S35" s="171">
        <v>0</v>
      </c>
      <c r="T35" s="171">
        <v>0</v>
      </c>
      <c r="U35" s="171">
        <v>0</v>
      </c>
      <c r="V35" s="171">
        <v>0</v>
      </c>
      <c r="W35" s="171">
        <v>0</v>
      </c>
      <c r="X35" s="171">
        <v>0</v>
      </c>
      <c r="Y35" s="171">
        <v>0</v>
      </c>
      <c r="Z35" s="171">
        <v>0</v>
      </c>
      <c r="AA35" s="171">
        <v>0</v>
      </c>
      <c r="AB35" s="171">
        <v>0</v>
      </c>
      <c r="AC35" s="171">
        <v>0</v>
      </c>
      <c r="AD35" s="171">
        <v>0</v>
      </c>
      <c r="AE35" s="171">
        <v>0</v>
      </c>
      <c r="AF35" s="171">
        <v>0</v>
      </c>
      <c r="AG35" s="171">
        <v>0</v>
      </c>
      <c r="AH35" s="171">
        <v>9828</v>
      </c>
      <c r="AI35" s="171">
        <v>0</v>
      </c>
      <c r="AJ35" s="171">
        <v>0</v>
      </c>
      <c r="AK35" s="171">
        <v>0</v>
      </c>
      <c r="AL35" s="171">
        <v>0</v>
      </c>
      <c r="AM35" s="171">
        <v>0</v>
      </c>
      <c r="AN35" s="171">
        <v>0</v>
      </c>
    </row>
    <row r="36" spans="3:40" x14ac:dyDescent="0.3">
      <c r="C36" s="171">
        <v>47</v>
      </c>
      <c r="D36" s="171">
        <v>5</v>
      </c>
      <c r="E36" s="171">
        <v>10</v>
      </c>
      <c r="F36" s="171">
        <v>7948</v>
      </c>
      <c r="G36" s="171">
        <v>0</v>
      </c>
      <c r="H36" s="171">
        <v>0</v>
      </c>
      <c r="I36" s="171">
        <v>0</v>
      </c>
      <c r="J36" s="171">
        <v>0</v>
      </c>
      <c r="K36" s="171">
        <v>7948</v>
      </c>
      <c r="L36" s="171">
        <v>0</v>
      </c>
      <c r="M36" s="171">
        <v>0</v>
      </c>
      <c r="N36" s="171">
        <v>0</v>
      </c>
      <c r="O36" s="171">
        <v>0</v>
      </c>
      <c r="P36" s="171">
        <v>0</v>
      </c>
      <c r="Q36" s="171">
        <v>0</v>
      </c>
      <c r="R36" s="171">
        <v>0</v>
      </c>
      <c r="S36" s="171">
        <v>0</v>
      </c>
      <c r="T36" s="171">
        <v>0</v>
      </c>
      <c r="U36" s="171">
        <v>0</v>
      </c>
      <c r="V36" s="171">
        <v>0</v>
      </c>
      <c r="W36" s="171">
        <v>0</v>
      </c>
      <c r="X36" s="171">
        <v>0</v>
      </c>
      <c r="Y36" s="171">
        <v>0</v>
      </c>
      <c r="Z36" s="171">
        <v>0</v>
      </c>
      <c r="AA36" s="171">
        <v>0</v>
      </c>
      <c r="AB36" s="171">
        <v>0</v>
      </c>
      <c r="AC36" s="171">
        <v>0</v>
      </c>
      <c r="AD36" s="171">
        <v>0</v>
      </c>
      <c r="AE36" s="171">
        <v>0</v>
      </c>
      <c r="AF36" s="171">
        <v>0</v>
      </c>
      <c r="AG36" s="171">
        <v>0</v>
      </c>
      <c r="AH36" s="171">
        <v>0</v>
      </c>
      <c r="AI36" s="171">
        <v>0</v>
      </c>
      <c r="AJ36" s="171">
        <v>0</v>
      </c>
      <c r="AK36" s="171">
        <v>0</v>
      </c>
      <c r="AL36" s="171">
        <v>0</v>
      </c>
      <c r="AM36" s="171">
        <v>0</v>
      </c>
      <c r="AN36" s="171">
        <v>0</v>
      </c>
    </row>
    <row r="37" spans="3:40" x14ac:dyDescent="0.3">
      <c r="C37" s="171">
        <v>47</v>
      </c>
      <c r="D37" s="171">
        <v>5</v>
      </c>
      <c r="E37" s="171">
        <v>11</v>
      </c>
      <c r="F37" s="171">
        <v>5029.5</v>
      </c>
      <c r="G37" s="171">
        <v>0</v>
      </c>
      <c r="H37" s="171">
        <v>29.5</v>
      </c>
      <c r="I37" s="171">
        <v>0</v>
      </c>
      <c r="J37" s="171">
        <v>0</v>
      </c>
      <c r="K37" s="171">
        <v>5000</v>
      </c>
      <c r="L37" s="171">
        <v>0</v>
      </c>
      <c r="M37" s="171">
        <v>0</v>
      </c>
      <c r="N37" s="171">
        <v>0</v>
      </c>
      <c r="O37" s="171">
        <v>0</v>
      </c>
      <c r="P37" s="171">
        <v>0</v>
      </c>
      <c r="Q37" s="171">
        <v>0</v>
      </c>
      <c r="R37" s="171">
        <v>0</v>
      </c>
      <c r="S37" s="171">
        <v>0</v>
      </c>
      <c r="T37" s="171">
        <v>0</v>
      </c>
      <c r="U37" s="171">
        <v>0</v>
      </c>
      <c r="V37" s="171">
        <v>0</v>
      </c>
      <c r="W37" s="171">
        <v>0</v>
      </c>
      <c r="X37" s="171">
        <v>0</v>
      </c>
      <c r="Y37" s="171">
        <v>0</v>
      </c>
      <c r="Z37" s="171">
        <v>0</v>
      </c>
      <c r="AA37" s="171">
        <v>0</v>
      </c>
      <c r="AB37" s="171">
        <v>0</v>
      </c>
      <c r="AC37" s="171">
        <v>0</v>
      </c>
      <c r="AD37" s="171">
        <v>0</v>
      </c>
      <c r="AE37" s="171">
        <v>0</v>
      </c>
      <c r="AF37" s="171">
        <v>0</v>
      </c>
      <c r="AG37" s="171">
        <v>0</v>
      </c>
      <c r="AH37" s="171">
        <v>0</v>
      </c>
      <c r="AI37" s="171">
        <v>0</v>
      </c>
      <c r="AJ37" s="171">
        <v>0</v>
      </c>
      <c r="AK37" s="171">
        <v>0</v>
      </c>
      <c r="AL37" s="171">
        <v>0</v>
      </c>
      <c r="AM37" s="171">
        <v>0</v>
      </c>
      <c r="AN37" s="171">
        <v>0</v>
      </c>
    </row>
    <row r="38" spans="3:40" x14ac:dyDescent="0.3">
      <c r="C38" s="171">
        <v>47</v>
      </c>
      <c r="D38" s="171">
        <v>6</v>
      </c>
      <c r="E38" s="171">
        <v>1</v>
      </c>
      <c r="F38" s="171">
        <v>54.1</v>
      </c>
      <c r="G38" s="171">
        <v>0</v>
      </c>
      <c r="H38" s="171">
        <v>0.1</v>
      </c>
      <c r="I38" s="171">
        <v>0</v>
      </c>
      <c r="J38" s="171">
        <v>0</v>
      </c>
      <c r="K38" s="171">
        <v>41</v>
      </c>
      <c r="L38" s="171">
        <v>0</v>
      </c>
      <c r="M38" s="171">
        <v>0</v>
      </c>
      <c r="N38" s="171">
        <v>0</v>
      </c>
      <c r="O38" s="171">
        <v>0</v>
      </c>
      <c r="P38" s="171">
        <v>0</v>
      </c>
      <c r="Q38" s="171">
        <v>0</v>
      </c>
      <c r="R38" s="171">
        <v>0</v>
      </c>
      <c r="S38" s="171">
        <v>0</v>
      </c>
      <c r="T38" s="171">
        <v>0</v>
      </c>
      <c r="U38" s="171">
        <v>0</v>
      </c>
      <c r="V38" s="171">
        <v>0</v>
      </c>
      <c r="W38" s="171">
        <v>0</v>
      </c>
      <c r="X38" s="171">
        <v>0</v>
      </c>
      <c r="Y38" s="171">
        <v>0</v>
      </c>
      <c r="Z38" s="171">
        <v>0</v>
      </c>
      <c r="AA38" s="171">
        <v>0</v>
      </c>
      <c r="AB38" s="171">
        <v>0</v>
      </c>
      <c r="AC38" s="171">
        <v>0</v>
      </c>
      <c r="AD38" s="171">
        <v>0</v>
      </c>
      <c r="AE38" s="171">
        <v>0</v>
      </c>
      <c r="AF38" s="171">
        <v>0</v>
      </c>
      <c r="AG38" s="171">
        <v>0</v>
      </c>
      <c r="AH38" s="171">
        <v>13</v>
      </c>
      <c r="AI38" s="171">
        <v>0</v>
      </c>
      <c r="AJ38" s="171">
        <v>0</v>
      </c>
      <c r="AK38" s="171">
        <v>0</v>
      </c>
      <c r="AL38" s="171">
        <v>0</v>
      </c>
      <c r="AM38" s="171">
        <v>0</v>
      </c>
      <c r="AN38" s="171">
        <v>0</v>
      </c>
    </row>
    <row r="39" spans="3:40" x14ac:dyDescent="0.3">
      <c r="C39" s="171">
        <v>47</v>
      </c>
      <c r="D39" s="171">
        <v>6</v>
      </c>
      <c r="E39" s="171">
        <v>2</v>
      </c>
      <c r="F39" s="171">
        <v>7320.5</v>
      </c>
      <c r="G39" s="171">
        <v>0</v>
      </c>
      <c r="H39" s="171">
        <v>16</v>
      </c>
      <c r="I39" s="171">
        <v>0</v>
      </c>
      <c r="J39" s="171">
        <v>0</v>
      </c>
      <c r="K39" s="171">
        <v>5636.5</v>
      </c>
      <c r="L39" s="171">
        <v>0</v>
      </c>
      <c r="M39" s="171">
        <v>0</v>
      </c>
      <c r="N39" s="171">
        <v>0</v>
      </c>
      <c r="O39" s="171">
        <v>0</v>
      </c>
      <c r="P39" s="171">
        <v>0</v>
      </c>
      <c r="Q39" s="171">
        <v>0</v>
      </c>
      <c r="R39" s="171">
        <v>0</v>
      </c>
      <c r="S39" s="171">
        <v>0</v>
      </c>
      <c r="T39" s="171">
        <v>0</v>
      </c>
      <c r="U39" s="171">
        <v>0</v>
      </c>
      <c r="V39" s="171">
        <v>0</v>
      </c>
      <c r="W39" s="171">
        <v>0</v>
      </c>
      <c r="X39" s="171">
        <v>0</v>
      </c>
      <c r="Y39" s="171">
        <v>0</v>
      </c>
      <c r="Z39" s="171">
        <v>0</v>
      </c>
      <c r="AA39" s="171">
        <v>0</v>
      </c>
      <c r="AB39" s="171">
        <v>0</v>
      </c>
      <c r="AC39" s="171">
        <v>0</v>
      </c>
      <c r="AD39" s="171">
        <v>0</v>
      </c>
      <c r="AE39" s="171">
        <v>0</v>
      </c>
      <c r="AF39" s="171">
        <v>0</v>
      </c>
      <c r="AG39" s="171">
        <v>0</v>
      </c>
      <c r="AH39" s="171">
        <v>1668</v>
      </c>
      <c r="AI39" s="171">
        <v>0</v>
      </c>
      <c r="AJ39" s="171">
        <v>0</v>
      </c>
      <c r="AK39" s="171">
        <v>0</v>
      </c>
      <c r="AL39" s="171">
        <v>0</v>
      </c>
      <c r="AM39" s="171">
        <v>0</v>
      </c>
      <c r="AN39" s="171">
        <v>0</v>
      </c>
    </row>
    <row r="40" spans="3:40" x14ac:dyDescent="0.3">
      <c r="C40" s="171">
        <v>47</v>
      </c>
      <c r="D40" s="171">
        <v>6</v>
      </c>
      <c r="E40" s="171">
        <v>4</v>
      </c>
      <c r="F40" s="171">
        <v>515</v>
      </c>
      <c r="G40" s="171">
        <v>0</v>
      </c>
      <c r="H40" s="171">
        <v>0</v>
      </c>
      <c r="I40" s="171">
        <v>0</v>
      </c>
      <c r="J40" s="171">
        <v>0</v>
      </c>
      <c r="K40" s="171">
        <v>275</v>
      </c>
      <c r="L40" s="171">
        <v>0</v>
      </c>
      <c r="M40" s="171">
        <v>0</v>
      </c>
      <c r="N40" s="171">
        <v>0</v>
      </c>
      <c r="O40" s="171">
        <v>0</v>
      </c>
      <c r="P40" s="171">
        <v>0</v>
      </c>
      <c r="Q40" s="171">
        <v>0</v>
      </c>
      <c r="R40" s="171">
        <v>0</v>
      </c>
      <c r="S40" s="171">
        <v>0</v>
      </c>
      <c r="T40" s="171">
        <v>0</v>
      </c>
      <c r="U40" s="171">
        <v>0</v>
      </c>
      <c r="V40" s="171">
        <v>0</v>
      </c>
      <c r="W40" s="171">
        <v>0</v>
      </c>
      <c r="X40" s="171">
        <v>0</v>
      </c>
      <c r="Y40" s="171">
        <v>0</v>
      </c>
      <c r="Z40" s="171">
        <v>0</v>
      </c>
      <c r="AA40" s="171">
        <v>0</v>
      </c>
      <c r="AB40" s="171">
        <v>0</v>
      </c>
      <c r="AC40" s="171">
        <v>0</v>
      </c>
      <c r="AD40" s="171">
        <v>0</v>
      </c>
      <c r="AE40" s="171">
        <v>0</v>
      </c>
      <c r="AF40" s="171">
        <v>0</v>
      </c>
      <c r="AG40" s="171">
        <v>0</v>
      </c>
      <c r="AH40" s="171">
        <v>240</v>
      </c>
      <c r="AI40" s="171">
        <v>0</v>
      </c>
      <c r="AJ40" s="171">
        <v>0</v>
      </c>
      <c r="AK40" s="171">
        <v>0</v>
      </c>
      <c r="AL40" s="171">
        <v>0</v>
      </c>
      <c r="AM40" s="171">
        <v>0</v>
      </c>
      <c r="AN40" s="171">
        <v>0</v>
      </c>
    </row>
    <row r="41" spans="3:40" x14ac:dyDescent="0.3">
      <c r="C41" s="171">
        <v>47</v>
      </c>
      <c r="D41" s="171">
        <v>6</v>
      </c>
      <c r="E41" s="171">
        <v>6</v>
      </c>
      <c r="F41" s="171">
        <v>1338446</v>
      </c>
      <c r="G41" s="171">
        <v>0</v>
      </c>
      <c r="H41" s="171">
        <v>9344</v>
      </c>
      <c r="I41" s="171">
        <v>0</v>
      </c>
      <c r="J41" s="171">
        <v>0</v>
      </c>
      <c r="K41" s="171">
        <v>1066360</v>
      </c>
      <c r="L41" s="171">
        <v>0</v>
      </c>
      <c r="M41" s="171">
        <v>0</v>
      </c>
      <c r="N41" s="171">
        <v>0</v>
      </c>
      <c r="O41" s="171">
        <v>0</v>
      </c>
      <c r="P41" s="171">
        <v>0</v>
      </c>
      <c r="Q41" s="171">
        <v>0</v>
      </c>
      <c r="R41" s="171">
        <v>0</v>
      </c>
      <c r="S41" s="171">
        <v>0</v>
      </c>
      <c r="T41" s="171">
        <v>0</v>
      </c>
      <c r="U41" s="171">
        <v>0</v>
      </c>
      <c r="V41" s="171">
        <v>0</v>
      </c>
      <c r="W41" s="171">
        <v>0</v>
      </c>
      <c r="X41" s="171">
        <v>0</v>
      </c>
      <c r="Y41" s="171">
        <v>0</v>
      </c>
      <c r="Z41" s="171">
        <v>0</v>
      </c>
      <c r="AA41" s="171">
        <v>0</v>
      </c>
      <c r="AB41" s="171">
        <v>0</v>
      </c>
      <c r="AC41" s="171">
        <v>0</v>
      </c>
      <c r="AD41" s="171">
        <v>0</v>
      </c>
      <c r="AE41" s="171">
        <v>0</v>
      </c>
      <c r="AF41" s="171">
        <v>0</v>
      </c>
      <c r="AG41" s="171">
        <v>0</v>
      </c>
      <c r="AH41" s="171">
        <v>262742</v>
      </c>
      <c r="AI41" s="171">
        <v>0</v>
      </c>
      <c r="AJ41" s="171">
        <v>0</v>
      </c>
      <c r="AK41" s="171">
        <v>0</v>
      </c>
      <c r="AL41" s="171">
        <v>0</v>
      </c>
      <c r="AM41" s="171">
        <v>0</v>
      </c>
      <c r="AN41" s="171">
        <v>0</v>
      </c>
    </row>
    <row r="42" spans="3:40" x14ac:dyDescent="0.3">
      <c r="C42" s="171">
        <v>47</v>
      </c>
      <c r="D42" s="171">
        <v>6</v>
      </c>
      <c r="E42" s="171">
        <v>9</v>
      </c>
      <c r="F42" s="171">
        <v>34571</v>
      </c>
      <c r="G42" s="171">
        <v>0</v>
      </c>
      <c r="H42" s="171">
        <v>0</v>
      </c>
      <c r="I42" s="171">
        <v>0</v>
      </c>
      <c r="J42" s="171">
        <v>0</v>
      </c>
      <c r="K42" s="171">
        <v>21291</v>
      </c>
      <c r="L42" s="171">
        <v>0</v>
      </c>
      <c r="M42" s="171">
        <v>0</v>
      </c>
      <c r="N42" s="171">
        <v>0</v>
      </c>
      <c r="O42" s="171">
        <v>0</v>
      </c>
      <c r="P42" s="171">
        <v>0</v>
      </c>
      <c r="Q42" s="171">
        <v>0</v>
      </c>
      <c r="R42" s="171">
        <v>0</v>
      </c>
      <c r="S42" s="171">
        <v>0</v>
      </c>
      <c r="T42" s="171">
        <v>0</v>
      </c>
      <c r="U42" s="171">
        <v>0</v>
      </c>
      <c r="V42" s="171">
        <v>0</v>
      </c>
      <c r="W42" s="171">
        <v>0</v>
      </c>
      <c r="X42" s="171">
        <v>0</v>
      </c>
      <c r="Y42" s="171">
        <v>0</v>
      </c>
      <c r="Z42" s="171">
        <v>0</v>
      </c>
      <c r="AA42" s="171">
        <v>0</v>
      </c>
      <c r="AB42" s="171">
        <v>0</v>
      </c>
      <c r="AC42" s="171">
        <v>0</v>
      </c>
      <c r="AD42" s="171">
        <v>0</v>
      </c>
      <c r="AE42" s="171">
        <v>0</v>
      </c>
      <c r="AF42" s="171">
        <v>0</v>
      </c>
      <c r="AG42" s="171">
        <v>0</v>
      </c>
      <c r="AH42" s="171">
        <v>13280</v>
      </c>
      <c r="AI42" s="171">
        <v>0</v>
      </c>
      <c r="AJ42" s="171">
        <v>0</v>
      </c>
      <c r="AK42" s="171">
        <v>0</v>
      </c>
      <c r="AL42" s="171">
        <v>0</v>
      </c>
      <c r="AM42" s="171">
        <v>0</v>
      </c>
      <c r="AN42" s="171">
        <v>0</v>
      </c>
    </row>
    <row r="43" spans="3:40" x14ac:dyDescent="0.3">
      <c r="C43" s="171">
        <v>47</v>
      </c>
      <c r="D43" s="171">
        <v>6</v>
      </c>
      <c r="E43" s="171">
        <v>11</v>
      </c>
      <c r="F43" s="171">
        <v>5029.5</v>
      </c>
      <c r="G43" s="171">
        <v>0</v>
      </c>
      <c r="H43" s="171">
        <v>29.5</v>
      </c>
      <c r="I43" s="171">
        <v>0</v>
      </c>
      <c r="J43" s="171">
        <v>0</v>
      </c>
      <c r="K43" s="171">
        <v>5000</v>
      </c>
      <c r="L43" s="171">
        <v>0</v>
      </c>
      <c r="M43" s="171">
        <v>0</v>
      </c>
      <c r="N43" s="171">
        <v>0</v>
      </c>
      <c r="O43" s="171">
        <v>0</v>
      </c>
      <c r="P43" s="171">
        <v>0</v>
      </c>
      <c r="Q43" s="171">
        <v>0</v>
      </c>
      <c r="R43" s="171">
        <v>0</v>
      </c>
      <c r="S43" s="171">
        <v>0</v>
      </c>
      <c r="T43" s="171">
        <v>0</v>
      </c>
      <c r="U43" s="171">
        <v>0</v>
      </c>
      <c r="V43" s="171">
        <v>0</v>
      </c>
      <c r="W43" s="171">
        <v>0</v>
      </c>
      <c r="X43" s="171">
        <v>0</v>
      </c>
      <c r="Y43" s="171">
        <v>0</v>
      </c>
      <c r="Z43" s="171">
        <v>0</v>
      </c>
      <c r="AA43" s="171">
        <v>0</v>
      </c>
      <c r="AB43" s="171">
        <v>0</v>
      </c>
      <c r="AC43" s="171">
        <v>0</v>
      </c>
      <c r="AD43" s="171">
        <v>0</v>
      </c>
      <c r="AE43" s="171">
        <v>0</v>
      </c>
      <c r="AF43" s="171">
        <v>0</v>
      </c>
      <c r="AG43" s="171">
        <v>0</v>
      </c>
      <c r="AH43" s="171">
        <v>0</v>
      </c>
      <c r="AI43" s="171">
        <v>0</v>
      </c>
      <c r="AJ43" s="171">
        <v>0</v>
      </c>
      <c r="AK43" s="171">
        <v>0</v>
      </c>
      <c r="AL43" s="171">
        <v>0</v>
      </c>
      <c r="AM43" s="171">
        <v>0</v>
      </c>
      <c r="AN43" s="171">
        <v>0</v>
      </c>
    </row>
    <row r="44" spans="3:40" x14ac:dyDescent="0.3">
      <c r="C44" s="171">
        <v>47</v>
      </c>
      <c r="D44" s="171">
        <v>7</v>
      </c>
      <c r="E44" s="171">
        <v>1</v>
      </c>
      <c r="F44" s="171">
        <v>54.1</v>
      </c>
      <c r="G44" s="171">
        <v>0</v>
      </c>
      <c r="H44" s="171">
        <v>0.1</v>
      </c>
      <c r="I44" s="171">
        <v>0</v>
      </c>
      <c r="J44" s="171">
        <v>0</v>
      </c>
      <c r="K44" s="171">
        <v>41</v>
      </c>
      <c r="L44" s="171">
        <v>0</v>
      </c>
      <c r="M44" s="171">
        <v>0</v>
      </c>
      <c r="N44" s="171">
        <v>0</v>
      </c>
      <c r="O44" s="171">
        <v>0</v>
      </c>
      <c r="P44" s="171">
        <v>0</v>
      </c>
      <c r="Q44" s="171">
        <v>0</v>
      </c>
      <c r="R44" s="171">
        <v>0</v>
      </c>
      <c r="S44" s="171">
        <v>0</v>
      </c>
      <c r="T44" s="171">
        <v>0</v>
      </c>
      <c r="U44" s="171">
        <v>0</v>
      </c>
      <c r="V44" s="171">
        <v>0</v>
      </c>
      <c r="W44" s="171">
        <v>0</v>
      </c>
      <c r="X44" s="171">
        <v>0</v>
      </c>
      <c r="Y44" s="171">
        <v>0</v>
      </c>
      <c r="Z44" s="171">
        <v>0</v>
      </c>
      <c r="AA44" s="171">
        <v>0</v>
      </c>
      <c r="AB44" s="171">
        <v>0</v>
      </c>
      <c r="AC44" s="171">
        <v>0</v>
      </c>
      <c r="AD44" s="171">
        <v>0</v>
      </c>
      <c r="AE44" s="171">
        <v>0</v>
      </c>
      <c r="AF44" s="171">
        <v>0</v>
      </c>
      <c r="AG44" s="171">
        <v>0</v>
      </c>
      <c r="AH44" s="171">
        <v>13</v>
      </c>
      <c r="AI44" s="171">
        <v>0</v>
      </c>
      <c r="AJ44" s="171">
        <v>0</v>
      </c>
      <c r="AK44" s="171">
        <v>0</v>
      </c>
      <c r="AL44" s="171">
        <v>0</v>
      </c>
      <c r="AM44" s="171">
        <v>0</v>
      </c>
      <c r="AN44" s="171">
        <v>0</v>
      </c>
    </row>
    <row r="45" spans="3:40" x14ac:dyDescent="0.3">
      <c r="C45" s="171">
        <v>47</v>
      </c>
      <c r="D45" s="171">
        <v>7</v>
      </c>
      <c r="E45" s="171">
        <v>2</v>
      </c>
      <c r="F45" s="171">
        <v>6918.65</v>
      </c>
      <c r="G45" s="171">
        <v>0</v>
      </c>
      <c r="H45" s="171">
        <v>18.399999999999999</v>
      </c>
      <c r="I45" s="171">
        <v>0</v>
      </c>
      <c r="J45" s="171">
        <v>0</v>
      </c>
      <c r="K45" s="171">
        <v>5267.75</v>
      </c>
      <c r="L45" s="171">
        <v>0</v>
      </c>
      <c r="M45" s="171">
        <v>0</v>
      </c>
      <c r="N45" s="171">
        <v>0</v>
      </c>
      <c r="O45" s="171">
        <v>0</v>
      </c>
      <c r="P45" s="171">
        <v>0</v>
      </c>
      <c r="Q45" s="171">
        <v>0</v>
      </c>
      <c r="R45" s="171">
        <v>0</v>
      </c>
      <c r="S45" s="171">
        <v>0</v>
      </c>
      <c r="T45" s="171">
        <v>0</v>
      </c>
      <c r="U45" s="171">
        <v>0</v>
      </c>
      <c r="V45" s="171">
        <v>0</v>
      </c>
      <c r="W45" s="171">
        <v>0</v>
      </c>
      <c r="X45" s="171">
        <v>0</v>
      </c>
      <c r="Y45" s="171">
        <v>0</v>
      </c>
      <c r="Z45" s="171">
        <v>0</v>
      </c>
      <c r="AA45" s="171">
        <v>0</v>
      </c>
      <c r="AB45" s="171">
        <v>0</v>
      </c>
      <c r="AC45" s="171">
        <v>0</v>
      </c>
      <c r="AD45" s="171">
        <v>0</v>
      </c>
      <c r="AE45" s="171">
        <v>0</v>
      </c>
      <c r="AF45" s="171">
        <v>0</v>
      </c>
      <c r="AG45" s="171">
        <v>0</v>
      </c>
      <c r="AH45" s="171">
        <v>1632.5</v>
      </c>
      <c r="AI45" s="171">
        <v>0</v>
      </c>
      <c r="AJ45" s="171">
        <v>0</v>
      </c>
      <c r="AK45" s="171">
        <v>0</v>
      </c>
      <c r="AL45" s="171">
        <v>0</v>
      </c>
      <c r="AM45" s="171">
        <v>0</v>
      </c>
      <c r="AN45" s="171">
        <v>0</v>
      </c>
    </row>
    <row r="46" spans="3:40" x14ac:dyDescent="0.3">
      <c r="C46" s="171">
        <v>47</v>
      </c>
      <c r="D46" s="171">
        <v>7</v>
      </c>
      <c r="E46" s="171">
        <v>4</v>
      </c>
      <c r="F46" s="171">
        <v>450</v>
      </c>
      <c r="G46" s="171">
        <v>0</v>
      </c>
      <c r="H46" s="171">
        <v>0</v>
      </c>
      <c r="I46" s="171">
        <v>0</v>
      </c>
      <c r="J46" s="171">
        <v>0</v>
      </c>
      <c r="K46" s="171">
        <v>270</v>
      </c>
      <c r="L46" s="171">
        <v>0</v>
      </c>
      <c r="M46" s="171">
        <v>0</v>
      </c>
      <c r="N46" s="171">
        <v>0</v>
      </c>
      <c r="O46" s="171">
        <v>0</v>
      </c>
      <c r="P46" s="171">
        <v>0</v>
      </c>
      <c r="Q46" s="171">
        <v>0</v>
      </c>
      <c r="R46" s="171">
        <v>0</v>
      </c>
      <c r="S46" s="171">
        <v>0</v>
      </c>
      <c r="T46" s="171">
        <v>0</v>
      </c>
      <c r="U46" s="171">
        <v>0</v>
      </c>
      <c r="V46" s="171">
        <v>0</v>
      </c>
      <c r="W46" s="171">
        <v>0</v>
      </c>
      <c r="X46" s="171">
        <v>0</v>
      </c>
      <c r="Y46" s="171">
        <v>0</v>
      </c>
      <c r="Z46" s="171">
        <v>0</v>
      </c>
      <c r="AA46" s="171">
        <v>0</v>
      </c>
      <c r="AB46" s="171">
        <v>0</v>
      </c>
      <c r="AC46" s="171">
        <v>0</v>
      </c>
      <c r="AD46" s="171">
        <v>0</v>
      </c>
      <c r="AE46" s="171">
        <v>0</v>
      </c>
      <c r="AF46" s="171">
        <v>0</v>
      </c>
      <c r="AG46" s="171">
        <v>0</v>
      </c>
      <c r="AH46" s="171">
        <v>180</v>
      </c>
      <c r="AI46" s="171">
        <v>0</v>
      </c>
      <c r="AJ46" s="171">
        <v>0</v>
      </c>
      <c r="AK46" s="171">
        <v>0</v>
      </c>
      <c r="AL46" s="171">
        <v>0</v>
      </c>
      <c r="AM46" s="171">
        <v>0</v>
      </c>
      <c r="AN46" s="171">
        <v>0</v>
      </c>
    </row>
    <row r="47" spans="3:40" x14ac:dyDescent="0.3">
      <c r="C47" s="171">
        <v>47</v>
      </c>
      <c r="D47" s="171">
        <v>7</v>
      </c>
      <c r="E47" s="171">
        <v>6</v>
      </c>
      <c r="F47" s="171">
        <v>1873670</v>
      </c>
      <c r="G47" s="171">
        <v>0</v>
      </c>
      <c r="H47" s="171">
        <v>11318</v>
      </c>
      <c r="I47" s="171">
        <v>0</v>
      </c>
      <c r="J47" s="171">
        <v>0</v>
      </c>
      <c r="K47" s="171">
        <v>1497234</v>
      </c>
      <c r="L47" s="171">
        <v>0</v>
      </c>
      <c r="M47" s="171">
        <v>0</v>
      </c>
      <c r="N47" s="171">
        <v>0</v>
      </c>
      <c r="O47" s="171">
        <v>0</v>
      </c>
      <c r="P47" s="171">
        <v>0</v>
      </c>
      <c r="Q47" s="171">
        <v>0</v>
      </c>
      <c r="R47" s="171">
        <v>0</v>
      </c>
      <c r="S47" s="171">
        <v>0</v>
      </c>
      <c r="T47" s="171">
        <v>0</v>
      </c>
      <c r="U47" s="171">
        <v>0</v>
      </c>
      <c r="V47" s="171">
        <v>0</v>
      </c>
      <c r="W47" s="171">
        <v>0</v>
      </c>
      <c r="X47" s="171">
        <v>0</v>
      </c>
      <c r="Y47" s="171">
        <v>0</v>
      </c>
      <c r="Z47" s="171">
        <v>0</v>
      </c>
      <c r="AA47" s="171">
        <v>0</v>
      </c>
      <c r="AB47" s="171">
        <v>0</v>
      </c>
      <c r="AC47" s="171">
        <v>0</v>
      </c>
      <c r="AD47" s="171">
        <v>0</v>
      </c>
      <c r="AE47" s="171">
        <v>0</v>
      </c>
      <c r="AF47" s="171">
        <v>0</v>
      </c>
      <c r="AG47" s="171">
        <v>0</v>
      </c>
      <c r="AH47" s="171">
        <v>365118</v>
      </c>
      <c r="AI47" s="171">
        <v>0</v>
      </c>
      <c r="AJ47" s="171">
        <v>0</v>
      </c>
      <c r="AK47" s="171">
        <v>0</v>
      </c>
      <c r="AL47" s="171">
        <v>0</v>
      </c>
      <c r="AM47" s="171">
        <v>0</v>
      </c>
      <c r="AN47" s="171">
        <v>0</v>
      </c>
    </row>
    <row r="48" spans="3:40" x14ac:dyDescent="0.3">
      <c r="C48" s="171">
        <v>47</v>
      </c>
      <c r="D48" s="171">
        <v>7</v>
      </c>
      <c r="E48" s="171">
        <v>9</v>
      </c>
      <c r="F48" s="171">
        <v>479807</v>
      </c>
      <c r="G48" s="171">
        <v>0</v>
      </c>
      <c r="H48" s="171">
        <v>1980</v>
      </c>
      <c r="I48" s="171">
        <v>0</v>
      </c>
      <c r="J48" s="171">
        <v>0</v>
      </c>
      <c r="K48" s="171">
        <v>373762</v>
      </c>
      <c r="L48" s="171">
        <v>0</v>
      </c>
      <c r="M48" s="171">
        <v>0</v>
      </c>
      <c r="N48" s="171">
        <v>0</v>
      </c>
      <c r="O48" s="171">
        <v>0</v>
      </c>
      <c r="P48" s="171">
        <v>0</v>
      </c>
      <c r="Q48" s="171">
        <v>0</v>
      </c>
      <c r="R48" s="171">
        <v>0</v>
      </c>
      <c r="S48" s="171">
        <v>0</v>
      </c>
      <c r="T48" s="171">
        <v>0</v>
      </c>
      <c r="U48" s="171">
        <v>0</v>
      </c>
      <c r="V48" s="171">
        <v>0</v>
      </c>
      <c r="W48" s="171">
        <v>0</v>
      </c>
      <c r="X48" s="171">
        <v>0</v>
      </c>
      <c r="Y48" s="171">
        <v>0</v>
      </c>
      <c r="Z48" s="171">
        <v>0</v>
      </c>
      <c r="AA48" s="171">
        <v>0</v>
      </c>
      <c r="AB48" s="171">
        <v>0</v>
      </c>
      <c r="AC48" s="171">
        <v>0</v>
      </c>
      <c r="AD48" s="171">
        <v>0</v>
      </c>
      <c r="AE48" s="171">
        <v>0</v>
      </c>
      <c r="AF48" s="171">
        <v>0</v>
      </c>
      <c r="AG48" s="171">
        <v>0</v>
      </c>
      <c r="AH48" s="171">
        <v>104065</v>
      </c>
      <c r="AI48" s="171">
        <v>0</v>
      </c>
      <c r="AJ48" s="171">
        <v>0</v>
      </c>
      <c r="AK48" s="171">
        <v>0</v>
      </c>
      <c r="AL48" s="171">
        <v>0</v>
      </c>
      <c r="AM48" s="171">
        <v>0</v>
      </c>
      <c r="AN48" s="171">
        <v>0</v>
      </c>
    </row>
    <row r="49" spans="3:40" x14ac:dyDescent="0.3">
      <c r="C49" s="171">
        <v>47</v>
      </c>
      <c r="D49" s="171">
        <v>7</v>
      </c>
      <c r="E49" s="171">
        <v>10</v>
      </c>
      <c r="F49" s="171">
        <v>800</v>
      </c>
      <c r="G49" s="171">
        <v>0</v>
      </c>
      <c r="H49" s="171">
        <v>0</v>
      </c>
      <c r="I49" s="171">
        <v>0</v>
      </c>
      <c r="J49" s="171">
        <v>0</v>
      </c>
      <c r="K49" s="171">
        <v>800</v>
      </c>
      <c r="L49" s="171">
        <v>0</v>
      </c>
      <c r="M49" s="171">
        <v>0</v>
      </c>
      <c r="N49" s="171">
        <v>0</v>
      </c>
      <c r="O49" s="171">
        <v>0</v>
      </c>
      <c r="P49" s="171">
        <v>0</v>
      </c>
      <c r="Q49" s="171">
        <v>0</v>
      </c>
      <c r="R49" s="171">
        <v>0</v>
      </c>
      <c r="S49" s="171">
        <v>0</v>
      </c>
      <c r="T49" s="171">
        <v>0</v>
      </c>
      <c r="U49" s="171">
        <v>0</v>
      </c>
      <c r="V49" s="171">
        <v>0</v>
      </c>
      <c r="W49" s="171">
        <v>0</v>
      </c>
      <c r="X49" s="171">
        <v>0</v>
      </c>
      <c r="Y49" s="171">
        <v>0</v>
      </c>
      <c r="Z49" s="171">
        <v>0</v>
      </c>
      <c r="AA49" s="171">
        <v>0</v>
      </c>
      <c r="AB49" s="171">
        <v>0</v>
      </c>
      <c r="AC49" s="171">
        <v>0</v>
      </c>
      <c r="AD49" s="171">
        <v>0</v>
      </c>
      <c r="AE49" s="171">
        <v>0</v>
      </c>
      <c r="AF49" s="171">
        <v>0</v>
      </c>
      <c r="AG49" s="171">
        <v>0</v>
      </c>
      <c r="AH49" s="171">
        <v>0</v>
      </c>
      <c r="AI49" s="171">
        <v>0</v>
      </c>
      <c r="AJ49" s="171">
        <v>0</v>
      </c>
      <c r="AK49" s="171">
        <v>0</v>
      </c>
      <c r="AL49" s="171">
        <v>0</v>
      </c>
      <c r="AM49" s="171">
        <v>0</v>
      </c>
      <c r="AN49" s="171">
        <v>0</v>
      </c>
    </row>
    <row r="50" spans="3:40" x14ac:dyDescent="0.3">
      <c r="C50" s="171">
        <v>47</v>
      </c>
      <c r="D50" s="171">
        <v>7</v>
      </c>
      <c r="E50" s="171">
        <v>11</v>
      </c>
      <c r="F50" s="171">
        <v>5029.5</v>
      </c>
      <c r="G50" s="171">
        <v>0</v>
      </c>
      <c r="H50" s="171">
        <v>29.5</v>
      </c>
      <c r="I50" s="171">
        <v>0</v>
      </c>
      <c r="J50" s="171">
        <v>0</v>
      </c>
      <c r="K50" s="171">
        <v>5000</v>
      </c>
      <c r="L50" s="171">
        <v>0</v>
      </c>
      <c r="M50" s="171">
        <v>0</v>
      </c>
      <c r="N50" s="171">
        <v>0</v>
      </c>
      <c r="O50" s="171">
        <v>0</v>
      </c>
      <c r="P50" s="171">
        <v>0</v>
      </c>
      <c r="Q50" s="171">
        <v>0</v>
      </c>
      <c r="R50" s="171">
        <v>0</v>
      </c>
      <c r="S50" s="171">
        <v>0</v>
      </c>
      <c r="T50" s="171">
        <v>0</v>
      </c>
      <c r="U50" s="171">
        <v>0</v>
      </c>
      <c r="V50" s="171">
        <v>0</v>
      </c>
      <c r="W50" s="171">
        <v>0</v>
      </c>
      <c r="X50" s="171">
        <v>0</v>
      </c>
      <c r="Y50" s="171">
        <v>0</v>
      </c>
      <c r="Z50" s="171">
        <v>0</v>
      </c>
      <c r="AA50" s="171">
        <v>0</v>
      </c>
      <c r="AB50" s="171">
        <v>0</v>
      </c>
      <c r="AC50" s="171">
        <v>0</v>
      </c>
      <c r="AD50" s="171">
        <v>0</v>
      </c>
      <c r="AE50" s="171">
        <v>0</v>
      </c>
      <c r="AF50" s="171">
        <v>0</v>
      </c>
      <c r="AG50" s="171">
        <v>0</v>
      </c>
      <c r="AH50" s="171">
        <v>0</v>
      </c>
      <c r="AI50" s="171">
        <v>0</v>
      </c>
      <c r="AJ50" s="171">
        <v>0</v>
      </c>
      <c r="AK50" s="171">
        <v>0</v>
      </c>
      <c r="AL50" s="171">
        <v>0</v>
      </c>
      <c r="AM50" s="171">
        <v>0</v>
      </c>
      <c r="AN50" s="171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0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14" bestFit="1" customWidth="1"/>
    <col min="2" max="2" width="11.6640625" style="114" hidden="1" customWidth="1"/>
    <col min="3" max="4" width="11" style="116" customWidth="1"/>
    <col min="5" max="5" width="11" style="117" customWidth="1"/>
    <col min="6" max="16384" width="8.88671875" style="114"/>
  </cols>
  <sheetData>
    <row r="1" spans="1:5" ht="18.600000000000001" thickBot="1" x14ac:dyDescent="0.4">
      <c r="A1" s="258" t="s">
        <v>73</v>
      </c>
      <c r="B1" s="258"/>
      <c r="C1" s="259"/>
      <c r="D1" s="259"/>
      <c r="E1" s="259"/>
    </row>
    <row r="2" spans="1:5" ht="14.4" customHeight="1" thickBot="1" x14ac:dyDescent="0.35">
      <c r="A2" s="175" t="s">
        <v>205</v>
      </c>
      <c r="B2" s="115"/>
    </row>
    <row r="3" spans="1:5" ht="14.4" customHeight="1" thickBot="1" x14ac:dyDescent="0.35">
      <c r="A3" s="118"/>
      <c r="C3" s="119" t="s">
        <v>62</v>
      </c>
      <c r="D3" s="120" t="s">
        <v>55</v>
      </c>
      <c r="E3" s="121" t="s">
        <v>57</v>
      </c>
    </row>
    <row r="4" spans="1:5" ht="14.4" customHeight="1" thickBot="1" x14ac:dyDescent="0.35">
      <c r="A4" s="122" t="str">
        <f>HYPERLINK("#HI!A1","NÁKLADY CELKEM (v tisících Kč)")</f>
        <v>NÁKLADY CELKEM (v tisících Kč)</v>
      </c>
      <c r="B4" s="123"/>
      <c r="C4" s="124">
        <f ca="1">IF(ISERROR(VLOOKUP("Náklady celkem",INDIRECT("HI!$A:$G"),6,0)),0,VLOOKUP("Náklady celkem",INDIRECT("HI!$A:$G"),6,0))</f>
        <v>38510.165785355755</v>
      </c>
      <c r="D4" s="124">
        <f ca="1">IF(ISERROR(VLOOKUP("Náklady celkem",INDIRECT("HI!$A:$G"),5,0)),0,VLOOKUP("Náklady celkem",INDIRECT("HI!$A:$G"),5,0))</f>
        <v>44749.090050000035</v>
      </c>
      <c r="E4" s="125">
        <f ca="1">IF(C4=0,0,D4/C4)</f>
        <v>1.1620072034853912</v>
      </c>
    </row>
    <row r="5" spans="1:5" ht="14.4" customHeight="1" x14ac:dyDescent="0.3">
      <c r="A5" s="126" t="s">
        <v>82</v>
      </c>
      <c r="B5" s="127"/>
      <c r="C5" s="128"/>
      <c r="D5" s="128"/>
      <c r="E5" s="129"/>
    </row>
    <row r="6" spans="1:5" ht="14.4" customHeight="1" x14ac:dyDescent="0.3">
      <c r="A6" s="130" t="s">
        <v>87</v>
      </c>
      <c r="B6" s="131"/>
      <c r="C6" s="132"/>
      <c r="D6" s="132"/>
      <c r="E6" s="129"/>
    </row>
    <row r="7" spans="1:5" ht="14.4" customHeight="1" x14ac:dyDescent="0.3">
      <c r="A7" s="133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31" t="s">
        <v>66</v>
      </c>
      <c r="C7" s="132">
        <f>IF(ISERROR(HI!F5),"",HI!F5)</f>
        <v>521.38675657530473</v>
      </c>
      <c r="D7" s="132">
        <f>IF(ISERROR(HI!E5),"",HI!E5)</f>
        <v>510.86978999999997</v>
      </c>
      <c r="E7" s="129">
        <f t="shared" ref="E7:E12" si="0">IF(C7=0,0,D7/C7)</f>
        <v>0.97982885747926396</v>
      </c>
    </row>
    <row r="8" spans="1:5" ht="14.4" customHeight="1" x14ac:dyDescent="0.3">
      <c r="A8" s="252" t="str">
        <f>HYPERLINK("#'LŽ Statim'!A1","% podíl statimových žádanek")</f>
        <v>% podíl statimových žádanek</v>
      </c>
      <c r="B8" s="250" t="s">
        <v>203</v>
      </c>
      <c r="C8" s="251">
        <v>0.3</v>
      </c>
      <c r="D8" s="251">
        <f>IF('LŽ Statim'!G3="",0,'LŽ Statim'!G3)</f>
        <v>0</v>
      </c>
      <c r="E8" s="129">
        <f>IF(C8=0,0,D8/C8)</f>
        <v>0</v>
      </c>
    </row>
    <row r="9" spans="1:5" ht="14.4" customHeight="1" x14ac:dyDescent="0.3">
      <c r="A9" s="134" t="s">
        <v>83</v>
      </c>
      <c r="B9" s="131"/>
      <c r="C9" s="132"/>
      <c r="D9" s="132"/>
      <c r="E9" s="129"/>
    </row>
    <row r="10" spans="1:5" ht="14.4" customHeight="1" x14ac:dyDescent="0.3">
      <c r="A10" s="134" t="s">
        <v>84</v>
      </c>
      <c r="B10" s="131"/>
      <c r="C10" s="132"/>
      <c r="D10" s="132"/>
      <c r="E10" s="129"/>
    </row>
    <row r="11" spans="1:5" ht="14.4" customHeight="1" x14ac:dyDescent="0.3">
      <c r="A11" s="135" t="s">
        <v>88</v>
      </c>
      <c r="B11" s="131"/>
      <c r="C11" s="128"/>
      <c r="D11" s="128"/>
      <c r="E11" s="129"/>
    </row>
    <row r="12" spans="1:5" ht="14.4" customHeight="1" x14ac:dyDescent="0.3">
      <c r="A12" s="136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2" s="131" t="s">
        <v>66</v>
      </c>
      <c r="C12" s="132">
        <f>IF(ISERROR(HI!F6),"",HI!F6)</f>
        <v>5254.4640136295302</v>
      </c>
      <c r="D12" s="132">
        <f>IF(ISERROR(HI!E6),"",HI!E6)</f>
        <v>6806.17263000001</v>
      </c>
      <c r="E12" s="129">
        <f t="shared" si="0"/>
        <v>1.2953124452552172</v>
      </c>
    </row>
    <row r="13" spans="1:5" ht="14.4" customHeight="1" thickBot="1" x14ac:dyDescent="0.35">
      <c r="A13" s="137" t="str">
        <f>HYPERLINK("#HI!A1","Osobní náklady")</f>
        <v>Osobní náklady</v>
      </c>
      <c r="B13" s="131"/>
      <c r="C13" s="128">
        <f ca="1">IF(ISERROR(VLOOKUP("Osobní náklady (Kč) *",INDIRECT("HI!$A:$G"),6,0)),0,VLOOKUP("Osobní náklady (Kč) *",INDIRECT("HI!$A:$G"),6,0))</f>
        <v>12296.727494731398</v>
      </c>
      <c r="D13" s="128">
        <f ca="1">IF(ISERROR(VLOOKUP("Osobní náklady (Kč) *",INDIRECT("HI!$A:$G"),5,0)),0,VLOOKUP("Osobní náklady (Kč) *",INDIRECT("HI!$A:$G"),5,0))</f>
        <v>13201.091580000009</v>
      </c>
      <c r="E13" s="129">
        <f ca="1">IF(C13=0,0,D13/C13)</f>
        <v>1.0735451026019802</v>
      </c>
    </row>
    <row r="14" spans="1:5" ht="14.4" customHeight="1" thickBot="1" x14ac:dyDescent="0.35">
      <c r="A14" s="141"/>
      <c r="B14" s="142"/>
      <c r="C14" s="143"/>
      <c r="D14" s="143"/>
      <c r="E14" s="144"/>
    </row>
    <row r="15" spans="1:5" ht="14.4" customHeight="1" thickBot="1" x14ac:dyDescent="0.35">
      <c r="A15" s="145" t="str">
        <f>HYPERLINK("#HI!A1","VÝNOSY CELKEM (v tisících)")</f>
        <v>VÝNOSY CELKEM (v tisících)</v>
      </c>
      <c r="B15" s="146"/>
      <c r="C15" s="147">
        <f ca="1">IF(ISERROR(VLOOKUP("Výnosy celkem",INDIRECT("HI!$A:$G"),6,0)),0,VLOOKUP("Výnosy celkem",INDIRECT("HI!$A:$G"),6,0))</f>
        <v>0</v>
      </c>
      <c r="D15" s="147">
        <f ca="1">IF(ISERROR(VLOOKUP("Výnosy celkem",INDIRECT("HI!$A:$G"),5,0)),0,VLOOKUP("Výnosy celkem",INDIRECT("HI!$A:$G"),5,0))</f>
        <v>0</v>
      </c>
      <c r="E15" s="148">
        <f t="shared" ref="E15:E16" ca="1" si="1">IF(C15=0,0,D15/C15)</f>
        <v>0</v>
      </c>
    </row>
    <row r="16" spans="1:5" ht="14.4" customHeight="1" x14ac:dyDescent="0.3">
      <c r="A16" s="149" t="str">
        <f>HYPERLINK("#HI!A1","Ambulance (body za výkony + Kč za ZUM a ZULP)")</f>
        <v>Ambulance (body za výkony + Kč za ZUM a ZULP)</v>
      </c>
      <c r="B16" s="127"/>
      <c r="C16" s="128">
        <f ca="1">IF(ISERROR(VLOOKUP("Ambulance *",INDIRECT("HI!$A:$G"),6,0)),0,VLOOKUP("Ambulance *",INDIRECT("HI!$A:$G"),6,0))</f>
        <v>0</v>
      </c>
      <c r="D16" s="128">
        <f ca="1">IF(ISERROR(VLOOKUP("Ambulance *",INDIRECT("HI!$A:$G"),5,0)),0,VLOOKUP("Ambulance *",INDIRECT("HI!$A:$G"),5,0))</f>
        <v>0</v>
      </c>
      <c r="E16" s="129">
        <f t="shared" ca="1" si="1"/>
        <v>0</v>
      </c>
    </row>
    <row r="17" spans="1:5" ht="14.4" customHeight="1" x14ac:dyDescent="0.3">
      <c r="A17" s="150" t="str">
        <f>HYPERLINK("#HI!A1","Hospitalizace (casemix * 30000)")</f>
        <v>Hospitalizace (casemix * 30000)</v>
      </c>
      <c r="B17" s="131"/>
      <c r="C17" s="128">
        <f ca="1">IF(ISERROR(VLOOKUP("Hospitalizace *",INDIRECT("HI!$A:$G"),6,0)),0,VLOOKUP("Hospitalizace *",INDIRECT("HI!$A:$G"),6,0))</f>
        <v>0</v>
      </c>
      <c r="D17" s="128">
        <f ca="1">IF(ISERROR(VLOOKUP("Hospitalizace *",INDIRECT("HI!$A:$G"),5,0)),0,VLOOKUP("Hospitalizace *",INDIRECT("HI!$A:$G"),5,0))</f>
        <v>0</v>
      </c>
      <c r="E17" s="129">
        <f ca="1">IF(C17=0,0,D17/C17)</f>
        <v>0</v>
      </c>
    </row>
    <row r="18" spans="1:5" ht="14.4" customHeight="1" thickBot="1" x14ac:dyDescent="0.35">
      <c r="A18" s="151" t="s">
        <v>85</v>
      </c>
      <c r="B18" s="138"/>
      <c r="C18" s="139"/>
      <c r="D18" s="139"/>
      <c r="E18" s="140"/>
    </row>
    <row r="19" spans="1:5" ht="14.4" customHeight="1" thickBot="1" x14ac:dyDescent="0.35">
      <c r="A19" s="152"/>
      <c r="B19" s="153"/>
      <c r="C19" s="154"/>
      <c r="D19" s="154"/>
      <c r="E19" s="155"/>
    </row>
    <row r="20" spans="1:5" ht="14.4" customHeight="1" thickBot="1" x14ac:dyDescent="0.35">
      <c r="A20" s="156" t="s">
        <v>86</v>
      </c>
      <c r="B20" s="157"/>
      <c r="C20" s="158"/>
      <c r="D20" s="158"/>
      <c r="E20" s="159"/>
    </row>
  </sheetData>
  <mergeCells count="1">
    <mergeCell ref="A1:E1"/>
  </mergeCells>
  <conditionalFormatting sqref="E5">
    <cfRule type="cellIs" dxfId="47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1">
    <cfRule type="cellIs" dxfId="46" priority="15" operator="greaterThan">
      <formula>1</formula>
    </cfRule>
    <cfRule type="iconSet" priority="16">
      <iconSet iconSet="3Symbols2" reverse="1">
        <cfvo type="percent" val="0"/>
        <cfvo type="num" val="1"/>
        <cfvo type="num" val="1"/>
      </iconSet>
    </cfRule>
  </conditionalFormatting>
  <conditionalFormatting sqref="E13">
    <cfRule type="cellIs" dxfId="45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44" priority="9" operator="lessThan">
      <formula>1</formula>
    </cfRule>
    <cfRule type="iconSet" priority="10">
      <iconSet iconSet="3Symbols2">
        <cfvo type="percent" val="0"/>
        <cfvo type="num" val="1"/>
        <cfvo type="num" val="1"/>
      </iconSet>
    </cfRule>
  </conditionalFormatting>
  <conditionalFormatting sqref="E17">
    <cfRule type="cellIs" dxfId="43" priority="7" operator="lessThan">
      <formula>1</formula>
    </cfRule>
    <cfRule type="iconSet" priority="8">
      <iconSet iconSet="3Symbols2">
        <cfvo type="percent" val="0"/>
        <cfvo type="num" val="1"/>
        <cfvo type="num" val="1"/>
      </iconSet>
    </cfRule>
  </conditionalFormatting>
  <conditionalFormatting sqref="E6">
    <cfRule type="cellIs" dxfId="42" priority="5" operator="greaterThan">
      <formula>1</formula>
    </cfRule>
    <cfRule type="iconSet" priority="6">
      <iconSet iconSet="3Symbols2" reverse="1">
        <cfvo type="percent" val="0"/>
        <cfvo type="num" val="1"/>
        <cfvo type="num" val="1"/>
      </iconSet>
    </cfRule>
  </conditionalFormatting>
  <conditionalFormatting sqref="E15">
    <cfRule type="cellIs" dxfId="41" priority="20" operator="lessThan">
      <formula>1</formula>
    </cfRule>
  </conditionalFormatting>
  <conditionalFormatting sqref="E8">
    <cfRule type="cellIs" dxfId="40" priority="3" operator="greaterThan">
      <formula>1</formula>
    </cfRule>
    <cfRule type="iconSet" priority="4">
      <iconSet iconSet="3Symbols2" reverse="1">
        <cfvo type="percent" val="0"/>
        <cfvo type="num" val="1"/>
        <cfvo type="num" val="1"/>
      </iconSet>
    </cfRule>
  </conditionalFormatting>
  <conditionalFormatting sqref="E15">
    <cfRule type="iconSet" priority="52">
      <iconSet iconSet="3Symbols2">
        <cfvo type="percent" val="0"/>
        <cfvo type="num" val="1"/>
        <cfvo type="num" val="1"/>
      </iconSet>
    </cfRule>
  </conditionalFormatting>
  <conditionalFormatting sqref="E4 E7 E12">
    <cfRule type="cellIs" dxfId="39" priority="57" operator="greaterThan">
      <formula>1</formula>
    </cfRule>
    <cfRule type="iconSet" priority="58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H23"/>
  <sheetViews>
    <sheetView showGridLines="0" showRowColHeaders="0" zoomScaleNormal="100" workbookViewId="0">
      <selection sqref="A1:H1"/>
    </sheetView>
  </sheetViews>
  <sheetFormatPr defaultRowHeight="14.4" customHeight="1" x14ac:dyDescent="0.3"/>
  <cols>
    <col min="1" max="1" width="34.21875" style="96" bestFit="1" customWidth="1"/>
    <col min="2" max="3" width="9.5546875" style="96" customWidth="1"/>
    <col min="4" max="4" width="2.21875" style="96" customWidth="1"/>
    <col min="5" max="8" width="9.5546875" style="96" customWidth="1"/>
    <col min="9" max="16384" width="8.88671875" style="96"/>
  </cols>
  <sheetData>
    <row r="1" spans="1:8" ht="18.600000000000001" customHeight="1" thickBot="1" x14ac:dyDescent="0.4">
      <c r="A1" s="258" t="s">
        <v>76</v>
      </c>
      <c r="B1" s="258"/>
      <c r="C1" s="258"/>
      <c r="D1" s="258"/>
      <c r="E1" s="258"/>
      <c r="F1" s="258"/>
      <c r="G1" s="259"/>
      <c r="H1" s="259"/>
    </row>
    <row r="2" spans="1:8" ht="14.4" customHeight="1" thickBot="1" x14ac:dyDescent="0.35">
      <c r="A2" s="175" t="s">
        <v>205</v>
      </c>
      <c r="B2" s="77"/>
      <c r="C2" s="77"/>
      <c r="D2" s="77"/>
      <c r="E2" s="77"/>
      <c r="F2" s="77"/>
    </row>
    <row r="3" spans="1:8" ht="14.4" customHeight="1" x14ac:dyDescent="0.3">
      <c r="A3" s="260"/>
      <c r="B3" s="73">
        <v>2012</v>
      </c>
      <c r="C3" s="40">
        <v>2013</v>
      </c>
      <c r="D3" s="7"/>
      <c r="E3" s="264">
        <v>2014</v>
      </c>
      <c r="F3" s="265"/>
      <c r="G3" s="265"/>
      <c r="H3" s="266"/>
    </row>
    <row r="4" spans="1:8" ht="14.4" customHeight="1" thickBot="1" x14ac:dyDescent="0.35">
      <c r="A4" s="261"/>
      <c r="B4" s="262" t="s">
        <v>55</v>
      </c>
      <c r="C4" s="263"/>
      <c r="D4" s="7"/>
      <c r="E4" s="94" t="s">
        <v>55</v>
      </c>
      <c r="F4" s="75" t="s">
        <v>56</v>
      </c>
      <c r="G4" s="75" t="s">
        <v>52</v>
      </c>
      <c r="H4" s="76" t="s">
        <v>57</v>
      </c>
    </row>
    <row r="5" spans="1:8" ht="14.4" customHeight="1" x14ac:dyDescent="0.3">
      <c r="A5" s="78" t="str">
        <f>HYPERLINK("#'Léky Žádanky'!A1","Léky (Kč)")</f>
        <v>Léky (Kč)</v>
      </c>
      <c r="B5" s="27">
        <v>470.75558999999998</v>
      </c>
      <c r="C5" s="29">
        <v>508.18867999999907</v>
      </c>
      <c r="D5" s="8"/>
      <c r="E5" s="83">
        <v>510.86978999999997</v>
      </c>
      <c r="F5" s="28">
        <v>521.38675657530473</v>
      </c>
      <c r="G5" s="82">
        <f>E5-F5</f>
        <v>-10.516966575304764</v>
      </c>
      <c r="H5" s="88">
        <f>IF(F5&lt;0.00000001,"",E5/F5)</f>
        <v>0.97982885747926396</v>
      </c>
    </row>
    <row r="6" spans="1:8" ht="14.4" customHeight="1" x14ac:dyDescent="0.3">
      <c r="A6" s="78" t="str">
        <f>HYPERLINK("#'Materiál Žádanky'!A1","Materiál - SZM (Kč)")</f>
        <v>Materiál - SZM (Kč)</v>
      </c>
      <c r="B6" s="10">
        <v>761.74266999999986</v>
      </c>
      <c r="C6" s="31">
        <v>4276.8122299999986</v>
      </c>
      <c r="D6" s="8"/>
      <c r="E6" s="84">
        <v>6806.17263000001</v>
      </c>
      <c r="F6" s="30">
        <v>5254.4640136295302</v>
      </c>
      <c r="G6" s="85">
        <f>E6-F6</f>
        <v>1551.7086163704798</v>
      </c>
      <c r="H6" s="89">
        <f>IF(F6&lt;0.00000001,"",E6/F6)</f>
        <v>1.2953124452552172</v>
      </c>
    </row>
    <row r="7" spans="1:8" ht="14.4" customHeight="1" x14ac:dyDescent="0.3">
      <c r="A7" s="78" t="str">
        <f>HYPERLINK("#'Osobní náklady'!A1","Osobní náklady (Kč) *")</f>
        <v>Osobní náklady (Kč) *</v>
      </c>
      <c r="B7" s="10">
        <v>13357.168659999999</v>
      </c>
      <c r="C7" s="31">
        <v>12677.88639</v>
      </c>
      <c r="D7" s="8"/>
      <c r="E7" s="84">
        <v>13201.091580000009</v>
      </c>
      <c r="F7" s="30">
        <v>12296.727494731398</v>
      </c>
      <c r="G7" s="85">
        <f>E7-F7</f>
        <v>904.36408526861123</v>
      </c>
      <c r="H7" s="89">
        <f>IF(F7&lt;0.00000001,"",E7/F7)</f>
        <v>1.0735451026019802</v>
      </c>
    </row>
    <row r="8" spans="1:8" ht="14.4" customHeight="1" thickBot="1" x14ac:dyDescent="0.35">
      <c r="A8" s="1" t="s">
        <v>58</v>
      </c>
      <c r="B8" s="11">
        <v>21458.254680000002</v>
      </c>
      <c r="C8" s="33">
        <v>19965.564769999986</v>
      </c>
      <c r="D8" s="8"/>
      <c r="E8" s="86">
        <v>24230.956050000015</v>
      </c>
      <c r="F8" s="32">
        <v>20437.587520419525</v>
      </c>
      <c r="G8" s="87">
        <f>E8-F8</f>
        <v>3793.3685295804898</v>
      </c>
      <c r="H8" s="90">
        <f>IF(F8&lt;0.00000001,"",E8/F8)</f>
        <v>1.1856074512605987</v>
      </c>
    </row>
    <row r="9" spans="1:8" ht="14.4" customHeight="1" thickBot="1" x14ac:dyDescent="0.35">
      <c r="A9" s="2" t="s">
        <v>59</v>
      </c>
      <c r="B9" s="3">
        <v>36047.921600000001</v>
      </c>
      <c r="C9" s="35">
        <v>37428.452069999985</v>
      </c>
      <c r="D9" s="8"/>
      <c r="E9" s="3">
        <v>44749.090050000035</v>
      </c>
      <c r="F9" s="34">
        <v>38510.165785355755</v>
      </c>
      <c r="G9" s="34">
        <f>E9-F9</f>
        <v>6238.9242646442799</v>
      </c>
      <c r="H9" s="91">
        <f>IF(F9&lt;0.00000001,"",E9/F9)</f>
        <v>1.1620072034853912</v>
      </c>
    </row>
    <row r="10" spans="1:8" ht="14.4" customHeight="1" thickBot="1" x14ac:dyDescent="0.35">
      <c r="A10" s="12"/>
      <c r="B10" s="12"/>
      <c r="C10" s="74"/>
      <c r="D10" s="8"/>
      <c r="E10" s="12"/>
      <c r="F10" s="13"/>
    </row>
    <row r="11" spans="1:8" ht="14.4" customHeight="1" x14ac:dyDescent="0.3">
      <c r="A11" s="99" t="str">
        <f>HYPERLINK("#'ZV Vykáz.-A'!A1","Ambulance *")</f>
        <v>Ambulance *</v>
      </c>
      <c r="B11" s="9">
        <f>IF(ISERROR(VLOOKUP("Celkem:",#REF!,2,0)),0,VLOOKUP("Celkem:",#REF!,2,0)/1000)</f>
        <v>0</v>
      </c>
      <c r="C11" s="29">
        <f>IF(ISERROR(VLOOKUP("Celkem:",#REF!,4,0)),0,VLOOKUP("Celkem:",#REF!,4,0)/1000)</f>
        <v>0</v>
      </c>
      <c r="D11" s="8"/>
      <c r="E11" s="83">
        <f>IF(ISERROR(VLOOKUP("Celkem:",#REF!,6,0)),0,VLOOKUP("Celkem:",#REF!,6,0)/1000)</f>
        <v>0</v>
      </c>
      <c r="F11" s="28">
        <f>B11</f>
        <v>0</v>
      </c>
      <c r="G11" s="82">
        <f>E11-F11</f>
        <v>0</v>
      </c>
      <c r="H11" s="88" t="str">
        <f>IF(F11&lt;0.00000001,"",E11/F11)</f>
        <v/>
      </c>
    </row>
    <row r="12" spans="1:8" ht="14.4" customHeight="1" thickBot="1" x14ac:dyDescent="0.35">
      <c r="A12" s="100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86">
        <f>IF(ISERROR(VLOOKUP("Celkem",#REF!,4,0)),0,VLOOKUP("Celkem",#REF!,4,0)*30)</f>
        <v>0</v>
      </c>
      <c r="F12" s="32">
        <f>B12</f>
        <v>0</v>
      </c>
      <c r="G12" s="87">
        <f>E12-F12</f>
        <v>0</v>
      </c>
      <c r="H12" s="90" t="str">
        <f>IF(F12&lt;0.00000001,"",E12/F12)</f>
        <v/>
      </c>
    </row>
    <row r="13" spans="1:8" ht="14.4" customHeight="1" thickBot="1" x14ac:dyDescent="0.35">
      <c r="A13" s="4" t="s">
        <v>60</v>
      </c>
      <c r="B13" s="5">
        <f>SUM(B11:B12)</f>
        <v>0</v>
      </c>
      <c r="C13" s="37">
        <f>SUM(C11:C12)</f>
        <v>0</v>
      </c>
      <c r="D13" s="8"/>
      <c r="E13" s="5">
        <f>SUM(E11:E12)</f>
        <v>0</v>
      </c>
      <c r="F13" s="36">
        <f>SUM(F11:F12)</f>
        <v>0</v>
      </c>
      <c r="G13" s="36">
        <f>E13-F13</f>
        <v>0</v>
      </c>
      <c r="H13" s="92" t="str">
        <f>IF(F13&lt;0.00000001,"",E13/F13)</f>
        <v/>
      </c>
    </row>
    <row r="14" spans="1:8" ht="14.4" customHeight="1" thickBot="1" x14ac:dyDescent="0.35">
      <c r="A14" s="12"/>
      <c r="B14" s="12"/>
      <c r="C14" s="74"/>
      <c r="D14" s="8"/>
      <c r="E14" s="12"/>
      <c r="F14" s="13"/>
    </row>
    <row r="15" spans="1:8" ht="14.4" customHeight="1" thickBot="1" x14ac:dyDescent="0.35">
      <c r="A15" s="101" t="str">
        <f>HYPERLINK("#'HI Graf'!A1","Hospodářský index (Výnosy / Náklady) *")</f>
        <v>Hospodářský index (Výnosy / Náklady) *</v>
      </c>
      <c r="B15" s="6">
        <f>IF(B9=0,"",B13/B9)</f>
        <v>0</v>
      </c>
      <c r="C15" s="39">
        <f>IF(C9=0,"",C13/C9)</f>
        <v>0</v>
      </c>
      <c r="D15" s="8"/>
      <c r="E15" s="6">
        <f>IF(E9=0,"",E13/E9)</f>
        <v>0</v>
      </c>
      <c r="F15" s="38">
        <f>IF(F9=0,"",F13/F9)</f>
        <v>0</v>
      </c>
      <c r="G15" s="38">
        <f>IF(ISERROR(F15-E15),"",E15-F15)</f>
        <v>0</v>
      </c>
      <c r="H15" s="93" t="str">
        <f>IF(ISERROR(F15-E15),"",IF(F15&lt;0.00000001,"",E15/F15))</f>
        <v/>
      </c>
    </row>
    <row r="17" spans="1:8" ht="14.4" customHeight="1" x14ac:dyDescent="0.3">
      <c r="A17" s="79" t="s">
        <v>90</v>
      </c>
    </row>
    <row r="18" spans="1:8" ht="14.4" customHeight="1" x14ac:dyDescent="0.3">
      <c r="A18" s="228" t="s">
        <v>150</v>
      </c>
      <c r="B18" s="229"/>
      <c r="C18" s="229"/>
      <c r="D18" s="229"/>
      <c r="E18" s="229"/>
      <c r="F18" s="229"/>
      <c r="G18" s="229"/>
      <c r="H18" s="229"/>
    </row>
    <row r="19" spans="1:8" x14ac:dyDescent="0.3">
      <c r="A19" s="227" t="s">
        <v>149</v>
      </c>
      <c r="B19" s="229"/>
      <c r="C19" s="229"/>
      <c r="D19" s="229"/>
      <c r="E19" s="229"/>
      <c r="F19" s="229"/>
      <c r="G19" s="229"/>
      <c r="H19" s="229"/>
    </row>
    <row r="20" spans="1:8" ht="14.4" customHeight="1" x14ac:dyDescent="0.3">
      <c r="A20" s="80" t="s">
        <v>204</v>
      </c>
    </row>
    <row r="21" spans="1:8" ht="14.4" customHeight="1" x14ac:dyDescent="0.3">
      <c r="A21" s="80" t="s">
        <v>91</v>
      </c>
    </row>
    <row r="22" spans="1:8" ht="14.4" customHeight="1" x14ac:dyDescent="0.3">
      <c r="A22" s="81" t="s">
        <v>92</v>
      </c>
    </row>
    <row r="23" spans="1:8" ht="14.4" customHeight="1" x14ac:dyDescent="0.3">
      <c r="A23" s="81" t="s">
        <v>93</v>
      </c>
    </row>
  </sheetData>
  <mergeCells count="4">
    <mergeCell ref="A3:A4"/>
    <mergeCell ref="B4:C4"/>
    <mergeCell ref="E3:H3"/>
    <mergeCell ref="A1:H1"/>
  </mergeCells>
  <conditionalFormatting sqref="F11:F12">
    <cfRule type="dataBar" priority="5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6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38" priority="4" operator="greaterThan">
      <formula>0</formula>
    </cfRule>
  </conditionalFormatting>
  <conditionalFormatting sqref="G11:G13 G15">
    <cfRule type="cellIs" dxfId="37" priority="3" operator="lessThan">
      <formula>0</formula>
    </cfRule>
  </conditionalFormatting>
  <conditionalFormatting sqref="H5:H9">
    <cfRule type="cellIs" dxfId="36" priority="2" operator="greaterThan">
      <formula>1</formula>
    </cfRule>
  </conditionalFormatting>
  <conditionalFormatting sqref="H11:H13 H15">
    <cfRule type="cellIs" dxfId="35" priority="1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96" bestFit="1" customWidth="1"/>
    <col min="2" max="2" width="12.77734375" style="96" bestFit="1" customWidth="1"/>
    <col min="3" max="3" width="13.6640625" style="96" bestFit="1" customWidth="1"/>
    <col min="4" max="15" width="7.77734375" style="96" bestFit="1" customWidth="1"/>
    <col min="16" max="16" width="8.88671875" style="96" customWidth="1"/>
    <col min="17" max="17" width="6.6640625" style="96" bestFit="1" customWidth="1"/>
    <col min="18" max="16384" width="8.88671875" style="96"/>
  </cols>
  <sheetData>
    <row r="1" spans="1:17" s="160" customFormat="1" ht="18.600000000000001" customHeight="1" thickBot="1" x14ac:dyDescent="0.4">
      <c r="A1" s="267" t="s">
        <v>207</v>
      </c>
      <c r="B1" s="267"/>
      <c r="C1" s="267"/>
      <c r="D1" s="267"/>
      <c r="E1" s="267"/>
      <c r="F1" s="267"/>
      <c r="G1" s="267"/>
      <c r="H1" s="258"/>
      <c r="I1" s="258"/>
      <c r="J1" s="258"/>
      <c r="K1" s="258"/>
      <c r="L1" s="258"/>
      <c r="M1" s="258"/>
      <c r="N1" s="258"/>
      <c r="O1" s="258"/>
      <c r="P1" s="258"/>
      <c r="Q1" s="258"/>
    </row>
    <row r="2" spans="1:17" s="160" customFormat="1" ht="14.4" customHeight="1" thickBot="1" x14ac:dyDescent="0.3">
      <c r="A2" s="175" t="s">
        <v>205</v>
      </c>
      <c r="B2" s="161"/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  <c r="O2" s="161"/>
      <c r="P2" s="161"/>
      <c r="Q2" s="161"/>
    </row>
    <row r="3" spans="1:17" ht="14.4" customHeight="1" x14ac:dyDescent="0.3">
      <c r="A3" s="58"/>
      <c r="B3" s="268" t="s">
        <v>13</v>
      </c>
      <c r="C3" s="269"/>
      <c r="D3" s="269"/>
      <c r="E3" s="269"/>
      <c r="F3" s="269"/>
      <c r="G3" s="269"/>
      <c r="H3" s="269"/>
      <c r="I3" s="269"/>
      <c r="J3" s="269"/>
      <c r="K3" s="269"/>
      <c r="L3" s="269"/>
      <c r="M3" s="269"/>
      <c r="N3" s="269"/>
      <c r="O3" s="269"/>
      <c r="P3" s="104"/>
      <c r="Q3" s="106"/>
    </row>
    <row r="4" spans="1:17" ht="14.4" customHeight="1" x14ac:dyDescent="0.3">
      <c r="A4" s="59"/>
      <c r="B4" s="20">
        <v>2014</v>
      </c>
      <c r="C4" s="105" t="s">
        <v>14</v>
      </c>
      <c r="D4" s="95" t="s">
        <v>95</v>
      </c>
      <c r="E4" s="95" t="s">
        <v>96</v>
      </c>
      <c r="F4" s="95" t="s">
        <v>97</v>
      </c>
      <c r="G4" s="95" t="s">
        <v>98</v>
      </c>
      <c r="H4" s="95" t="s">
        <v>99</v>
      </c>
      <c r="I4" s="95" t="s">
        <v>100</v>
      </c>
      <c r="J4" s="95" t="s">
        <v>101</v>
      </c>
      <c r="K4" s="95" t="s">
        <v>102</v>
      </c>
      <c r="L4" s="95" t="s">
        <v>103</v>
      </c>
      <c r="M4" s="95" t="s">
        <v>104</v>
      </c>
      <c r="N4" s="95" t="s">
        <v>105</v>
      </c>
      <c r="O4" s="95" t="s">
        <v>106</v>
      </c>
      <c r="P4" s="270" t="s">
        <v>2</v>
      </c>
      <c r="Q4" s="271"/>
    </row>
    <row r="5" spans="1:17" ht="14.4" customHeight="1" thickBot="1" x14ac:dyDescent="0.35">
      <c r="A5" s="60"/>
      <c r="B5" s="21" t="s">
        <v>15</v>
      </c>
      <c r="C5" s="22" t="s">
        <v>15</v>
      </c>
      <c r="D5" s="22" t="s">
        <v>16</v>
      </c>
      <c r="E5" s="22" t="s">
        <v>16</v>
      </c>
      <c r="F5" s="22" t="s">
        <v>16</v>
      </c>
      <c r="G5" s="22" t="s">
        <v>16</v>
      </c>
      <c r="H5" s="22" t="s">
        <v>16</v>
      </c>
      <c r="I5" s="22" t="s">
        <v>16</v>
      </c>
      <c r="J5" s="22" t="s">
        <v>16</v>
      </c>
      <c r="K5" s="22" t="s">
        <v>16</v>
      </c>
      <c r="L5" s="22" t="s">
        <v>16</v>
      </c>
      <c r="M5" s="22" t="s">
        <v>16</v>
      </c>
      <c r="N5" s="22" t="s">
        <v>16</v>
      </c>
      <c r="O5" s="22" t="s">
        <v>16</v>
      </c>
      <c r="P5" s="22" t="s">
        <v>16</v>
      </c>
      <c r="Q5" s="23" t="s">
        <v>17</v>
      </c>
    </row>
    <row r="6" spans="1:17" ht="14.4" customHeight="1" x14ac:dyDescent="0.3">
      <c r="A6" s="14" t="s">
        <v>18</v>
      </c>
      <c r="B6" s="43">
        <v>4.9406564584124654E-324</v>
      </c>
      <c r="C6" s="44">
        <v>0</v>
      </c>
      <c r="D6" s="44">
        <v>4.9406564584124654E-324</v>
      </c>
      <c r="E6" s="44">
        <v>4.9406564584124654E-324</v>
      </c>
      <c r="F6" s="44">
        <v>4.9406564584124654E-324</v>
      </c>
      <c r="G6" s="44">
        <v>4.9406564584124654E-324</v>
      </c>
      <c r="H6" s="44">
        <v>4.9406564584124654E-324</v>
      </c>
      <c r="I6" s="44">
        <v>4.9406564584124654E-324</v>
      </c>
      <c r="J6" s="44">
        <v>4.9406564584124654E-324</v>
      </c>
      <c r="K6" s="44">
        <v>4.9406564584124654E-324</v>
      </c>
      <c r="L6" s="44">
        <v>4.9406564584124654E-324</v>
      </c>
      <c r="M6" s="44">
        <v>4.9406564584124654E-324</v>
      </c>
      <c r="N6" s="44">
        <v>4.9406564584124654E-324</v>
      </c>
      <c r="O6" s="44">
        <v>4.9406564584124654E-324</v>
      </c>
      <c r="P6" s="45">
        <v>3.4584595208887258E-323</v>
      </c>
      <c r="Q6" s="67" t="s">
        <v>206</v>
      </c>
    </row>
    <row r="7" spans="1:17" ht="14.4" customHeight="1" x14ac:dyDescent="0.3">
      <c r="A7" s="15" t="s">
        <v>19</v>
      </c>
      <c r="B7" s="46">
        <v>893.80586841480897</v>
      </c>
      <c r="C7" s="47">
        <v>74.483822367900004</v>
      </c>
      <c r="D7" s="47">
        <v>63.657159999999998</v>
      </c>
      <c r="E7" s="47">
        <v>69.730680000000007</v>
      </c>
      <c r="F7" s="47">
        <v>75.492379999999997</v>
      </c>
      <c r="G7" s="47">
        <v>87.857370000000003</v>
      </c>
      <c r="H7" s="47">
        <v>67.17353</v>
      </c>
      <c r="I7" s="47">
        <v>74.017070000000004</v>
      </c>
      <c r="J7" s="47">
        <v>72.941599999999994</v>
      </c>
      <c r="K7" s="47">
        <v>4.9406564584124654E-324</v>
      </c>
      <c r="L7" s="47">
        <v>4.9406564584124654E-324</v>
      </c>
      <c r="M7" s="47">
        <v>4.9406564584124654E-324</v>
      </c>
      <c r="N7" s="47">
        <v>4.9406564584124654E-324</v>
      </c>
      <c r="O7" s="47">
        <v>4.9406564584124654E-324</v>
      </c>
      <c r="P7" s="48">
        <v>510.86979000000002</v>
      </c>
      <c r="Q7" s="68">
        <v>0.97982885747899995</v>
      </c>
    </row>
    <row r="8" spans="1:17" ht="14.4" customHeight="1" x14ac:dyDescent="0.3">
      <c r="A8" s="15" t="s">
        <v>20</v>
      </c>
      <c r="B8" s="46">
        <v>4.9406564584124654E-324</v>
      </c>
      <c r="C8" s="47">
        <v>0</v>
      </c>
      <c r="D8" s="47">
        <v>4.9406564584124654E-324</v>
      </c>
      <c r="E8" s="47">
        <v>4.9406564584124654E-324</v>
      </c>
      <c r="F8" s="47">
        <v>4.9406564584124654E-324</v>
      </c>
      <c r="G8" s="47">
        <v>4.9406564584124654E-324</v>
      </c>
      <c r="H8" s="47">
        <v>4.9406564584124654E-324</v>
      </c>
      <c r="I8" s="47">
        <v>4.9406564584124654E-324</v>
      </c>
      <c r="J8" s="47">
        <v>4.9406564584124654E-324</v>
      </c>
      <c r="K8" s="47">
        <v>4.9406564584124654E-324</v>
      </c>
      <c r="L8" s="47">
        <v>4.9406564584124654E-324</v>
      </c>
      <c r="M8" s="47">
        <v>4.9406564584124654E-324</v>
      </c>
      <c r="N8" s="47">
        <v>4.9406564584124654E-324</v>
      </c>
      <c r="O8" s="47">
        <v>4.9406564584124654E-324</v>
      </c>
      <c r="P8" s="48">
        <v>3.4584595208887258E-323</v>
      </c>
      <c r="Q8" s="68" t="s">
        <v>206</v>
      </c>
    </row>
    <row r="9" spans="1:17" ht="14.4" customHeight="1" x14ac:dyDescent="0.3">
      <c r="A9" s="15" t="s">
        <v>21</v>
      </c>
      <c r="B9" s="46">
        <v>9007.6525947934806</v>
      </c>
      <c r="C9" s="47">
        <v>750.63771623279001</v>
      </c>
      <c r="D9" s="47">
        <v>1760.93065000001</v>
      </c>
      <c r="E9" s="47">
        <v>10.653029999998999</v>
      </c>
      <c r="F9" s="47">
        <v>67.060029999999003</v>
      </c>
      <c r="G9" s="47">
        <v>2351.63229</v>
      </c>
      <c r="H9" s="47">
        <v>1758.3470600000001</v>
      </c>
      <c r="I9" s="47">
        <v>211.26523</v>
      </c>
      <c r="J9" s="47">
        <v>646.28434000000004</v>
      </c>
      <c r="K9" s="47">
        <v>4.9406564584124654E-324</v>
      </c>
      <c r="L9" s="47">
        <v>4.9406564584124654E-324</v>
      </c>
      <c r="M9" s="47">
        <v>4.9406564584124654E-324</v>
      </c>
      <c r="N9" s="47">
        <v>4.9406564584124654E-324</v>
      </c>
      <c r="O9" s="47">
        <v>4.9406564584124654E-324</v>
      </c>
      <c r="P9" s="48">
        <v>6806.17263000001</v>
      </c>
      <c r="Q9" s="68">
        <v>1.295312445255</v>
      </c>
    </row>
    <row r="10" spans="1:17" ht="14.4" customHeight="1" x14ac:dyDescent="0.3">
      <c r="A10" s="15" t="s">
        <v>22</v>
      </c>
      <c r="B10" s="46">
        <v>4.9406564584124654E-324</v>
      </c>
      <c r="C10" s="47">
        <v>0</v>
      </c>
      <c r="D10" s="47">
        <v>4.9406564584124654E-324</v>
      </c>
      <c r="E10" s="47">
        <v>4.9406564584124654E-324</v>
      </c>
      <c r="F10" s="47">
        <v>4.9406564584124654E-324</v>
      </c>
      <c r="G10" s="47">
        <v>4.9406564584124654E-324</v>
      </c>
      <c r="H10" s="47">
        <v>4.9406564584124654E-324</v>
      </c>
      <c r="I10" s="47">
        <v>4.9406564584124654E-324</v>
      </c>
      <c r="J10" s="47">
        <v>4.9406564584124654E-324</v>
      </c>
      <c r="K10" s="47">
        <v>4.9406564584124654E-324</v>
      </c>
      <c r="L10" s="47">
        <v>4.9406564584124654E-324</v>
      </c>
      <c r="M10" s="47">
        <v>4.9406564584124654E-324</v>
      </c>
      <c r="N10" s="47">
        <v>4.9406564584124654E-324</v>
      </c>
      <c r="O10" s="47">
        <v>4.9406564584124654E-324</v>
      </c>
      <c r="P10" s="48">
        <v>3.4584595208887258E-323</v>
      </c>
      <c r="Q10" s="68" t="s">
        <v>206</v>
      </c>
    </row>
    <row r="11" spans="1:17" ht="14.4" customHeight="1" x14ac:dyDescent="0.3">
      <c r="A11" s="15" t="s">
        <v>23</v>
      </c>
      <c r="B11" s="46">
        <v>887.71794264222001</v>
      </c>
      <c r="C11" s="47">
        <v>73.976495220185001</v>
      </c>
      <c r="D11" s="47">
        <v>47.492829999999998</v>
      </c>
      <c r="E11" s="47">
        <v>70.69744</v>
      </c>
      <c r="F11" s="47">
        <v>91.757409999999993</v>
      </c>
      <c r="G11" s="47">
        <v>77.725669999999994</v>
      </c>
      <c r="H11" s="47">
        <v>115.49848</v>
      </c>
      <c r="I11" s="47">
        <v>51.257309999999997</v>
      </c>
      <c r="J11" s="47">
        <v>71.31841</v>
      </c>
      <c r="K11" s="47">
        <v>4.9406564584124654E-324</v>
      </c>
      <c r="L11" s="47">
        <v>4.9406564584124654E-324</v>
      </c>
      <c r="M11" s="47">
        <v>4.9406564584124654E-324</v>
      </c>
      <c r="N11" s="47">
        <v>4.9406564584124654E-324</v>
      </c>
      <c r="O11" s="47">
        <v>4.9406564584124654E-324</v>
      </c>
      <c r="P11" s="48">
        <v>525.74755000000005</v>
      </c>
      <c r="Q11" s="68">
        <v>1.015279145539</v>
      </c>
    </row>
    <row r="12" spans="1:17" ht="14.4" customHeight="1" x14ac:dyDescent="0.3">
      <c r="A12" s="15" t="s">
        <v>24</v>
      </c>
      <c r="B12" s="46">
        <v>204.45842956420501</v>
      </c>
      <c r="C12" s="47">
        <v>17.038202463683</v>
      </c>
      <c r="D12" s="47">
        <v>8.3023600000000002</v>
      </c>
      <c r="E12" s="47">
        <v>23.62463</v>
      </c>
      <c r="F12" s="47">
        <v>16.039059999999999</v>
      </c>
      <c r="G12" s="47">
        <v>8.8262999999999998</v>
      </c>
      <c r="H12" s="47">
        <v>22.380030000000001</v>
      </c>
      <c r="I12" s="47">
        <v>21.296800000000001</v>
      </c>
      <c r="J12" s="47">
        <v>57.957799999999999</v>
      </c>
      <c r="K12" s="47">
        <v>4.9406564584124654E-324</v>
      </c>
      <c r="L12" s="47">
        <v>4.9406564584124654E-324</v>
      </c>
      <c r="M12" s="47">
        <v>4.9406564584124654E-324</v>
      </c>
      <c r="N12" s="47">
        <v>4.9406564584124654E-324</v>
      </c>
      <c r="O12" s="47">
        <v>4.9406564584124654E-324</v>
      </c>
      <c r="P12" s="48">
        <v>158.42697999999999</v>
      </c>
      <c r="Q12" s="68">
        <v>1.3283341222480001</v>
      </c>
    </row>
    <row r="13" spans="1:17" ht="14.4" customHeight="1" x14ac:dyDescent="0.3">
      <c r="A13" s="15" t="s">
        <v>25</v>
      </c>
      <c r="B13" s="46">
        <v>6215.2679041334004</v>
      </c>
      <c r="C13" s="47">
        <v>517.93899201111697</v>
      </c>
      <c r="D13" s="47">
        <v>444.53297000000202</v>
      </c>
      <c r="E13" s="47">
        <v>469.63414999999998</v>
      </c>
      <c r="F13" s="47">
        <v>495.48297000000002</v>
      </c>
      <c r="G13" s="47">
        <v>540.25707999999997</v>
      </c>
      <c r="H13" s="47">
        <v>445.61633</v>
      </c>
      <c r="I13" s="47">
        <v>579.16426999999999</v>
      </c>
      <c r="J13" s="47">
        <v>545.49667999999997</v>
      </c>
      <c r="K13" s="47">
        <v>4.9406564584124654E-324</v>
      </c>
      <c r="L13" s="47">
        <v>4.9406564584124654E-324</v>
      </c>
      <c r="M13" s="47">
        <v>4.9406564584124654E-324</v>
      </c>
      <c r="N13" s="47">
        <v>4.9406564584124654E-324</v>
      </c>
      <c r="O13" s="47">
        <v>4.9406564584124654E-324</v>
      </c>
      <c r="P13" s="48">
        <v>3520.1844500000002</v>
      </c>
      <c r="Q13" s="68">
        <v>0.97093190629299997</v>
      </c>
    </row>
    <row r="14" spans="1:17" ht="14.4" customHeight="1" x14ac:dyDescent="0.3">
      <c r="A14" s="15" t="s">
        <v>26</v>
      </c>
      <c r="B14" s="46">
        <v>2162.72153689896</v>
      </c>
      <c r="C14" s="47">
        <v>180.22679474157999</v>
      </c>
      <c r="D14" s="47">
        <v>224.89600000000101</v>
      </c>
      <c r="E14" s="47">
        <v>182.68</v>
      </c>
      <c r="F14" s="47">
        <v>165.62799999999999</v>
      </c>
      <c r="G14" s="47">
        <v>168.14699999999999</v>
      </c>
      <c r="H14" s="47">
        <v>143.00399999999999</v>
      </c>
      <c r="I14" s="47">
        <v>138.75899999999999</v>
      </c>
      <c r="J14" s="47">
        <v>138.60599999999999</v>
      </c>
      <c r="K14" s="47">
        <v>4.9406564584124654E-324</v>
      </c>
      <c r="L14" s="47">
        <v>4.9406564584124654E-324</v>
      </c>
      <c r="M14" s="47">
        <v>4.9406564584124654E-324</v>
      </c>
      <c r="N14" s="47">
        <v>4.9406564584124654E-324</v>
      </c>
      <c r="O14" s="47">
        <v>4.9406564584124654E-324</v>
      </c>
      <c r="P14" s="48">
        <v>1161.72</v>
      </c>
      <c r="Q14" s="68">
        <v>0.92083976879200002</v>
      </c>
    </row>
    <row r="15" spans="1:17" ht="14.4" customHeight="1" x14ac:dyDescent="0.3">
      <c r="A15" s="15" t="s">
        <v>27</v>
      </c>
      <c r="B15" s="46">
        <v>4.9406564584124654E-324</v>
      </c>
      <c r="C15" s="47">
        <v>0</v>
      </c>
      <c r="D15" s="47">
        <v>4.9406564584124654E-324</v>
      </c>
      <c r="E15" s="47">
        <v>4.9406564584124654E-324</v>
      </c>
      <c r="F15" s="47">
        <v>4.9406564584124654E-324</v>
      </c>
      <c r="G15" s="47">
        <v>4.9406564584124654E-324</v>
      </c>
      <c r="H15" s="47">
        <v>4.9406564584124654E-324</v>
      </c>
      <c r="I15" s="47">
        <v>4.9406564584124654E-324</v>
      </c>
      <c r="J15" s="47">
        <v>4.9406564584124654E-324</v>
      </c>
      <c r="K15" s="47">
        <v>4.9406564584124654E-324</v>
      </c>
      <c r="L15" s="47">
        <v>4.9406564584124654E-324</v>
      </c>
      <c r="M15" s="47">
        <v>4.9406564584124654E-324</v>
      </c>
      <c r="N15" s="47">
        <v>4.9406564584124654E-324</v>
      </c>
      <c r="O15" s="47">
        <v>4.9406564584124654E-324</v>
      </c>
      <c r="P15" s="48">
        <v>3.4584595208887258E-323</v>
      </c>
      <c r="Q15" s="68" t="s">
        <v>206</v>
      </c>
    </row>
    <row r="16" spans="1:17" ht="14.4" customHeight="1" x14ac:dyDescent="0.3">
      <c r="A16" s="15" t="s">
        <v>28</v>
      </c>
      <c r="B16" s="46">
        <v>4.9406564584124654E-324</v>
      </c>
      <c r="C16" s="47">
        <v>0</v>
      </c>
      <c r="D16" s="47">
        <v>4.9406564584124654E-324</v>
      </c>
      <c r="E16" s="47">
        <v>4.9406564584124654E-324</v>
      </c>
      <c r="F16" s="47">
        <v>4.9406564584124654E-324</v>
      </c>
      <c r="G16" s="47">
        <v>4.9406564584124654E-324</v>
      </c>
      <c r="H16" s="47">
        <v>4.9406564584124654E-324</v>
      </c>
      <c r="I16" s="47">
        <v>4.9406564584124654E-324</v>
      </c>
      <c r="J16" s="47">
        <v>4.9406564584124654E-324</v>
      </c>
      <c r="K16" s="47">
        <v>4.9406564584124654E-324</v>
      </c>
      <c r="L16" s="47">
        <v>4.9406564584124654E-324</v>
      </c>
      <c r="M16" s="47">
        <v>4.9406564584124654E-324</v>
      </c>
      <c r="N16" s="47">
        <v>4.9406564584124654E-324</v>
      </c>
      <c r="O16" s="47">
        <v>4.9406564584124654E-324</v>
      </c>
      <c r="P16" s="48">
        <v>3.4584595208887258E-323</v>
      </c>
      <c r="Q16" s="68" t="s">
        <v>206</v>
      </c>
    </row>
    <row r="17" spans="1:17" ht="14.4" customHeight="1" x14ac:dyDescent="0.3">
      <c r="A17" s="15" t="s">
        <v>29</v>
      </c>
      <c r="B17" s="46">
        <v>1310.4887640844299</v>
      </c>
      <c r="C17" s="47">
        <v>109.20739700703599</v>
      </c>
      <c r="D17" s="47">
        <v>86.045259999999999</v>
      </c>
      <c r="E17" s="47">
        <v>157.87101000000001</v>
      </c>
      <c r="F17" s="47">
        <v>15.66338</v>
      </c>
      <c r="G17" s="47">
        <v>77.14761</v>
      </c>
      <c r="H17" s="47">
        <v>37.236240000000002</v>
      </c>
      <c r="I17" s="47">
        <v>105.77817</v>
      </c>
      <c r="J17" s="47">
        <v>148.01801</v>
      </c>
      <c r="K17" s="47">
        <v>4.9406564584124654E-324</v>
      </c>
      <c r="L17" s="47">
        <v>4.9406564584124654E-324</v>
      </c>
      <c r="M17" s="47">
        <v>4.9406564584124654E-324</v>
      </c>
      <c r="N17" s="47">
        <v>4.9406564584124654E-324</v>
      </c>
      <c r="O17" s="47">
        <v>4.9406564584124654E-324</v>
      </c>
      <c r="P17" s="48">
        <v>627.75968</v>
      </c>
      <c r="Q17" s="68">
        <v>0.82118937675899994</v>
      </c>
    </row>
    <row r="18" spans="1:17" ht="14.4" customHeight="1" x14ac:dyDescent="0.3">
      <c r="A18" s="15" t="s">
        <v>30</v>
      </c>
      <c r="B18" s="46">
        <v>0</v>
      </c>
      <c r="C18" s="47">
        <v>0</v>
      </c>
      <c r="D18" s="47">
        <v>2.4540000000000002</v>
      </c>
      <c r="E18" s="47">
        <v>1.593</v>
      </c>
      <c r="F18" s="47">
        <v>4.9406564584124654E-324</v>
      </c>
      <c r="G18" s="47">
        <v>5.9640000000000004</v>
      </c>
      <c r="H18" s="47">
        <v>0.61299999999999999</v>
      </c>
      <c r="I18" s="47">
        <v>5.2729999999999997</v>
      </c>
      <c r="J18" s="47">
        <v>4.9406564584124654E-324</v>
      </c>
      <c r="K18" s="47">
        <v>4.9406564584124654E-324</v>
      </c>
      <c r="L18" s="47">
        <v>4.9406564584124654E-324</v>
      </c>
      <c r="M18" s="47">
        <v>4.9406564584124654E-324</v>
      </c>
      <c r="N18" s="47">
        <v>4.9406564584124654E-324</v>
      </c>
      <c r="O18" s="47">
        <v>4.9406564584124654E-324</v>
      </c>
      <c r="P18" s="48">
        <v>15.897</v>
      </c>
      <c r="Q18" s="68" t="s">
        <v>206</v>
      </c>
    </row>
    <row r="19" spans="1:17" ht="14.4" customHeight="1" x14ac:dyDescent="0.3">
      <c r="A19" s="15" t="s">
        <v>31</v>
      </c>
      <c r="B19" s="46">
        <v>4068.2465816159101</v>
      </c>
      <c r="C19" s="47">
        <v>339.02054846799302</v>
      </c>
      <c r="D19" s="47">
        <v>304.76711000000103</v>
      </c>
      <c r="E19" s="47">
        <v>4240.9612200000001</v>
      </c>
      <c r="F19" s="47">
        <v>317.77960000000002</v>
      </c>
      <c r="G19" s="47">
        <v>99.532340000000005</v>
      </c>
      <c r="H19" s="47">
        <v>541.24091999999996</v>
      </c>
      <c r="I19" s="47">
        <v>500.74248999999998</v>
      </c>
      <c r="J19" s="47">
        <v>244.83377999999999</v>
      </c>
      <c r="K19" s="47">
        <v>4.9406564584124654E-324</v>
      </c>
      <c r="L19" s="47">
        <v>4.9406564584124654E-324</v>
      </c>
      <c r="M19" s="47">
        <v>4.9406564584124654E-324</v>
      </c>
      <c r="N19" s="47">
        <v>4.9406564584124654E-324</v>
      </c>
      <c r="O19" s="47">
        <v>4.9406564584124654E-324</v>
      </c>
      <c r="P19" s="48">
        <v>6249.8574600000002</v>
      </c>
      <c r="Q19" s="68">
        <v>2.6335771800100001</v>
      </c>
    </row>
    <row r="20" spans="1:17" ht="14.4" customHeight="1" x14ac:dyDescent="0.3">
      <c r="A20" s="15" t="s">
        <v>32</v>
      </c>
      <c r="B20" s="46">
        <v>21080.104276682399</v>
      </c>
      <c r="C20" s="47">
        <v>1756.6753563902</v>
      </c>
      <c r="D20" s="47">
        <v>1724.0877500000099</v>
      </c>
      <c r="E20" s="47">
        <v>1714.4003600000001</v>
      </c>
      <c r="F20" s="47">
        <v>1727.7283199999999</v>
      </c>
      <c r="G20" s="47">
        <v>1863.9469099999999</v>
      </c>
      <c r="H20" s="47">
        <v>1836.48777</v>
      </c>
      <c r="I20" s="47">
        <v>1805.25558</v>
      </c>
      <c r="J20" s="47">
        <v>2529.18489</v>
      </c>
      <c r="K20" s="47">
        <v>4.9406564584124654E-324</v>
      </c>
      <c r="L20" s="47">
        <v>4.9406564584124654E-324</v>
      </c>
      <c r="M20" s="47">
        <v>4.9406564584124654E-324</v>
      </c>
      <c r="N20" s="47">
        <v>4.9406564584124654E-324</v>
      </c>
      <c r="O20" s="47">
        <v>4.9406564584124654E-324</v>
      </c>
      <c r="P20" s="48">
        <v>13201.09158</v>
      </c>
      <c r="Q20" s="68">
        <v>1.0735451026009999</v>
      </c>
    </row>
    <row r="21" spans="1:17" ht="14.4" customHeight="1" x14ac:dyDescent="0.3">
      <c r="A21" s="16" t="s">
        <v>33</v>
      </c>
      <c r="B21" s="46">
        <v>20146.963161780001</v>
      </c>
      <c r="C21" s="47">
        <v>1678.9135968149999</v>
      </c>
      <c r="D21" s="47">
        <v>1692.1760000000099</v>
      </c>
      <c r="E21" s="47">
        <v>1695.3050000000001</v>
      </c>
      <c r="F21" s="47">
        <v>1695.3030000000001</v>
      </c>
      <c r="G21" s="47">
        <v>1695.3009999999999</v>
      </c>
      <c r="H21" s="47">
        <v>1695.6010000000001</v>
      </c>
      <c r="I21" s="47">
        <v>1697.607</v>
      </c>
      <c r="J21" s="47">
        <v>1697.605</v>
      </c>
      <c r="K21" s="47">
        <v>1.4821969375237396E-323</v>
      </c>
      <c r="L21" s="47">
        <v>1.4821969375237396E-323</v>
      </c>
      <c r="M21" s="47">
        <v>1.4821969375237396E-323</v>
      </c>
      <c r="N21" s="47">
        <v>1.4821969375237396E-323</v>
      </c>
      <c r="O21" s="47">
        <v>1.4821969375237396E-323</v>
      </c>
      <c r="P21" s="48">
        <v>11868.897999999999</v>
      </c>
      <c r="Q21" s="68">
        <v>1.009913113074</v>
      </c>
    </row>
    <row r="22" spans="1:17" ht="14.4" customHeight="1" x14ac:dyDescent="0.3">
      <c r="A22" s="15" t="s">
        <v>34</v>
      </c>
      <c r="B22" s="46">
        <v>40</v>
      </c>
      <c r="C22" s="47">
        <v>3.333333333333</v>
      </c>
      <c r="D22" s="47">
        <v>4.9406564584124654E-324</v>
      </c>
      <c r="E22" s="47">
        <v>4.9406564584124654E-324</v>
      </c>
      <c r="F22" s="47">
        <v>4.9406564584124654E-324</v>
      </c>
      <c r="G22" s="47">
        <v>4.9406564584124654E-324</v>
      </c>
      <c r="H22" s="47">
        <v>4.9406564584124654E-324</v>
      </c>
      <c r="I22" s="47">
        <v>4.9406564584124654E-324</v>
      </c>
      <c r="J22" s="47">
        <v>14.4716</v>
      </c>
      <c r="K22" s="47">
        <v>4.9406564584124654E-324</v>
      </c>
      <c r="L22" s="47">
        <v>4.9406564584124654E-324</v>
      </c>
      <c r="M22" s="47">
        <v>4.9406564584124654E-324</v>
      </c>
      <c r="N22" s="47">
        <v>4.9406564584124654E-324</v>
      </c>
      <c r="O22" s="47">
        <v>4.9406564584124654E-324</v>
      </c>
      <c r="P22" s="48">
        <v>14.4716</v>
      </c>
      <c r="Q22" s="68">
        <v>0.62021142857099998</v>
      </c>
    </row>
    <row r="23" spans="1:17" ht="14.4" customHeight="1" x14ac:dyDescent="0.3">
      <c r="A23" s="16" t="s">
        <v>35</v>
      </c>
      <c r="B23" s="46">
        <v>1.9762625833649862E-323</v>
      </c>
      <c r="C23" s="47">
        <v>0</v>
      </c>
      <c r="D23" s="47">
        <v>1.9762625833649862E-323</v>
      </c>
      <c r="E23" s="47">
        <v>1.9762625833649862E-323</v>
      </c>
      <c r="F23" s="47">
        <v>1.9762625833649862E-323</v>
      </c>
      <c r="G23" s="47">
        <v>1.9762625833649862E-323</v>
      </c>
      <c r="H23" s="47">
        <v>1.9762625833649862E-323</v>
      </c>
      <c r="I23" s="47">
        <v>1.9762625833649862E-323</v>
      </c>
      <c r="J23" s="47">
        <v>1.9762625833649862E-323</v>
      </c>
      <c r="K23" s="47">
        <v>1.9762625833649862E-323</v>
      </c>
      <c r="L23" s="47">
        <v>1.9762625833649862E-323</v>
      </c>
      <c r="M23" s="47">
        <v>1.9762625833649862E-323</v>
      </c>
      <c r="N23" s="47">
        <v>1.9762625833649862E-323</v>
      </c>
      <c r="O23" s="47">
        <v>1.9762625833649862E-323</v>
      </c>
      <c r="P23" s="48">
        <v>1.3833838083554903E-322</v>
      </c>
      <c r="Q23" s="68" t="s">
        <v>206</v>
      </c>
    </row>
    <row r="24" spans="1:17" ht="14.4" customHeight="1" x14ac:dyDescent="0.3">
      <c r="A24" s="16" t="s">
        <v>36</v>
      </c>
      <c r="B24" s="46">
        <v>0</v>
      </c>
      <c r="C24" s="47">
        <v>9.0949470177292804E-13</v>
      </c>
      <c r="D24" s="47">
        <v>6.7833699999970003</v>
      </c>
      <c r="E24" s="47">
        <v>4.1891100000010004</v>
      </c>
      <c r="F24" s="47">
        <v>15.105240000001</v>
      </c>
      <c r="G24" s="47">
        <v>28.392070000000999</v>
      </c>
      <c r="H24" s="47">
        <v>5.0164599999990003</v>
      </c>
      <c r="I24" s="47">
        <v>18.035720000000001</v>
      </c>
      <c r="J24" s="47">
        <v>10.471360000001001</v>
      </c>
      <c r="K24" s="47">
        <v>-1.0869444208507424E-322</v>
      </c>
      <c r="L24" s="47">
        <v>-1.0869444208507424E-322</v>
      </c>
      <c r="M24" s="47">
        <v>-1.0869444208507424E-322</v>
      </c>
      <c r="N24" s="47">
        <v>-1.0869444208507424E-322</v>
      </c>
      <c r="O24" s="47">
        <v>-1.0869444208507424E-322</v>
      </c>
      <c r="P24" s="48">
        <v>87.993330000002999</v>
      </c>
      <c r="Q24" s="68"/>
    </row>
    <row r="25" spans="1:17" ht="14.4" customHeight="1" x14ac:dyDescent="0.3">
      <c r="A25" s="17" t="s">
        <v>37</v>
      </c>
      <c r="B25" s="49">
        <v>66017.4270606098</v>
      </c>
      <c r="C25" s="50">
        <v>5501.45225505082</v>
      </c>
      <c r="D25" s="50">
        <v>6366.1254600000302</v>
      </c>
      <c r="E25" s="50">
        <v>8641.3396300000004</v>
      </c>
      <c r="F25" s="50">
        <v>4683.0393899999999</v>
      </c>
      <c r="G25" s="50">
        <v>7004.7296399999996</v>
      </c>
      <c r="H25" s="50">
        <v>6668.2148200000001</v>
      </c>
      <c r="I25" s="50">
        <v>5208.4516400000002</v>
      </c>
      <c r="J25" s="50">
        <v>6177.1894700000003</v>
      </c>
      <c r="K25" s="50">
        <v>4.9406564584124654E-324</v>
      </c>
      <c r="L25" s="50">
        <v>4.9406564584124654E-324</v>
      </c>
      <c r="M25" s="50">
        <v>4.9406564584124654E-324</v>
      </c>
      <c r="N25" s="50">
        <v>4.9406564584124654E-324</v>
      </c>
      <c r="O25" s="50">
        <v>4.9406564584124654E-324</v>
      </c>
      <c r="P25" s="51">
        <v>44749.090049999999</v>
      </c>
      <c r="Q25" s="69">
        <v>1.162007203485</v>
      </c>
    </row>
    <row r="26" spans="1:17" ht="14.4" customHeight="1" x14ac:dyDescent="0.3">
      <c r="A26" s="15" t="s">
        <v>38</v>
      </c>
      <c r="B26" s="46">
        <v>2936.4428464133798</v>
      </c>
      <c r="C26" s="47">
        <v>244.703570534449</v>
      </c>
      <c r="D26" s="47">
        <v>242.31653</v>
      </c>
      <c r="E26" s="47">
        <v>233.3168</v>
      </c>
      <c r="F26" s="47">
        <v>252.1011</v>
      </c>
      <c r="G26" s="47">
        <v>245.02135000000001</v>
      </c>
      <c r="H26" s="47">
        <v>252.67903999999999</v>
      </c>
      <c r="I26" s="47">
        <v>217.81685999999999</v>
      </c>
      <c r="J26" s="47">
        <v>373.86707999999999</v>
      </c>
      <c r="K26" s="47">
        <v>4.9406564584124654E-324</v>
      </c>
      <c r="L26" s="47">
        <v>4.9406564584124654E-324</v>
      </c>
      <c r="M26" s="47">
        <v>4.9406564584124654E-324</v>
      </c>
      <c r="N26" s="47">
        <v>4.9406564584124654E-324</v>
      </c>
      <c r="O26" s="47">
        <v>4.9406564584124654E-324</v>
      </c>
      <c r="P26" s="48">
        <v>1817.1187600000001</v>
      </c>
      <c r="Q26" s="68">
        <v>1.060827979415</v>
      </c>
    </row>
    <row r="27" spans="1:17" ht="14.4" customHeight="1" x14ac:dyDescent="0.3">
      <c r="A27" s="18" t="s">
        <v>39</v>
      </c>
      <c r="B27" s="49">
        <v>68953.869907023196</v>
      </c>
      <c r="C27" s="50">
        <v>5746.1558255852697</v>
      </c>
      <c r="D27" s="50">
        <v>6608.4419900000303</v>
      </c>
      <c r="E27" s="50">
        <v>8874.6564299999991</v>
      </c>
      <c r="F27" s="50">
        <v>4935.1404899999998</v>
      </c>
      <c r="G27" s="50">
        <v>7249.7509899999995</v>
      </c>
      <c r="H27" s="50">
        <v>6920.8938600000001</v>
      </c>
      <c r="I27" s="50">
        <v>5426.2685000000001</v>
      </c>
      <c r="J27" s="50">
        <v>6551.0565500000002</v>
      </c>
      <c r="K27" s="50">
        <v>9.8813129168249309E-324</v>
      </c>
      <c r="L27" s="50">
        <v>9.8813129168249309E-324</v>
      </c>
      <c r="M27" s="50">
        <v>9.8813129168249309E-324</v>
      </c>
      <c r="N27" s="50">
        <v>9.8813129168249309E-324</v>
      </c>
      <c r="O27" s="50">
        <v>9.8813129168249309E-324</v>
      </c>
      <c r="P27" s="51">
        <v>46566.208809999996</v>
      </c>
      <c r="Q27" s="69">
        <v>1.157698424164</v>
      </c>
    </row>
    <row r="28" spans="1:17" ht="14.4" customHeight="1" x14ac:dyDescent="0.3">
      <c r="A28" s="16" t="s">
        <v>40</v>
      </c>
      <c r="B28" s="46">
        <v>1.2351641146031164E-322</v>
      </c>
      <c r="C28" s="47">
        <v>0</v>
      </c>
      <c r="D28" s="47">
        <v>1.2351641146031164E-322</v>
      </c>
      <c r="E28" s="47">
        <v>1.2351641146031164E-322</v>
      </c>
      <c r="F28" s="47">
        <v>1.2351641146031164E-322</v>
      </c>
      <c r="G28" s="47">
        <v>1.2351641146031164E-322</v>
      </c>
      <c r="H28" s="47">
        <v>1.2351641146031164E-322</v>
      </c>
      <c r="I28" s="47">
        <v>1.2351641146031164E-322</v>
      </c>
      <c r="J28" s="47">
        <v>1.2351641146031164E-322</v>
      </c>
      <c r="K28" s="47">
        <v>1.2351641146031164E-322</v>
      </c>
      <c r="L28" s="47">
        <v>1.2351641146031164E-322</v>
      </c>
      <c r="M28" s="47">
        <v>1.2351641146031164E-322</v>
      </c>
      <c r="N28" s="47">
        <v>1.2351641146031164E-322</v>
      </c>
      <c r="O28" s="47">
        <v>1.2351641146031164E-322</v>
      </c>
      <c r="P28" s="48">
        <v>8.6461488022218145E-322</v>
      </c>
      <c r="Q28" s="68">
        <v>0</v>
      </c>
    </row>
    <row r="29" spans="1:17" ht="14.4" customHeight="1" x14ac:dyDescent="0.3">
      <c r="A29" s="16" t="s">
        <v>41</v>
      </c>
      <c r="B29" s="46">
        <v>9.8813129168249309E-324</v>
      </c>
      <c r="C29" s="47">
        <v>0</v>
      </c>
      <c r="D29" s="47">
        <v>9.8813129168249309E-324</v>
      </c>
      <c r="E29" s="47">
        <v>9.8813129168249309E-324</v>
      </c>
      <c r="F29" s="47">
        <v>9.8813129168249309E-324</v>
      </c>
      <c r="G29" s="47">
        <v>9.8813129168249309E-324</v>
      </c>
      <c r="H29" s="47">
        <v>9.8813129168249309E-324</v>
      </c>
      <c r="I29" s="47">
        <v>9.8813129168249309E-324</v>
      </c>
      <c r="J29" s="47">
        <v>9.8813129168249309E-324</v>
      </c>
      <c r="K29" s="47">
        <v>9.8813129168249309E-324</v>
      </c>
      <c r="L29" s="47">
        <v>9.8813129168249309E-324</v>
      </c>
      <c r="M29" s="47">
        <v>9.8813129168249309E-324</v>
      </c>
      <c r="N29" s="47">
        <v>9.8813129168249309E-324</v>
      </c>
      <c r="O29" s="47">
        <v>9.8813129168249309E-324</v>
      </c>
      <c r="P29" s="48">
        <v>6.9169190417774516E-323</v>
      </c>
      <c r="Q29" s="68" t="s">
        <v>206</v>
      </c>
    </row>
    <row r="30" spans="1:17" ht="14.4" customHeight="1" x14ac:dyDescent="0.3">
      <c r="A30" s="16" t="s">
        <v>42</v>
      </c>
      <c r="B30" s="46">
        <v>4.9406564584124654E-323</v>
      </c>
      <c r="C30" s="47">
        <v>0</v>
      </c>
      <c r="D30" s="47">
        <v>4.9406564584124654E-323</v>
      </c>
      <c r="E30" s="47">
        <v>4.9406564584124654E-323</v>
      </c>
      <c r="F30" s="47">
        <v>4.9406564584124654E-323</v>
      </c>
      <c r="G30" s="47">
        <v>4.9406564584124654E-323</v>
      </c>
      <c r="H30" s="47">
        <v>4.9406564584124654E-323</v>
      </c>
      <c r="I30" s="47">
        <v>4.9406564584124654E-323</v>
      </c>
      <c r="J30" s="47">
        <v>4.9406564584124654E-323</v>
      </c>
      <c r="K30" s="47">
        <v>4.9406564584124654E-323</v>
      </c>
      <c r="L30" s="47">
        <v>4.9406564584124654E-323</v>
      </c>
      <c r="M30" s="47">
        <v>4.9406564584124654E-323</v>
      </c>
      <c r="N30" s="47">
        <v>4.9406564584124654E-323</v>
      </c>
      <c r="O30" s="47">
        <v>4.9406564584124654E-323</v>
      </c>
      <c r="P30" s="48">
        <v>3.4584595208887258E-322</v>
      </c>
      <c r="Q30" s="68">
        <v>0</v>
      </c>
    </row>
    <row r="31" spans="1:17" ht="14.4" customHeight="1" thickBot="1" x14ac:dyDescent="0.35">
      <c r="A31" s="19" t="s">
        <v>43</v>
      </c>
      <c r="B31" s="52">
        <v>1.9762625833649862E-323</v>
      </c>
      <c r="C31" s="53">
        <v>0</v>
      </c>
      <c r="D31" s="53">
        <v>2.4703282292062327E-323</v>
      </c>
      <c r="E31" s="53">
        <v>2.4703282292062327E-323</v>
      </c>
      <c r="F31" s="53">
        <v>2.4703282292062327E-323</v>
      </c>
      <c r="G31" s="53">
        <v>2.4703282292062327E-323</v>
      </c>
      <c r="H31" s="53">
        <v>2.4703282292062327E-323</v>
      </c>
      <c r="I31" s="53">
        <v>2.4703282292062327E-323</v>
      </c>
      <c r="J31" s="53">
        <v>2.4703282292062327E-323</v>
      </c>
      <c r="K31" s="53">
        <v>2.4703282292062327E-323</v>
      </c>
      <c r="L31" s="53">
        <v>2.4703282292062327E-323</v>
      </c>
      <c r="M31" s="53">
        <v>2.4703282292062327E-323</v>
      </c>
      <c r="N31" s="53">
        <v>2.4703282292062327E-323</v>
      </c>
      <c r="O31" s="53">
        <v>2.4703282292062327E-323</v>
      </c>
      <c r="P31" s="54">
        <v>1.7292297604443629E-322</v>
      </c>
      <c r="Q31" s="70" t="s">
        <v>206</v>
      </c>
    </row>
    <row r="32" spans="1:17" ht="14.4" customHeight="1" x14ac:dyDescent="0.3">
      <c r="B32" s="97"/>
      <c r="C32" s="97"/>
      <c r="D32" s="97"/>
      <c r="E32" s="97"/>
      <c r="F32" s="97"/>
      <c r="G32" s="97"/>
      <c r="H32" s="97"/>
      <c r="I32" s="97"/>
      <c r="J32" s="97"/>
      <c r="K32" s="97"/>
      <c r="L32" s="97"/>
      <c r="M32" s="97"/>
      <c r="N32" s="97"/>
      <c r="O32" s="97"/>
      <c r="P32" s="97"/>
      <c r="Q32" s="97"/>
    </row>
    <row r="33" spans="1:17" ht="14.4" customHeight="1" x14ac:dyDescent="0.3">
      <c r="A33" s="79" t="s">
        <v>90</v>
      </c>
      <c r="B33" s="98"/>
      <c r="C33" s="98"/>
      <c r="D33" s="98"/>
      <c r="E33" s="98"/>
      <c r="F33" s="98"/>
      <c r="G33" s="98"/>
      <c r="H33" s="98"/>
      <c r="I33" s="98"/>
      <c r="J33" s="98"/>
      <c r="K33" s="98"/>
      <c r="L33" s="98"/>
      <c r="M33" s="98"/>
      <c r="N33" s="98"/>
      <c r="O33" s="98"/>
      <c r="P33" s="98"/>
      <c r="Q33" s="98"/>
    </row>
    <row r="34" spans="1:17" ht="14.4" customHeight="1" x14ac:dyDescent="0.3">
      <c r="A34" s="102" t="s">
        <v>115</v>
      </c>
      <c r="B34" s="98"/>
      <c r="C34" s="98"/>
      <c r="D34" s="98"/>
      <c r="E34" s="98"/>
      <c r="F34" s="98"/>
      <c r="G34" s="98"/>
      <c r="H34" s="98"/>
      <c r="I34" s="98"/>
      <c r="J34" s="98"/>
      <c r="K34" s="98"/>
      <c r="L34" s="98"/>
      <c r="M34" s="98"/>
      <c r="N34" s="98"/>
      <c r="O34" s="98"/>
      <c r="P34" s="98"/>
      <c r="Q34" s="98"/>
    </row>
    <row r="35" spans="1:17" ht="14.4" customHeight="1" x14ac:dyDescent="0.3">
      <c r="A35" s="103" t="s">
        <v>44</v>
      </c>
      <c r="B35" s="98"/>
      <c r="C35" s="98"/>
      <c r="D35" s="98"/>
      <c r="E35" s="98"/>
      <c r="F35" s="98"/>
      <c r="G35" s="98"/>
      <c r="H35" s="98"/>
      <c r="I35" s="98"/>
      <c r="J35" s="98"/>
      <c r="K35" s="98"/>
      <c r="L35" s="98"/>
      <c r="M35" s="98"/>
      <c r="N35" s="98"/>
      <c r="O35" s="98"/>
      <c r="P35" s="98"/>
      <c r="Q35" s="98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183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96" customWidth="1"/>
    <col min="2" max="11" width="10" style="96" customWidth="1"/>
    <col min="12" max="16384" width="8.88671875" style="96"/>
  </cols>
  <sheetData>
    <row r="1" spans="1:11" s="55" customFormat="1" ht="18.600000000000001" customHeight="1" thickBot="1" x14ac:dyDescent="0.4">
      <c r="A1" s="267" t="s">
        <v>45</v>
      </c>
      <c r="B1" s="267"/>
      <c r="C1" s="267"/>
      <c r="D1" s="267"/>
      <c r="E1" s="267"/>
      <c r="F1" s="267"/>
      <c r="G1" s="267"/>
      <c r="H1" s="272"/>
      <c r="I1" s="272"/>
      <c r="J1" s="272"/>
      <c r="K1" s="272"/>
    </row>
    <row r="2" spans="1:11" s="55" customFormat="1" ht="14.4" customHeight="1" thickBot="1" x14ac:dyDescent="0.35">
      <c r="A2" s="175" t="s">
        <v>205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3" spans="1:11" ht="14.4" customHeight="1" x14ac:dyDescent="0.3">
      <c r="A3" s="58"/>
      <c r="B3" s="268" t="s">
        <v>46</v>
      </c>
      <c r="C3" s="269"/>
      <c r="D3" s="269"/>
      <c r="E3" s="269"/>
      <c r="F3" s="275" t="s">
        <v>47</v>
      </c>
      <c r="G3" s="269"/>
      <c r="H3" s="269"/>
      <c r="I3" s="269"/>
      <c r="J3" s="269"/>
      <c r="K3" s="276"/>
    </row>
    <row r="4" spans="1:11" ht="14.4" customHeight="1" x14ac:dyDescent="0.3">
      <c r="A4" s="59"/>
      <c r="B4" s="273"/>
      <c r="C4" s="274"/>
      <c r="D4" s="274"/>
      <c r="E4" s="274"/>
      <c r="F4" s="277" t="s">
        <v>111</v>
      </c>
      <c r="G4" s="279" t="s">
        <v>48</v>
      </c>
      <c r="H4" s="107" t="s">
        <v>80</v>
      </c>
      <c r="I4" s="277" t="s">
        <v>49</v>
      </c>
      <c r="J4" s="279" t="s">
        <v>113</v>
      </c>
      <c r="K4" s="280" t="s">
        <v>114</v>
      </c>
    </row>
    <row r="5" spans="1:11" ht="42" thickBot="1" x14ac:dyDescent="0.35">
      <c r="A5" s="60"/>
      <c r="B5" s="24" t="s">
        <v>107</v>
      </c>
      <c r="C5" s="25" t="s">
        <v>108</v>
      </c>
      <c r="D5" s="26" t="s">
        <v>109</v>
      </c>
      <c r="E5" s="26" t="s">
        <v>110</v>
      </c>
      <c r="F5" s="278"/>
      <c r="G5" s="278"/>
      <c r="H5" s="25" t="s">
        <v>112</v>
      </c>
      <c r="I5" s="278"/>
      <c r="J5" s="278"/>
      <c r="K5" s="281"/>
    </row>
    <row r="6" spans="1:11" ht="14.4" customHeight="1" thickBot="1" x14ac:dyDescent="0.35">
      <c r="A6" s="323" t="s">
        <v>208</v>
      </c>
      <c r="B6" s="305">
        <v>65604.043343699406</v>
      </c>
      <c r="C6" s="305">
        <v>68517.825509999995</v>
      </c>
      <c r="D6" s="306">
        <v>2913.7821663006598</v>
      </c>
      <c r="E6" s="307">
        <v>1.044414673513</v>
      </c>
      <c r="F6" s="305">
        <v>66017.4270606098</v>
      </c>
      <c r="G6" s="306">
        <v>38510.165785355697</v>
      </c>
      <c r="H6" s="308">
        <v>6177.1894700000003</v>
      </c>
      <c r="I6" s="305">
        <v>44749.090049999999</v>
      </c>
      <c r="J6" s="306">
        <v>6238.9242646442899</v>
      </c>
      <c r="K6" s="309">
        <v>0.677837535366</v>
      </c>
    </row>
    <row r="7" spans="1:11" ht="14.4" customHeight="1" thickBot="1" x14ac:dyDescent="0.35">
      <c r="A7" s="324" t="s">
        <v>209</v>
      </c>
      <c r="B7" s="305">
        <v>18936.1147791281</v>
      </c>
      <c r="C7" s="305">
        <v>19811.683229999999</v>
      </c>
      <c r="D7" s="306">
        <v>875.56845087192801</v>
      </c>
      <c r="E7" s="307">
        <v>1.046238019841</v>
      </c>
      <c r="F7" s="305">
        <v>19371.624276447099</v>
      </c>
      <c r="G7" s="306">
        <v>11300.114161260801</v>
      </c>
      <c r="H7" s="308">
        <v>1532.6074100000001</v>
      </c>
      <c r="I7" s="305">
        <v>12683.129919999999</v>
      </c>
      <c r="J7" s="306">
        <v>1383.01575873922</v>
      </c>
      <c r="K7" s="309">
        <v>0.65472723087100004</v>
      </c>
    </row>
    <row r="8" spans="1:11" ht="14.4" customHeight="1" thickBot="1" x14ac:dyDescent="0.35">
      <c r="A8" s="325" t="s">
        <v>210</v>
      </c>
      <c r="B8" s="305">
        <v>16751.477533024601</v>
      </c>
      <c r="C8" s="305">
        <v>17663.401229999999</v>
      </c>
      <c r="D8" s="306">
        <v>911.92369697543802</v>
      </c>
      <c r="E8" s="307">
        <v>1.054438403727</v>
      </c>
      <c r="F8" s="305">
        <v>17208.902739548099</v>
      </c>
      <c r="G8" s="306">
        <v>10038.5265980697</v>
      </c>
      <c r="H8" s="308">
        <v>1394.0014100000001</v>
      </c>
      <c r="I8" s="305">
        <v>11521.40992</v>
      </c>
      <c r="J8" s="306">
        <v>1482.8833219302801</v>
      </c>
      <c r="K8" s="309">
        <v>0.66950287850199997</v>
      </c>
    </row>
    <row r="9" spans="1:11" ht="14.4" customHeight="1" thickBot="1" x14ac:dyDescent="0.35">
      <c r="A9" s="326" t="s">
        <v>211</v>
      </c>
      <c r="B9" s="310">
        <v>4.9406564584124654E-324</v>
      </c>
      <c r="C9" s="310">
        <v>-1.6899999990000001E-3</v>
      </c>
      <c r="D9" s="311">
        <v>-1.6899999990000001E-3</v>
      </c>
      <c r="E9" s="312" t="s">
        <v>212</v>
      </c>
      <c r="F9" s="310">
        <v>0</v>
      </c>
      <c r="G9" s="311">
        <v>0</v>
      </c>
      <c r="H9" s="313">
        <v>2.5799999999999998E-3</v>
      </c>
      <c r="I9" s="310">
        <v>8.5199999999999998E-3</v>
      </c>
      <c r="J9" s="311">
        <v>8.5199999999999998E-3</v>
      </c>
      <c r="K9" s="314" t="s">
        <v>206</v>
      </c>
    </row>
    <row r="10" spans="1:11" ht="14.4" customHeight="1" thickBot="1" x14ac:dyDescent="0.35">
      <c r="A10" s="327" t="s">
        <v>213</v>
      </c>
      <c r="B10" s="305">
        <v>4.9406564584124654E-324</v>
      </c>
      <c r="C10" s="305">
        <v>-1.6899999990000001E-3</v>
      </c>
      <c r="D10" s="306">
        <v>-1.6899999990000001E-3</v>
      </c>
      <c r="E10" s="315" t="s">
        <v>212</v>
      </c>
      <c r="F10" s="305">
        <v>0</v>
      </c>
      <c r="G10" s="306">
        <v>0</v>
      </c>
      <c r="H10" s="308">
        <v>2.5799999999999998E-3</v>
      </c>
      <c r="I10" s="305">
        <v>8.5199999999999998E-3</v>
      </c>
      <c r="J10" s="306">
        <v>8.5199999999999998E-3</v>
      </c>
      <c r="K10" s="316" t="s">
        <v>206</v>
      </c>
    </row>
    <row r="11" spans="1:11" ht="14.4" customHeight="1" thickBot="1" x14ac:dyDescent="0.35">
      <c r="A11" s="326" t="s">
        <v>214</v>
      </c>
      <c r="B11" s="310">
        <v>922.51039294609905</v>
      </c>
      <c r="C11" s="310">
        <v>901.55295999999998</v>
      </c>
      <c r="D11" s="311">
        <v>-20.957432946097999</v>
      </c>
      <c r="E11" s="317">
        <v>0.97728217144600005</v>
      </c>
      <c r="F11" s="310">
        <v>893.80586841480897</v>
      </c>
      <c r="G11" s="311">
        <v>521.38675657530496</v>
      </c>
      <c r="H11" s="313">
        <v>72.941599999999994</v>
      </c>
      <c r="I11" s="310">
        <v>510.86979000000002</v>
      </c>
      <c r="J11" s="311">
        <v>-10.516966575304</v>
      </c>
      <c r="K11" s="318">
        <v>0.57156683352899995</v>
      </c>
    </row>
    <row r="12" spans="1:11" ht="14.4" customHeight="1" thickBot="1" x14ac:dyDescent="0.35">
      <c r="A12" s="327" t="s">
        <v>215</v>
      </c>
      <c r="B12" s="305">
        <v>739.99857537841297</v>
      </c>
      <c r="C12" s="305">
        <v>701.34277999999995</v>
      </c>
      <c r="D12" s="306">
        <v>-38.655795378413004</v>
      </c>
      <c r="E12" s="307">
        <v>0.94776233811099997</v>
      </c>
      <c r="F12" s="305">
        <v>701.87404060374797</v>
      </c>
      <c r="G12" s="306">
        <v>409.42652368551899</v>
      </c>
      <c r="H12" s="308">
        <v>52.439349999999997</v>
      </c>
      <c r="I12" s="305">
        <v>394.41327999999999</v>
      </c>
      <c r="J12" s="306">
        <v>-15.013243685519001</v>
      </c>
      <c r="K12" s="309">
        <v>0.561943108282</v>
      </c>
    </row>
    <row r="13" spans="1:11" ht="14.4" customHeight="1" thickBot="1" x14ac:dyDescent="0.35">
      <c r="A13" s="327" t="s">
        <v>216</v>
      </c>
      <c r="B13" s="305">
        <v>0</v>
      </c>
      <c r="C13" s="305">
        <v>6.1598899999999999</v>
      </c>
      <c r="D13" s="306">
        <v>6.1598899999999999</v>
      </c>
      <c r="E13" s="315" t="s">
        <v>206</v>
      </c>
      <c r="F13" s="305">
        <v>5.7690940597219997</v>
      </c>
      <c r="G13" s="306">
        <v>3.3653048681710001</v>
      </c>
      <c r="H13" s="308">
        <v>4.9406564584124654E-324</v>
      </c>
      <c r="I13" s="305">
        <v>3.4584595208887258E-323</v>
      </c>
      <c r="J13" s="306">
        <v>-3.3653048681710001</v>
      </c>
      <c r="K13" s="309">
        <v>4.9406564584124654E-324</v>
      </c>
    </row>
    <row r="14" spans="1:11" ht="14.4" customHeight="1" thickBot="1" x14ac:dyDescent="0.35">
      <c r="A14" s="327" t="s">
        <v>217</v>
      </c>
      <c r="B14" s="305">
        <v>24</v>
      </c>
      <c r="C14" s="305">
        <v>9.2124000000000006</v>
      </c>
      <c r="D14" s="306">
        <v>-14.787599999999999</v>
      </c>
      <c r="E14" s="307">
        <v>0.38385000000000002</v>
      </c>
      <c r="F14" s="305">
        <v>9.3244085439410007</v>
      </c>
      <c r="G14" s="306">
        <v>5.439238317299</v>
      </c>
      <c r="H14" s="308">
        <v>1.03542</v>
      </c>
      <c r="I14" s="305">
        <v>5.46</v>
      </c>
      <c r="J14" s="306">
        <v>2.0761682699999999E-2</v>
      </c>
      <c r="K14" s="309">
        <v>0.58555992846799998</v>
      </c>
    </row>
    <row r="15" spans="1:11" ht="14.4" customHeight="1" thickBot="1" x14ac:dyDescent="0.35">
      <c r="A15" s="327" t="s">
        <v>218</v>
      </c>
      <c r="B15" s="305">
        <v>158.51181756768599</v>
      </c>
      <c r="C15" s="305">
        <v>184.83788999999999</v>
      </c>
      <c r="D15" s="306">
        <v>26.326072432314</v>
      </c>
      <c r="E15" s="307">
        <v>1.166082711284</v>
      </c>
      <c r="F15" s="305">
        <v>176.83832520739799</v>
      </c>
      <c r="G15" s="306">
        <v>103.15568970431499</v>
      </c>
      <c r="H15" s="308">
        <v>19.466830000000002</v>
      </c>
      <c r="I15" s="305">
        <v>110.99651</v>
      </c>
      <c r="J15" s="306">
        <v>7.8408202956839999</v>
      </c>
      <c r="K15" s="309">
        <v>0.62767225300100005</v>
      </c>
    </row>
    <row r="16" spans="1:11" ht="14.4" customHeight="1" thickBot="1" x14ac:dyDescent="0.35">
      <c r="A16" s="326" t="s">
        <v>219</v>
      </c>
      <c r="B16" s="310">
        <v>9178.0777077049806</v>
      </c>
      <c r="C16" s="310">
        <v>10449.246349999999</v>
      </c>
      <c r="D16" s="311">
        <v>1271.1686422950299</v>
      </c>
      <c r="E16" s="317">
        <v>1.138500531677</v>
      </c>
      <c r="F16" s="310">
        <v>9007.6525947934806</v>
      </c>
      <c r="G16" s="311">
        <v>5254.4640136295302</v>
      </c>
      <c r="H16" s="313">
        <v>646.28434000000004</v>
      </c>
      <c r="I16" s="310">
        <v>6806.17263000001</v>
      </c>
      <c r="J16" s="311">
        <v>1551.7086163704801</v>
      </c>
      <c r="K16" s="318">
        <v>0.75559892639799997</v>
      </c>
    </row>
    <row r="17" spans="1:11" ht="14.4" customHeight="1" thickBot="1" x14ac:dyDescent="0.35">
      <c r="A17" s="327" t="s">
        <v>220</v>
      </c>
      <c r="B17" s="305">
        <v>10.407338976965001</v>
      </c>
      <c r="C17" s="305">
        <v>6.5440399999999999</v>
      </c>
      <c r="D17" s="306">
        <v>-3.8632989769649999</v>
      </c>
      <c r="E17" s="307">
        <v>0.62879089597100002</v>
      </c>
      <c r="F17" s="305">
        <v>6.9999962309220001</v>
      </c>
      <c r="G17" s="306">
        <v>4.0833311347040002</v>
      </c>
      <c r="H17" s="308">
        <v>4.9406564584124654E-324</v>
      </c>
      <c r="I17" s="305">
        <v>1.41588</v>
      </c>
      <c r="J17" s="306">
        <v>-2.6674511347040002</v>
      </c>
      <c r="K17" s="309">
        <v>0.202268680338</v>
      </c>
    </row>
    <row r="18" spans="1:11" ht="14.4" customHeight="1" thickBot="1" x14ac:dyDescent="0.35">
      <c r="A18" s="327" t="s">
        <v>221</v>
      </c>
      <c r="B18" s="305">
        <v>1547.0317157657601</v>
      </c>
      <c r="C18" s="305">
        <v>1550.52457</v>
      </c>
      <c r="D18" s="306">
        <v>3.492854234238</v>
      </c>
      <c r="E18" s="307">
        <v>1.0022577780390001</v>
      </c>
      <c r="F18" s="305">
        <v>1554.0505426673999</v>
      </c>
      <c r="G18" s="306">
        <v>906.52948322264899</v>
      </c>
      <c r="H18" s="308">
        <v>123.78404999999999</v>
      </c>
      <c r="I18" s="305">
        <v>942.93544000000099</v>
      </c>
      <c r="J18" s="306">
        <v>36.405956777351001</v>
      </c>
      <c r="K18" s="309">
        <v>0.60675982801700001</v>
      </c>
    </row>
    <row r="19" spans="1:11" ht="14.4" customHeight="1" thickBot="1" x14ac:dyDescent="0.35">
      <c r="A19" s="327" t="s">
        <v>222</v>
      </c>
      <c r="B19" s="305">
        <v>2510.93299375786</v>
      </c>
      <c r="C19" s="305">
        <v>1868.3525999999999</v>
      </c>
      <c r="D19" s="306">
        <v>-642.58039375785597</v>
      </c>
      <c r="E19" s="307">
        <v>0.74408700058599997</v>
      </c>
      <c r="F19" s="305">
        <v>1813.3389939127301</v>
      </c>
      <c r="G19" s="306">
        <v>1057.78107978242</v>
      </c>
      <c r="H19" s="308">
        <v>114.44783</v>
      </c>
      <c r="I19" s="305">
        <v>920.51107999999999</v>
      </c>
      <c r="J19" s="306">
        <v>-137.26999978242401</v>
      </c>
      <c r="K19" s="309">
        <v>0.50763320211499996</v>
      </c>
    </row>
    <row r="20" spans="1:11" ht="14.4" customHeight="1" thickBot="1" x14ac:dyDescent="0.35">
      <c r="A20" s="327" t="s">
        <v>223</v>
      </c>
      <c r="B20" s="305">
        <v>0</v>
      </c>
      <c r="C20" s="305">
        <v>1642.3276499999999</v>
      </c>
      <c r="D20" s="306">
        <v>1642.3276499999999</v>
      </c>
      <c r="E20" s="315" t="s">
        <v>206</v>
      </c>
      <c r="F20" s="305">
        <v>0</v>
      </c>
      <c r="G20" s="306">
        <v>0</v>
      </c>
      <c r="H20" s="308">
        <v>-44.920789999999997</v>
      </c>
      <c r="I20" s="305">
        <v>1998.8686300000099</v>
      </c>
      <c r="J20" s="306">
        <v>1998.8686300000099</v>
      </c>
      <c r="K20" s="316" t="s">
        <v>206</v>
      </c>
    </row>
    <row r="21" spans="1:11" ht="14.4" customHeight="1" thickBot="1" x14ac:dyDescent="0.35">
      <c r="A21" s="327" t="s">
        <v>224</v>
      </c>
      <c r="B21" s="305">
        <v>145.35154963712901</v>
      </c>
      <c r="C21" s="305">
        <v>86.087879999999998</v>
      </c>
      <c r="D21" s="306">
        <v>-59.263669637127997</v>
      </c>
      <c r="E21" s="307">
        <v>0.59227356168400003</v>
      </c>
      <c r="F21" s="305">
        <v>84.333785536326005</v>
      </c>
      <c r="G21" s="306">
        <v>49.194708229523002</v>
      </c>
      <c r="H21" s="308">
        <v>0.40849999999999997</v>
      </c>
      <c r="I21" s="305">
        <v>20.971689999999999</v>
      </c>
      <c r="J21" s="306">
        <v>-28.223018229522999</v>
      </c>
      <c r="K21" s="309">
        <v>0.24867483259000001</v>
      </c>
    </row>
    <row r="22" spans="1:11" ht="14.4" customHeight="1" thickBot="1" x14ac:dyDescent="0.35">
      <c r="A22" s="327" t="s">
        <v>225</v>
      </c>
      <c r="B22" s="305">
        <v>3945.09627543532</v>
      </c>
      <c r="C22" s="305">
        <v>3854.0446999999999</v>
      </c>
      <c r="D22" s="306">
        <v>-91.051575435315996</v>
      </c>
      <c r="E22" s="307">
        <v>0.97692031598700002</v>
      </c>
      <c r="F22" s="305">
        <v>3878.9310539766302</v>
      </c>
      <c r="G22" s="306">
        <v>2262.70978148637</v>
      </c>
      <c r="H22" s="308">
        <v>316.70028000000002</v>
      </c>
      <c r="I22" s="305">
        <v>2252.10583</v>
      </c>
      <c r="J22" s="306">
        <v>-10.603951486367</v>
      </c>
      <c r="K22" s="309">
        <v>0.58059960299900004</v>
      </c>
    </row>
    <row r="23" spans="1:11" ht="14.4" customHeight="1" thickBot="1" x14ac:dyDescent="0.35">
      <c r="A23" s="327" t="s">
        <v>226</v>
      </c>
      <c r="B23" s="305">
        <v>171.02463442184199</v>
      </c>
      <c r="C23" s="305">
        <v>113.34855</v>
      </c>
      <c r="D23" s="306">
        <v>-57.676084421840997</v>
      </c>
      <c r="E23" s="307">
        <v>0.66276153948899996</v>
      </c>
      <c r="F23" s="305">
        <v>116.274729574595</v>
      </c>
      <c r="G23" s="306">
        <v>67.826925585180007</v>
      </c>
      <c r="H23" s="308">
        <v>2.0056799999999999</v>
      </c>
      <c r="I23" s="305">
        <v>35.105649999999997</v>
      </c>
      <c r="J23" s="306">
        <v>-32.721275585180003</v>
      </c>
      <c r="K23" s="309">
        <v>0.301919859357</v>
      </c>
    </row>
    <row r="24" spans="1:11" ht="14.4" customHeight="1" thickBot="1" x14ac:dyDescent="0.35">
      <c r="A24" s="327" t="s">
        <v>227</v>
      </c>
      <c r="B24" s="305">
        <v>53.768934285416002</v>
      </c>
      <c r="C24" s="305">
        <v>42.576689999999999</v>
      </c>
      <c r="D24" s="306">
        <v>-11.192244285415001</v>
      </c>
      <c r="E24" s="307">
        <v>0.79184552503799999</v>
      </c>
      <c r="F24" s="305">
        <v>48.363950604727002</v>
      </c>
      <c r="G24" s="306">
        <v>28.212304519423999</v>
      </c>
      <c r="H24" s="308">
        <v>4.9406564584124654E-324</v>
      </c>
      <c r="I24" s="305">
        <v>3.4584595208887258E-323</v>
      </c>
      <c r="J24" s="306">
        <v>-28.212304519423999</v>
      </c>
      <c r="K24" s="309">
        <v>0</v>
      </c>
    </row>
    <row r="25" spans="1:11" ht="14.4" customHeight="1" thickBot="1" x14ac:dyDescent="0.35">
      <c r="A25" s="327" t="s">
        <v>228</v>
      </c>
      <c r="B25" s="305">
        <v>472.21374291213999</v>
      </c>
      <c r="C25" s="305">
        <v>565.16054999999994</v>
      </c>
      <c r="D25" s="306">
        <v>92.946807087859995</v>
      </c>
      <c r="E25" s="307">
        <v>1.196832067009</v>
      </c>
      <c r="F25" s="305">
        <v>871.15781423100702</v>
      </c>
      <c r="G25" s="306">
        <v>508.17539163475402</v>
      </c>
      <c r="H25" s="308">
        <v>67.662469999999999</v>
      </c>
      <c r="I25" s="305">
        <v>446.78082999999998</v>
      </c>
      <c r="J25" s="306">
        <v>-61.394561634753003</v>
      </c>
      <c r="K25" s="309">
        <v>0.51285866085499998</v>
      </c>
    </row>
    <row r="26" spans="1:11" ht="14.4" customHeight="1" thickBot="1" x14ac:dyDescent="0.35">
      <c r="A26" s="327" t="s">
        <v>229</v>
      </c>
      <c r="B26" s="305">
        <v>0</v>
      </c>
      <c r="C26" s="305">
        <v>19.181999999999999</v>
      </c>
      <c r="D26" s="306">
        <v>19.181999999999999</v>
      </c>
      <c r="E26" s="315" t="s">
        <v>206</v>
      </c>
      <c r="F26" s="305">
        <v>19.181909865024998</v>
      </c>
      <c r="G26" s="306">
        <v>11.189447421264999</v>
      </c>
      <c r="H26" s="308">
        <v>4.9406564584124654E-324</v>
      </c>
      <c r="I26" s="305">
        <v>0.82764000000000004</v>
      </c>
      <c r="J26" s="306">
        <v>-10.361807421265</v>
      </c>
      <c r="K26" s="309">
        <v>4.3146902775000003E-2</v>
      </c>
    </row>
    <row r="27" spans="1:11" ht="14.4" customHeight="1" thickBot="1" x14ac:dyDescent="0.35">
      <c r="A27" s="327" t="s">
        <v>230</v>
      </c>
      <c r="B27" s="305">
        <v>322.25052251254499</v>
      </c>
      <c r="C27" s="305">
        <v>701.09712000000002</v>
      </c>
      <c r="D27" s="306">
        <v>378.84659748745503</v>
      </c>
      <c r="E27" s="307">
        <v>2.1756275661969999</v>
      </c>
      <c r="F27" s="305">
        <v>615.01981819411401</v>
      </c>
      <c r="G27" s="306">
        <v>358.76156061323297</v>
      </c>
      <c r="H27" s="308">
        <v>66.19632</v>
      </c>
      <c r="I27" s="305">
        <v>186.64995999999999</v>
      </c>
      <c r="J27" s="306">
        <v>-172.11160061323301</v>
      </c>
      <c r="K27" s="309">
        <v>0.30348609016799999</v>
      </c>
    </row>
    <row r="28" spans="1:11" ht="14.4" customHeight="1" thickBot="1" x14ac:dyDescent="0.35">
      <c r="A28" s="326" t="s">
        <v>231</v>
      </c>
      <c r="B28" s="310">
        <v>818.82146621937397</v>
      </c>
      <c r="C28" s="310">
        <v>842.78197</v>
      </c>
      <c r="D28" s="311">
        <v>23.960503780625</v>
      </c>
      <c r="E28" s="317">
        <v>1.0292621832340001</v>
      </c>
      <c r="F28" s="310">
        <v>887.71794264222001</v>
      </c>
      <c r="G28" s="311">
        <v>517.83546654129498</v>
      </c>
      <c r="H28" s="313">
        <v>71.31841</v>
      </c>
      <c r="I28" s="310">
        <v>525.74755000000005</v>
      </c>
      <c r="J28" s="311">
        <v>7.9120834587050002</v>
      </c>
      <c r="K28" s="318">
        <v>0.59224616823099996</v>
      </c>
    </row>
    <row r="29" spans="1:11" ht="14.4" customHeight="1" thickBot="1" x14ac:dyDescent="0.35">
      <c r="A29" s="327" t="s">
        <v>232</v>
      </c>
      <c r="B29" s="305">
        <v>265.01199608745799</v>
      </c>
      <c r="C29" s="305">
        <v>27.617519999999999</v>
      </c>
      <c r="D29" s="306">
        <v>-237.394476087458</v>
      </c>
      <c r="E29" s="307">
        <v>0.104212339093</v>
      </c>
      <c r="F29" s="305">
        <v>31.873523025276</v>
      </c>
      <c r="G29" s="306">
        <v>18.592888431411001</v>
      </c>
      <c r="H29" s="308">
        <v>0</v>
      </c>
      <c r="I29" s="305">
        <v>31.243790000000001</v>
      </c>
      <c r="J29" s="306">
        <v>12.650901568588001</v>
      </c>
      <c r="K29" s="309">
        <v>0.98024275431399999</v>
      </c>
    </row>
    <row r="30" spans="1:11" ht="14.4" customHeight="1" thickBot="1" x14ac:dyDescent="0.35">
      <c r="A30" s="327" t="s">
        <v>233</v>
      </c>
      <c r="B30" s="305">
        <v>4.3342046295139998</v>
      </c>
      <c r="C30" s="305">
        <v>4.3284799999999999</v>
      </c>
      <c r="D30" s="306">
        <v>-5.7246295139999999E-3</v>
      </c>
      <c r="E30" s="307">
        <v>0.99867919722200005</v>
      </c>
      <c r="F30" s="305">
        <v>29.356866146007</v>
      </c>
      <c r="G30" s="306">
        <v>17.12483858517</v>
      </c>
      <c r="H30" s="308">
        <v>2.1667100000000001</v>
      </c>
      <c r="I30" s="305">
        <v>8.8437300000000008</v>
      </c>
      <c r="J30" s="306">
        <v>-8.2811085851699993</v>
      </c>
      <c r="K30" s="309">
        <v>0.30124911685099998</v>
      </c>
    </row>
    <row r="31" spans="1:11" ht="14.4" customHeight="1" thickBot="1" x14ac:dyDescent="0.35">
      <c r="A31" s="327" t="s">
        <v>234</v>
      </c>
      <c r="B31" s="305">
        <v>493.71854782366302</v>
      </c>
      <c r="C31" s="305">
        <v>537.92754000000002</v>
      </c>
      <c r="D31" s="306">
        <v>44.208992176336999</v>
      </c>
      <c r="E31" s="307">
        <v>1.0895429032820001</v>
      </c>
      <c r="F31" s="305">
        <v>553.33816927278895</v>
      </c>
      <c r="G31" s="306">
        <v>322.78059874245997</v>
      </c>
      <c r="H31" s="308">
        <v>46.498460000000001</v>
      </c>
      <c r="I31" s="305">
        <v>357.84780999999998</v>
      </c>
      <c r="J31" s="306">
        <v>35.067211257539</v>
      </c>
      <c r="K31" s="309">
        <v>0.64670725764299997</v>
      </c>
    </row>
    <row r="32" spans="1:11" ht="14.4" customHeight="1" thickBot="1" x14ac:dyDescent="0.35">
      <c r="A32" s="327" t="s">
        <v>235</v>
      </c>
      <c r="B32" s="305">
        <v>17.848500033753002</v>
      </c>
      <c r="C32" s="305">
        <v>24.767869999999998</v>
      </c>
      <c r="D32" s="306">
        <v>6.9193699662460002</v>
      </c>
      <c r="E32" s="307">
        <v>1.3876723507940001</v>
      </c>
      <c r="F32" s="305">
        <v>52.182489374105998</v>
      </c>
      <c r="G32" s="306">
        <v>30.439785468227999</v>
      </c>
      <c r="H32" s="308">
        <v>2.1385399999999999</v>
      </c>
      <c r="I32" s="305">
        <v>11.2502</v>
      </c>
      <c r="J32" s="306">
        <v>-19.189585468228</v>
      </c>
      <c r="K32" s="309">
        <v>0.21559339416199999</v>
      </c>
    </row>
    <row r="33" spans="1:11" ht="14.4" customHeight="1" thickBot="1" x14ac:dyDescent="0.35">
      <c r="A33" s="327" t="s">
        <v>236</v>
      </c>
      <c r="B33" s="305">
        <v>3.9048344615119999</v>
      </c>
      <c r="C33" s="305">
        <v>5.7152399999999997</v>
      </c>
      <c r="D33" s="306">
        <v>1.8104055384869999</v>
      </c>
      <c r="E33" s="307">
        <v>1.4636318277589999</v>
      </c>
      <c r="F33" s="305">
        <v>15.99870358225</v>
      </c>
      <c r="G33" s="306">
        <v>9.3325770896459996</v>
      </c>
      <c r="H33" s="308">
        <v>4.9406564584124654E-324</v>
      </c>
      <c r="I33" s="305">
        <v>6.1335199999999999</v>
      </c>
      <c r="J33" s="306">
        <v>-3.1990570896460002</v>
      </c>
      <c r="K33" s="309">
        <v>0.38337606346999997</v>
      </c>
    </row>
    <row r="34" spans="1:11" ht="14.4" customHeight="1" thickBot="1" x14ac:dyDescent="0.35">
      <c r="A34" s="327" t="s">
        <v>237</v>
      </c>
      <c r="B34" s="305">
        <v>0.15256394264299999</v>
      </c>
      <c r="C34" s="305">
        <v>0.34834999999999999</v>
      </c>
      <c r="D34" s="306">
        <v>0.19578605735599999</v>
      </c>
      <c r="E34" s="307">
        <v>2.2833049144080002</v>
      </c>
      <c r="F34" s="305">
        <v>0.60492263762700005</v>
      </c>
      <c r="G34" s="306">
        <v>0.35287153861499998</v>
      </c>
      <c r="H34" s="308">
        <v>4.9406564584124654E-324</v>
      </c>
      <c r="I34" s="305">
        <v>0.35814000000000001</v>
      </c>
      <c r="J34" s="306">
        <v>5.2684613839999997E-3</v>
      </c>
      <c r="K34" s="309">
        <v>0.59204264764199999</v>
      </c>
    </row>
    <row r="35" spans="1:11" ht="14.4" customHeight="1" thickBot="1" x14ac:dyDescent="0.35">
      <c r="A35" s="327" t="s">
        <v>238</v>
      </c>
      <c r="B35" s="305">
        <v>3.4284283417410002</v>
      </c>
      <c r="C35" s="305">
        <v>13.70838</v>
      </c>
      <c r="D35" s="306">
        <v>10.279951658258</v>
      </c>
      <c r="E35" s="307">
        <v>3.9984443697129999</v>
      </c>
      <c r="F35" s="305">
        <v>7.6523031549159999</v>
      </c>
      <c r="G35" s="306">
        <v>4.4638435070340003</v>
      </c>
      <c r="H35" s="308">
        <v>0.59892999999999996</v>
      </c>
      <c r="I35" s="305">
        <v>5.7561099999999996</v>
      </c>
      <c r="J35" s="306">
        <v>1.2922664929650001</v>
      </c>
      <c r="K35" s="309">
        <v>0.75220621602000004</v>
      </c>
    </row>
    <row r="36" spans="1:11" ht="14.4" customHeight="1" thickBot="1" x14ac:dyDescent="0.35">
      <c r="A36" s="327" t="s">
        <v>239</v>
      </c>
      <c r="B36" s="305">
        <v>16.877691160994001</v>
      </c>
      <c r="C36" s="305">
        <v>56.338430000000002</v>
      </c>
      <c r="D36" s="306">
        <v>39.460738839005003</v>
      </c>
      <c r="E36" s="307">
        <v>3.3380412914650002</v>
      </c>
      <c r="F36" s="305">
        <v>57.716122126656003</v>
      </c>
      <c r="G36" s="306">
        <v>33.667737907216001</v>
      </c>
      <c r="H36" s="308">
        <v>7.6089900000000004</v>
      </c>
      <c r="I36" s="305">
        <v>31.053429999999999</v>
      </c>
      <c r="J36" s="306">
        <v>-2.6143079072159998</v>
      </c>
      <c r="K36" s="309">
        <v>0.53803736037299998</v>
      </c>
    </row>
    <row r="37" spans="1:11" ht="14.4" customHeight="1" thickBot="1" x14ac:dyDescent="0.35">
      <c r="A37" s="327" t="s">
        <v>240</v>
      </c>
      <c r="B37" s="305">
        <v>13.544699738093</v>
      </c>
      <c r="C37" s="305">
        <v>15.20914</v>
      </c>
      <c r="D37" s="306">
        <v>1.6644402619059999</v>
      </c>
      <c r="E37" s="307">
        <v>1.122884987787</v>
      </c>
      <c r="F37" s="305">
        <v>17.00520054251</v>
      </c>
      <c r="G37" s="306">
        <v>9.9197003164640005</v>
      </c>
      <c r="H37" s="308">
        <v>0.77134999999999998</v>
      </c>
      <c r="I37" s="305">
        <v>9.5193999999999992</v>
      </c>
      <c r="J37" s="306">
        <v>-0.40030031646399999</v>
      </c>
      <c r="K37" s="309">
        <v>0.55979345707799999</v>
      </c>
    </row>
    <row r="38" spans="1:11" ht="14.4" customHeight="1" thickBot="1" x14ac:dyDescent="0.35">
      <c r="A38" s="327" t="s">
        <v>241</v>
      </c>
      <c r="B38" s="305">
        <v>4.9406564584124654E-324</v>
      </c>
      <c r="C38" s="305">
        <v>2.71</v>
      </c>
      <c r="D38" s="306">
        <v>2.71</v>
      </c>
      <c r="E38" s="315" t="s">
        <v>212</v>
      </c>
      <c r="F38" s="305">
        <v>0</v>
      </c>
      <c r="G38" s="306">
        <v>0</v>
      </c>
      <c r="H38" s="308">
        <v>4.9406564584124654E-324</v>
      </c>
      <c r="I38" s="305">
        <v>3.4584595208887258E-323</v>
      </c>
      <c r="J38" s="306">
        <v>3.4584595208887258E-323</v>
      </c>
      <c r="K38" s="316" t="s">
        <v>206</v>
      </c>
    </row>
    <row r="39" spans="1:11" ht="14.4" customHeight="1" thickBot="1" x14ac:dyDescent="0.35">
      <c r="A39" s="327" t="s">
        <v>242</v>
      </c>
      <c r="B39" s="305">
        <v>4.9406564584124654E-324</v>
      </c>
      <c r="C39" s="305">
        <v>0.99365999999999999</v>
      </c>
      <c r="D39" s="306">
        <v>0.99365999999999999</v>
      </c>
      <c r="E39" s="315" t="s">
        <v>212</v>
      </c>
      <c r="F39" s="305">
        <v>0</v>
      </c>
      <c r="G39" s="306">
        <v>0</v>
      </c>
      <c r="H39" s="308">
        <v>4.9406564584124654E-324</v>
      </c>
      <c r="I39" s="305">
        <v>3.4584595208887258E-323</v>
      </c>
      <c r="J39" s="306">
        <v>3.4584595208887258E-323</v>
      </c>
      <c r="K39" s="316" t="s">
        <v>206</v>
      </c>
    </row>
    <row r="40" spans="1:11" ht="14.4" customHeight="1" thickBot="1" x14ac:dyDescent="0.35">
      <c r="A40" s="327" t="s">
        <v>243</v>
      </c>
      <c r="B40" s="305">
        <v>4.9406564584124654E-324</v>
      </c>
      <c r="C40" s="305">
        <v>153.11735999999999</v>
      </c>
      <c r="D40" s="306">
        <v>153.11735999999999</v>
      </c>
      <c r="E40" s="315" t="s">
        <v>212</v>
      </c>
      <c r="F40" s="305">
        <v>121.989642780079</v>
      </c>
      <c r="G40" s="306">
        <v>71.160624955044995</v>
      </c>
      <c r="H40" s="308">
        <v>11.53543</v>
      </c>
      <c r="I40" s="305">
        <v>63.741419999999998</v>
      </c>
      <c r="J40" s="306">
        <v>-7.4192049550450001</v>
      </c>
      <c r="K40" s="309">
        <v>0.522515014778</v>
      </c>
    </row>
    <row r="41" spans="1:11" ht="14.4" customHeight="1" thickBot="1" x14ac:dyDescent="0.35">
      <c r="A41" s="326" t="s">
        <v>244</v>
      </c>
      <c r="B41" s="310">
        <v>852.19297180484295</v>
      </c>
      <c r="C41" s="310">
        <v>290.39756999999997</v>
      </c>
      <c r="D41" s="311">
        <v>-561.79540180484196</v>
      </c>
      <c r="E41" s="317">
        <v>0.34076503750600001</v>
      </c>
      <c r="F41" s="310">
        <v>204.45842956420501</v>
      </c>
      <c r="G41" s="311">
        <v>119.26741724578601</v>
      </c>
      <c r="H41" s="313">
        <v>57.957799999999999</v>
      </c>
      <c r="I41" s="310">
        <v>158.42697999999999</v>
      </c>
      <c r="J41" s="311">
        <v>39.159562754212999</v>
      </c>
      <c r="K41" s="318">
        <v>0.77486157131099997</v>
      </c>
    </row>
    <row r="42" spans="1:11" ht="14.4" customHeight="1" thickBot="1" x14ac:dyDescent="0.35">
      <c r="A42" s="327" t="s">
        <v>245</v>
      </c>
      <c r="B42" s="305">
        <v>16.996121629106</v>
      </c>
      <c r="C42" s="305">
        <v>2.8540000000000001</v>
      </c>
      <c r="D42" s="306">
        <v>-14.142121629106001</v>
      </c>
      <c r="E42" s="307">
        <v>0.167920662271</v>
      </c>
      <c r="F42" s="305">
        <v>0</v>
      </c>
      <c r="G42" s="306">
        <v>0</v>
      </c>
      <c r="H42" s="308">
        <v>4.9406564584124654E-324</v>
      </c>
      <c r="I42" s="305">
        <v>3.4584595208887258E-323</v>
      </c>
      <c r="J42" s="306">
        <v>3.4584595208887258E-323</v>
      </c>
      <c r="K42" s="316" t="s">
        <v>206</v>
      </c>
    </row>
    <row r="43" spans="1:11" ht="14.4" customHeight="1" thickBot="1" x14ac:dyDescent="0.35">
      <c r="A43" s="327" t="s">
        <v>246</v>
      </c>
      <c r="B43" s="305">
        <v>35.027857136553003</v>
      </c>
      <c r="C43" s="305">
        <v>72.296400000000006</v>
      </c>
      <c r="D43" s="306">
        <v>37.268542863446001</v>
      </c>
      <c r="E43" s="307">
        <v>2.0639686783619999</v>
      </c>
      <c r="F43" s="305">
        <v>58.563843418080999</v>
      </c>
      <c r="G43" s="306">
        <v>34.162241993880002</v>
      </c>
      <c r="H43" s="308">
        <v>4.9406564584124654E-324</v>
      </c>
      <c r="I43" s="305">
        <v>2.0169999999999999</v>
      </c>
      <c r="J43" s="306">
        <v>-32.145241993879999</v>
      </c>
      <c r="K43" s="309">
        <v>3.4441045571000001E-2</v>
      </c>
    </row>
    <row r="44" spans="1:11" ht="14.4" customHeight="1" thickBot="1" x14ac:dyDescent="0.35">
      <c r="A44" s="327" t="s">
        <v>247</v>
      </c>
      <c r="B44" s="305">
        <v>791.52214669283001</v>
      </c>
      <c r="C44" s="305">
        <v>209.86368999999999</v>
      </c>
      <c r="D44" s="306">
        <v>-581.65845669282999</v>
      </c>
      <c r="E44" s="307">
        <v>0.26513937844500002</v>
      </c>
      <c r="F44" s="305">
        <v>139.89346715803401</v>
      </c>
      <c r="G44" s="306">
        <v>81.604522508852995</v>
      </c>
      <c r="H44" s="308">
        <v>57.957799999999999</v>
      </c>
      <c r="I44" s="305">
        <v>154.10551000000001</v>
      </c>
      <c r="J44" s="306">
        <v>72.500987491146006</v>
      </c>
      <c r="K44" s="309">
        <v>1.1015918979679999</v>
      </c>
    </row>
    <row r="45" spans="1:11" ht="14.4" customHeight="1" thickBot="1" x14ac:dyDescent="0.35">
      <c r="A45" s="327" t="s">
        <v>248</v>
      </c>
      <c r="B45" s="305">
        <v>0</v>
      </c>
      <c r="C45" s="305">
        <v>1.0109999999999999</v>
      </c>
      <c r="D45" s="306">
        <v>1.0109999999999999</v>
      </c>
      <c r="E45" s="315" t="s">
        <v>206</v>
      </c>
      <c r="F45" s="305">
        <v>0</v>
      </c>
      <c r="G45" s="306">
        <v>0</v>
      </c>
      <c r="H45" s="308">
        <v>4.9406564584124654E-324</v>
      </c>
      <c r="I45" s="305">
        <v>3.4584595208887258E-323</v>
      </c>
      <c r="J45" s="306">
        <v>3.4584595208887258E-323</v>
      </c>
      <c r="K45" s="316" t="s">
        <v>206</v>
      </c>
    </row>
    <row r="46" spans="1:11" ht="14.4" customHeight="1" thickBot="1" x14ac:dyDescent="0.35">
      <c r="A46" s="327" t="s">
        <v>249</v>
      </c>
      <c r="B46" s="305">
        <v>8.4107345191680007</v>
      </c>
      <c r="C46" s="305">
        <v>4.3724800000000004</v>
      </c>
      <c r="D46" s="306">
        <v>-4.0382545191680004</v>
      </c>
      <c r="E46" s="307">
        <v>0.51986898290899997</v>
      </c>
      <c r="F46" s="305">
        <v>6.0011189880889999</v>
      </c>
      <c r="G46" s="306">
        <v>3.500652743052</v>
      </c>
      <c r="H46" s="308">
        <v>4.9406564584124654E-324</v>
      </c>
      <c r="I46" s="305">
        <v>2.3044699999999998</v>
      </c>
      <c r="J46" s="306">
        <v>-1.196182743052</v>
      </c>
      <c r="K46" s="309">
        <v>0.384006716842</v>
      </c>
    </row>
    <row r="47" spans="1:11" ht="14.4" customHeight="1" thickBot="1" x14ac:dyDescent="0.35">
      <c r="A47" s="326" t="s">
        <v>250</v>
      </c>
      <c r="B47" s="310">
        <v>4979.8749943492803</v>
      </c>
      <c r="C47" s="310">
        <v>5021.2315699999999</v>
      </c>
      <c r="D47" s="311">
        <v>41.356575650724999</v>
      </c>
      <c r="E47" s="317">
        <v>1.0083047417240001</v>
      </c>
      <c r="F47" s="310">
        <v>6215.2679041334004</v>
      </c>
      <c r="G47" s="311">
        <v>3625.57294407782</v>
      </c>
      <c r="H47" s="313">
        <v>545.49667999999997</v>
      </c>
      <c r="I47" s="310">
        <v>3520.1844500000002</v>
      </c>
      <c r="J47" s="311">
        <v>-105.38849407781299</v>
      </c>
      <c r="K47" s="318">
        <v>0.566376945337</v>
      </c>
    </row>
    <row r="48" spans="1:11" ht="14.4" customHeight="1" thickBot="1" x14ac:dyDescent="0.35">
      <c r="A48" s="327" t="s">
        <v>251</v>
      </c>
      <c r="B48" s="305">
        <v>93.380226486357998</v>
      </c>
      <c r="C48" s="305">
        <v>32.834099999999999</v>
      </c>
      <c r="D48" s="306">
        <v>-60.546126486357998</v>
      </c>
      <c r="E48" s="307">
        <v>0.35161726668900001</v>
      </c>
      <c r="F48" s="305">
        <v>29.371100406562999</v>
      </c>
      <c r="G48" s="306">
        <v>17.133141903828001</v>
      </c>
      <c r="H48" s="308">
        <v>4.9406564584124654E-324</v>
      </c>
      <c r="I48" s="305">
        <v>20.496839999999999</v>
      </c>
      <c r="J48" s="306">
        <v>3.3636980961709999</v>
      </c>
      <c r="K48" s="309">
        <v>0.69785740800499996</v>
      </c>
    </row>
    <row r="49" spans="1:11" ht="14.4" customHeight="1" thickBot="1" x14ac:dyDescent="0.35">
      <c r="A49" s="327" t="s">
        <v>252</v>
      </c>
      <c r="B49" s="305">
        <v>3.6204716799679999</v>
      </c>
      <c r="C49" s="305">
        <v>1.1279999999999999</v>
      </c>
      <c r="D49" s="306">
        <v>-2.4924716799679998</v>
      </c>
      <c r="E49" s="307">
        <v>0.31156161398499999</v>
      </c>
      <c r="F49" s="305">
        <v>0</v>
      </c>
      <c r="G49" s="306">
        <v>0</v>
      </c>
      <c r="H49" s="308">
        <v>4.9406564584124654E-324</v>
      </c>
      <c r="I49" s="305">
        <v>3.4584595208887258E-323</v>
      </c>
      <c r="J49" s="306">
        <v>3.4584595208887258E-323</v>
      </c>
      <c r="K49" s="316" t="s">
        <v>206</v>
      </c>
    </row>
    <row r="50" spans="1:11" ht="14.4" customHeight="1" thickBot="1" x14ac:dyDescent="0.35">
      <c r="A50" s="327" t="s">
        <v>253</v>
      </c>
      <c r="B50" s="305">
        <v>4882.8742961829503</v>
      </c>
      <c r="C50" s="305">
        <v>4987.2694700000002</v>
      </c>
      <c r="D50" s="306">
        <v>104.39517381705301</v>
      </c>
      <c r="E50" s="307">
        <v>1.021379861017</v>
      </c>
      <c r="F50" s="305">
        <v>0</v>
      </c>
      <c r="G50" s="306">
        <v>0</v>
      </c>
      <c r="H50" s="308">
        <v>4.9406564584124654E-324</v>
      </c>
      <c r="I50" s="305">
        <v>3.4584595208887258E-323</v>
      </c>
      <c r="J50" s="306">
        <v>3.4584595208887258E-323</v>
      </c>
      <c r="K50" s="316" t="s">
        <v>206</v>
      </c>
    </row>
    <row r="51" spans="1:11" ht="14.4" customHeight="1" thickBot="1" x14ac:dyDescent="0.35">
      <c r="A51" s="327" t="s">
        <v>254</v>
      </c>
      <c r="B51" s="305">
        <v>4.9406564584124654E-324</v>
      </c>
      <c r="C51" s="305">
        <v>4.9406564584124654E-324</v>
      </c>
      <c r="D51" s="306">
        <v>0</v>
      </c>
      <c r="E51" s="307">
        <v>1</v>
      </c>
      <c r="F51" s="305">
        <v>1684.02895441125</v>
      </c>
      <c r="G51" s="306">
        <v>982.35022340656406</v>
      </c>
      <c r="H51" s="308">
        <v>186.68260000000001</v>
      </c>
      <c r="I51" s="305">
        <v>1017.77369</v>
      </c>
      <c r="J51" s="306">
        <v>35.423466593435997</v>
      </c>
      <c r="K51" s="309">
        <v>0.60436828436500001</v>
      </c>
    </row>
    <row r="52" spans="1:11" ht="14.4" customHeight="1" thickBot="1" x14ac:dyDescent="0.35">
      <c r="A52" s="327" t="s">
        <v>255</v>
      </c>
      <c r="B52" s="305">
        <v>4.9406564584124654E-324</v>
      </c>
      <c r="C52" s="305">
        <v>4.9406564584124654E-324</v>
      </c>
      <c r="D52" s="306">
        <v>0</v>
      </c>
      <c r="E52" s="307">
        <v>1</v>
      </c>
      <c r="F52" s="305">
        <v>4117.9200388859299</v>
      </c>
      <c r="G52" s="306">
        <v>2402.1200226834599</v>
      </c>
      <c r="H52" s="308">
        <v>304.44045</v>
      </c>
      <c r="I52" s="305">
        <v>2129.7479199999998</v>
      </c>
      <c r="J52" s="306">
        <v>-272.37210268345802</v>
      </c>
      <c r="K52" s="309">
        <v>0.51719020765000001</v>
      </c>
    </row>
    <row r="53" spans="1:11" ht="14.4" customHeight="1" thickBot="1" x14ac:dyDescent="0.35">
      <c r="A53" s="327" t="s">
        <v>256</v>
      </c>
      <c r="B53" s="305">
        <v>4.9406564584124654E-324</v>
      </c>
      <c r="C53" s="305">
        <v>4.9406564584124654E-324</v>
      </c>
      <c r="D53" s="306">
        <v>0</v>
      </c>
      <c r="E53" s="307">
        <v>1</v>
      </c>
      <c r="F53" s="305">
        <v>383.94781042965298</v>
      </c>
      <c r="G53" s="306">
        <v>223.96955608396399</v>
      </c>
      <c r="H53" s="308">
        <v>54.373629999999999</v>
      </c>
      <c r="I53" s="305">
        <v>352.166</v>
      </c>
      <c r="J53" s="306">
        <v>128.196443916036</v>
      </c>
      <c r="K53" s="309">
        <v>0.91722361850599998</v>
      </c>
    </row>
    <row r="54" spans="1:11" ht="14.4" customHeight="1" thickBot="1" x14ac:dyDescent="0.35">
      <c r="A54" s="326" t="s">
        <v>257</v>
      </c>
      <c r="B54" s="310">
        <v>0</v>
      </c>
      <c r="C54" s="310">
        <v>158.1925</v>
      </c>
      <c r="D54" s="311">
        <v>158.1925</v>
      </c>
      <c r="E54" s="312" t="s">
        <v>206</v>
      </c>
      <c r="F54" s="310">
        <v>0</v>
      </c>
      <c r="G54" s="311">
        <v>0</v>
      </c>
      <c r="H54" s="313">
        <v>4.9406564584124654E-324</v>
      </c>
      <c r="I54" s="310">
        <v>3.4584595208887258E-323</v>
      </c>
      <c r="J54" s="311">
        <v>3.4584595208887258E-323</v>
      </c>
      <c r="K54" s="314" t="s">
        <v>206</v>
      </c>
    </row>
    <row r="55" spans="1:11" ht="14.4" customHeight="1" thickBot="1" x14ac:dyDescent="0.35">
      <c r="A55" s="327" t="s">
        <v>258</v>
      </c>
      <c r="B55" s="305">
        <v>4.9406564584124654E-324</v>
      </c>
      <c r="C55" s="305">
        <v>158.1925</v>
      </c>
      <c r="D55" s="306">
        <v>158.1925</v>
      </c>
      <c r="E55" s="315" t="s">
        <v>212</v>
      </c>
      <c r="F55" s="305">
        <v>0</v>
      </c>
      <c r="G55" s="306">
        <v>0</v>
      </c>
      <c r="H55" s="308">
        <v>4.9406564584124654E-324</v>
      </c>
      <c r="I55" s="305">
        <v>3.4584595208887258E-323</v>
      </c>
      <c r="J55" s="306">
        <v>3.4584595208887258E-323</v>
      </c>
      <c r="K55" s="316" t="s">
        <v>206</v>
      </c>
    </row>
    <row r="56" spans="1:11" ht="14.4" customHeight="1" thickBot="1" x14ac:dyDescent="0.35">
      <c r="A56" s="325" t="s">
        <v>26</v>
      </c>
      <c r="B56" s="305">
        <v>2184.6372461035098</v>
      </c>
      <c r="C56" s="305">
        <v>2148.2820000000002</v>
      </c>
      <c r="D56" s="306">
        <v>-36.355246103508001</v>
      </c>
      <c r="E56" s="307">
        <v>0.98335868063700005</v>
      </c>
      <c r="F56" s="305">
        <v>2162.72153689896</v>
      </c>
      <c r="G56" s="306">
        <v>1261.5875631910601</v>
      </c>
      <c r="H56" s="308">
        <v>138.60599999999999</v>
      </c>
      <c r="I56" s="305">
        <v>1161.72</v>
      </c>
      <c r="J56" s="306">
        <v>-99.867563191057997</v>
      </c>
      <c r="K56" s="309">
        <v>0.537156531795</v>
      </c>
    </row>
    <row r="57" spans="1:11" ht="14.4" customHeight="1" thickBot="1" x14ac:dyDescent="0.35">
      <c r="A57" s="326" t="s">
        <v>259</v>
      </c>
      <c r="B57" s="310">
        <v>2184.6372461035098</v>
      </c>
      <c r="C57" s="310">
        <v>2148.2820000000002</v>
      </c>
      <c r="D57" s="311">
        <v>-36.355246103508001</v>
      </c>
      <c r="E57" s="317">
        <v>0.98335868063700005</v>
      </c>
      <c r="F57" s="310">
        <v>2162.72153689896</v>
      </c>
      <c r="G57" s="311">
        <v>1261.5875631910601</v>
      </c>
      <c r="H57" s="313">
        <v>138.60599999999999</v>
      </c>
      <c r="I57" s="310">
        <v>1161.72</v>
      </c>
      <c r="J57" s="311">
        <v>-99.867563191057997</v>
      </c>
      <c r="K57" s="318">
        <v>0.537156531795</v>
      </c>
    </row>
    <row r="58" spans="1:11" ht="14.4" customHeight="1" thickBot="1" x14ac:dyDescent="0.35">
      <c r="A58" s="327" t="s">
        <v>260</v>
      </c>
      <c r="B58" s="305">
        <v>607.54676380440901</v>
      </c>
      <c r="C58" s="305">
        <v>614.27800000000002</v>
      </c>
      <c r="D58" s="306">
        <v>6.7312361955910003</v>
      </c>
      <c r="E58" s="307">
        <v>1.011079371328</v>
      </c>
      <c r="F58" s="305">
        <v>609.68701612278403</v>
      </c>
      <c r="G58" s="306">
        <v>355.65075940495802</v>
      </c>
      <c r="H58" s="308">
        <v>43.591999999999999</v>
      </c>
      <c r="I58" s="305">
        <v>299.27100000000002</v>
      </c>
      <c r="J58" s="306">
        <v>-56.379759404956999</v>
      </c>
      <c r="K58" s="309">
        <v>0.490860051282</v>
      </c>
    </row>
    <row r="59" spans="1:11" ht="14.4" customHeight="1" thickBot="1" x14ac:dyDescent="0.35">
      <c r="A59" s="327" t="s">
        <v>261</v>
      </c>
      <c r="B59" s="305">
        <v>900.03868195048699</v>
      </c>
      <c r="C59" s="305">
        <v>889.98</v>
      </c>
      <c r="D59" s="306">
        <v>-10.058681950486999</v>
      </c>
      <c r="E59" s="307">
        <v>0.98882416705800003</v>
      </c>
      <c r="F59" s="305">
        <v>900.00609651507102</v>
      </c>
      <c r="G59" s="306">
        <v>525.00355630045794</v>
      </c>
      <c r="H59" s="308">
        <v>75.540000000000006</v>
      </c>
      <c r="I59" s="305">
        <v>507.69900000000001</v>
      </c>
      <c r="J59" s="306">
        <v>-17.304556300457001</v>
      </c>
      <c r="K59" s="309">
        <v>0.56410617879699998</v>
      </c>
    </row>
    <row r="60" spans="1:11" ht="14.4" customHeight="1" thickBot="1" x14ac:dyDescent="0.35">
      <c r="A60" s="327" t="s">
        <v>262</v>
      </c>
      <c r="B60" s="305">
        <v>677.05180034861303</v>
      </c>
      <c r="C60" s="305">
        <v>644.024</v>
      </c>
      <c r="D60" s="306">
        <v>-33.027800348612999</v>
      </c>
      <c r="E60" s="307">
        <v>0.951218207629</v>
      </c>
      <c r="F60" s="305">
        <v>653.02842426110396</v>
      </c>
      <c r="G60" s="306">
        <v>380.93324748564402</v>
      </c>
      <c r="H60" s="308">
        <v>19.474</v>
      </c>
      <c r="I60" s="305">
        <v>354.75</v>
      </c>
      <c r="J60" s="306">
        <v>-26.183247485643001</v>
      </c>
      <c r="K60" s="309">
        <v>0.54323822182899995</v>
      </c>
    </row>
    <row r="61" spans="1:11" ht="14.4" customHeight="1" thickBot="1" x14ac:dyDescent="0.35">
      <c r="A61" s="328" t="s">
        <v>263</v>
      </c>
      <c r="B61" s="310">
        <v>5851.9342135180304</v>
      </c>
      <c r="C61" s="310">
        <v>5492.9667600000002</v>
      </c>
      <c r="D61" s="311">
        <v>-358.96745351802701</v>
      </c>
      <c r="E61" s="317">
        <v>0.93865832382500003</v>
      </c>
      <c r="F61" s="310">
        <v>5378.7353457003401</v>
      </c>
      <c r="G61" s="311">
        <v>3137.5956183252001</v>
      </c>
      <c r="H61" s="313">
        <v>392.85178999999999</v>
      </c>
      <c r="I61" s="310">
        <v>6893.5141400000002</v>
      </c>
      <c r="J61" s="311">
        <v>3755.9185216748001</v>
      </c>
      <c r="K61" s="318">
        <v>1.2816235968009999</v>
      </c>
    </row>
    <row r="62" spans="1:11" ht="14.4" customHeight="1" thickBot="1" x14ac:dyDescent="0.35">
      <c r="A62" s="325" t="s">
        <v>29</v>
      </c>
      <c r="B62" s="305">
        <v>1545.5070339470701</v>
      </c>
      <c r="C62" s="305">
        <v>1381.7570499999999</v>
      </c>
      <c r="D62" s="306">
        <v>-163.74998394706799</v>
      </c>
      <c r="E62" s="307">
        <v>0.89404772650599995</v>
      </c>
      <c r="F62" s="305">
        <v>1310.4887640844299</v>
      </c>
      <c r="G62" s="306">
        <v>764.45177904925094</v>
      </c>
      <c r="H62" s="308">
        <v>148.01801</v>
      </c>
      <c r="I62" s="305">
        <v>627.75968</v>
      </c>
      <c r="J62" s="306">
        <v>-136.69209904925</v>
      </c>
      <c r="K62" s="309">
        <v>0.47902713644200001</v>
      </c>
    </row>
    <row r="63" spans="1:11" ht="14.4" customHeight="1" thickBot="1" x14ac:dyDescent="0.35">
      <c r="A63" s="329" t="s">
        <v>264</v>
      </c>
      <c r="B63" s="305">
        <v>1545.5070339470701</v>
      </c>
      <c r="C63" s="305">
        <v>1381.7570499999999</v>
      </c>
      <c r="D63" s="306">
        <v>-163.74998394706799</v>
      </c>
      <c r="E63" s="307">
        <v>0.89404772650599995</v>
      </c>
      <c r="F63" s="305">
        <v>1310.4887640844299</v>
      </c>
      <c r="G63" s="306">
        <v>764.45177904925094</v>
      </c>
      <c r="H63" s="308">
        <v>148.01801</v>
      </c>
      <c r="I63" s="305">
        <v>627.75968</v>
      </c>
      <c r="J63" s="306">
        <v>-136.69209904925</v>
      </c>
      <c r="K63" s="309">
        <v>0.47902713644200001</v>
      </c>
    </row>
    <row r="64" spans="1:11" ht="14.4" customHeight="1" thickBot="1" x14ac:dyDescent="0.35">
      <c r="A64" s="327" t="s">
        <v>265</v>
      </c>
      <c r="B64" s="305">
        <v>1125.5870100648999</v>
      </c>
      <c r="C64" s="305">
        <v>886.47229000000095</v>
      </c>
      <c r="D64" s="306">
        <v>-239.11472006490101</v>
      </c>
      <c r="E64" s="307">
        <v>0.78756442822499995</v>
      </c>
      <c r="F64" s="305">
        <v>817.45143495754803</v>
      </c>
      <c r="G64" s="306">
        <v>476.84667039190299</v>
      </c>
      <c r="H64" s="308">
        <v>120.0842</v>
      </c>
      <c r="I64" s="305">
        <v>509.80531000000002</v>
      </c>
      <c r="J64" s="306">
        <v>32.958639608097002</v>
      </c>
      <c r="K64" s="309">
        <v>0.62365210726700004</v>
      </c>
    </row>
    <row r="65" spans="1:11" ht="14.4" customHeight="1" thickBot="1" x14ac:dyDescent="0.35">
      <c r="A65" s="327" t="s">
        <v>266</v>
      </c>
      <c r="B65" s="305">
        <v>166.93985488609101</v>
      </c>
      <c r="C65" s="305">
        <v>212.51760999999999</v>
      </c>
      <c r="D65" s="306">
        <v>45.577755113907997</v>
      </c>
      <c r="E65" s="307">
        <v>1.273019017208</v>
      </c>
      <c r="F65" s="305">
        <v>276.33555588538798</v>
      </c>
      <c r="G65" s="306">
        <v>161.19574093314299</v>
      </c>
      <c r="H65" s="308">
        <v>4.9406564584124654E-324</v>
      </c>
      <c r="I65" s="305">
        <v>10.177099999999999</v>
      </c>
      <c r="J65" s="306">
        <v>-151.01864093314299</v>
      </c>
      <c r="K65" s="309">
        <v>3.6828774954999997E-2</v>
      </c>
    </row>
    <row r="66" spans="1:11" ht="14.4" customHeight="1" thickBot="1" x14ac:dyDescent="0.35">
      <c r="A66" s="327" t="s">
        <v>267</v>
      </c>
      <c r="B66" s="305">
        <v>169.98629104171101</v>
      </c>
      <c r="C66" s="305">
        <v>153.10580999999999</v>
      </c>
      <c r="D66" s="306">
        <v>-16.880481041711001</v>
      </c>
      <c r="E66" s="307">
        <v>0.90069504465100003</v>
      </c>
      <c r="F66" s="305">
        <v>81.999861559118003</v>
      </c>
      <c r="G66" s="306">
        <v>47.833252576151999</v>
      </c>
      <c r="H66" s="308">
        <v>27.142710000000001</v>
      </c>
      <c r="I66" s="305">
        <v>73.849090000000004</v>
      </c>
      <c r="J66" s="306">
        <v>26.015837423847</v>
      </c>
      <c r="K66" s="309">
        <v>0.90060017902199996</v>
      </c>
    </row>
    <row r="67" spans="1:11" ht="14.4" customHeight="1" thickBot="1" x14ac:dyDescent="0.35">
      <c r="A67" s="327" t="s">
        <v>268</v>
      </c>
      <c r="B67" s="305">
        <v>82.993877954363995</v>
      </c>
      <c r="C67" s="305">
        <v>129.66134</v>
      </c>
      <c r="D67" s="306">
        <v>46.667462045634998</v>
      </c>
      <c r="E67" s="307">
        <v>1.562300053882</v>
      </c>
      <c r="F67" s="305">
        <v>134.701911682375</v>
      </c>
      <c r="G67" s="306">
        <v>78.576115148051002</v>
      </c>
      <c r="H67" s="308">
        <v>0.79110000000000003</v>
      </c>
      <c r="I67" s="305">
        <v>33.928179999999998</v>
      </c>
      <c r="J67" s="306">
        <v>-44.647935148050998</v>
      </c>
      <c r="K67" s="309">
        <v>0.25187600959899997</v>
      </c>
    </row>
    <row r="68" spans="1:11" ht="14.4" customHeight="1" thickBot="1" x14ac:dyDescent="0.35">
      <c r="A68" s="330" t="s">
        <v>30</v>
      </c>
      <c r="B68" s="310">
        <v>0</v>
      </c>
      <c r="C68" s="310">
        <v>33.04</v>
      </c>
      <c r="D68" s="311">
        <v>33.04</v>
      </c>
      <c r="E68" s="312" t="s">
        <v>206</v>
      </c>
      <c r="F68" s="310">
        <v>0</v>
      </c>
      <c r="G68" s="311">
        <v>0</v>
      </c>
      <c r="H68" s="313">
        <v>4.9406564584124654E-324</v>
      </c>
      <c r="I68" s="310">
        <v>15.897</v>
      </c>
      <c r="J68" s="311">
        <v>15.897</v>
      </c>
      <c r="K68" s="314" t="s">
        <v>206</v>
      </c>
    </row>
    <row r="69" spans="1:11" ht="14.4" customHeight="1" thickBot="1" x14ac:dyDescent="0.35">
      <c r="A69" s="326" t="s">
        <v>269</v>
      </c>
      <c r="B69" s="310">
        <v>0</v>
      </c>
      <c r="C69" s="310">
        <v>33.04</v>
      </c>
      <c r="D69" s="311">
        <v>33.04</v>
      </c>
      <c r="E69" s="312" t="s">
        <v>206</v>
      </c>
      <c r="F69" s="310">
        <v>0</v>
      </c>
      <c r="G69" s="311">
        <v>0</v>
      </c>
      <c r="H69" s="313">
        <v>4.9406564584124654E-324</v>
      </c>
      <c r="I69" s="310">
        <v>15.897</v>
      </c>
      <c r="J69" s="311">
        <v>15.897</v>
      </c>
      <c r="K69" s="314" t="s">
        <v>206</v>
      </c>
    </row>
    <row r="70" spans="1:11" ht="14.4" customHeight="1" thickBot="1" x14ac:dyDescent="0.35">
      <c r="A70" s="327" t="s">
        <v>270</v>
      </c>
      <c r="B70" s="305">
        <v>0</v>
      </c>
      <c r="C70" s="305">
        <v>18.872</v>
      </c>
      <c r="D70" s="306">
        <v>18.872</v>
      </c>
      <c r="E70" s="315" t="s">
        <v>206</v>
      </c>
      <c r="F70" s="305">
        <v>0</v>
      </c>
      <c r="G70" s="306">
        <v>0</v>
      </c>
      <c r="H70" s="308">
        <v>4.9406564584124654E-324</v>
      </c>
      <c r="I70" s="305">
        <v>12.047000000000001</v>
      </c>
      <c r="J70" s="306">
        <v>12.047000000000001</v>
      </c>
      <c r="K70" s="316" t="s">
        <v>206</v>
      </c>
    </row>
    <row r="71" spans="1:11" ht="14.4" customHeight="1" thickBot="1" x14ac:dyDescent="0.35">
      <c r="A71" s="327" t="s">
        <v>271</v>
      </c>
      <c r="B71" s="305">
        <v>0</v>
      </c>
      <c r="C71" s="305">
        <v>14.167999999999999</v>
      </c>
      <c r="D71" s="306">
        <v>14.167999999999999</v>
      </c>
      <c r="E71" s="315" t="s">
        <v>206</v>
      </c>
      <c r="F71" s="305">
        <v>0</v>
      </c>
      <c r="G71" s="306">
        <v>0</v>
      </c>
      <c r="H71" s="308">
        <v>4.9406564584124654E-324</v>
      </c>
      <c r="I71" s="305">
        <v>3.85</v>
      </c>
      <c r="J71" s="306">
        <v>3.85</v>
      </c>
      <c r="K71" s="316" t="s">
        <v>206</v>
      </c>
    </row>
    <row r="72" spans="1:11" ht="14.4" customHeight="1" thickBot="1" x14ac:dyDescent="0.35">
      <c r="A72" s="325" t="s">
        <v>272</v>
      </c>
      <c r="B72" s="305">
        <v>0</v>
      </c>
      <c r="C72" s="305">
        <v>0.62295</v>
      </c>
      <c r="D72" s="306">
        <v>0.62295</v>
      </c>
      <c r="E72" s="315" t="s">
        <v>206</v>
      </c>
      <c r="F72" s="305">
        <v>0</v>
      </c>
      <c r="G72" s="306">
        <v>0</v>
      </c>
      <c r="H72" s="308">
        <v>4.9406564584124654E-324</v>
      </c>
      <c r="I72" s="305">
        <v>3.4584595208887258E-323</v>
      </c>
      <c r="J72" s="306">
        <v>3.4584595208887258E-323</v>
      </c>
      <c r="K72" s="316" t="s">
        <v>206</v>
      </c>
    </row>
    <row r="73" spans="1:11" ht="14.4" customHeight="1" thickBot="1" x14ac:dyDescent="0.35">
      <c r="A73" s="326" t="s">
        <v>273</v>
      </c>
      <c r="B73" s="310">
        <v>0</v>
      </c>
      <c r="C73" s="310">
        <v>0.62295</v>
      </c>
      <c r="D73" s="311">
        <v>0.62295</v>
      </c>
      <c r="E73" s="312" t="s">
        <v>206</v>
      </c>
      <c r="F73" s="310">
        <v>0</v>
      </c>
      <c r="G73" s="311">
        <v>0</v>
      </c>
      <c r="H73" s="313">
        <v>4.9406564584124654E-324</v>
      </c>
      <c r="I73" s="310">
        <v>3.4584595208887258E-323</v>
      </c>
      <c r="J73" s="311">
        <v>3.4584595208887258E-323</v>
      </c>
      <c r="K73" s="314" t="s">
        <v>206</v>
      </c>
    </row>
    <row r="74" spans="1:11" ht="14.4" customHeight="1" thickBot="1" x14ac:dyDescent="0.35">
      <c r="A74" s="327" t="s">
        <v>274</v>
      </c>
      <c r="B74" s="305">
        <v>0</v>
      </c>
      <c r="C74" s="305">
        <v>0.62295</v>
      </c>
      <c r="D74" s="306">
        <v>0.62295</v>
      </c>
      <c r="E74" s="315" t="s">
        <v>206</v>
      </c>
      <c r="F74" s="305">
        <v>0</v>
      </c>
      <c r="G74" s="306">
        <v>0</v>
      </c>
      <c r="H74" s="308">
        <v>4.9406564584124654E-324</v>
      </c>
      <c r="I74" s="305">
        <v>3.4584595208887258E-323</v>
      </c>
      <c r="J74" s="306">
        <v>3.4584595208887258E-323</v>
      </c>
      <c r="K74" s="316" t="s">
        <v>206</v>
      </c>
    </row>
    <row r="75" spans="1:11" ht="14.4" customHeight="1" thickBot="1" x14ac:dyDescent="0.35">
      <c r="A75" s="325" t="s">
        <v>31</v>
      </c>
      <c r="B75" s="305">
        <v>4306.4271795709601</v>
      </c>
      <c r="C75" s="305">
        <v>4077.5467600000002</v>
      </c>
      <c r="D75" s="306">
        <v>-228.88041957096101</v>
      </c>
      <c r="E75" s="307">
        <v>0.94685143623000001</v>
      </c>
      <c r="F75" s="305">
        <v>4068.2465816159101</v>
      </c>
      <c r="G75" s="306">
        <v>2373.1438392759501</v>
      </c>
      <c r="H75" s="308">
        <v>244.83377999999999</v>
      </c>
      <c r="I75" s="305">
        <v>6249.8574600000002</v>
      </c>
      <c r="J75" s="306">
        <v>3876.7136207240501</v>
      </c>
      <c r="K75" s="309">
        <v>1.536253355006</v>
      </c>
    </row>
    <row r="76" spans="1:11" ht="14.4" customHeight="1" thickBot="1" x14ac:dyDescent="0.35">
      <c r="A76" s="326" t="s">
        <v>275</v>
      </c>
      <c r="B76" s="310">
        <v>5.0847630308290004</v>
      </c>
      <c r="C76" s="310">
        <v>2.7320000000000002</v>
      </c>
      <c r="D76" s="311">
        <v>-2.3527630308290002</v>
      </c>
      <c r="E76" s="317">
        <v>0.53729150865700004</v>
      </c>
      <c r="F76" s="310">
        <v>1.0919770817029999</v>
      </c>
      <c r="G76" s="311">
        <v>0.63698663099300001</v>
      </c>
      <c r="H76" s="313">
        <v>0.41399999999999998</v>
      </c>
      <c r="I76" s="310">
        <v>2.0760000000000001</v>
      </c>
      <c r="J76" s="311">
        <v>1.4390133690060001</v>
      </c>
      <c r="K76" s="318">
        <v>1.901138801156</v>
      </c>
    </row>
    <row r="77" spans="1:11" ht="14.4" customHeight="1" thickBot="1" x14ac:dyDescent="0.35">
      <c r="A77" s="327" t="s">
        <v>276</v>
      </c>
      <c r="B77" s="305">
        <v>5.0847630308290004</v>
      </c>
      <c r="C77" s="305">
        <v>2.7320000000000002</v>
      </c>
      <c r="D77" s="306">
        <v>-2.3527630308290002</v>
      </c>
      <c r="E77" s="307">
        <v>0.53729150865700004</v>
      </c>
      <c r="F77" s="305">
        <v>1.0919770817029999</v>
      </c>
      <c r="G77" s="306">
        <v>0.63698663099300001</v>
      </c>
      <c r="H77" s="308">
        <v>0.41399999999999998</v>
      </c>
      <c r="I77" s="305">
        <v>2.0760000000000001</v>
      </c>
      <c r="J77" s="306">
        <v>1.4390133690060001</v>
      </c>
      <c r="K77" s="309">
        <v>1.901138801156</v>
      </c>
    </row>
    <row r="78" spans="1:11" ht="14.4" customHeight="1" thickBot="1" x14ac:dyDescent="0.35">
      <c r="A78" s="326" t="s">
        <v>277</v>
      </c>
      <c r="B78" s="310">
        <v>4.3804400502969996</v>
      </c>
      <c r="C78" s="310">
        <v>5.1136600000000003</v>
      </c>
      <c r="D78" s="311">
        <v>0.733219949702</v>
      </c>
      <c r="E78" s="317">
        <v>1.1673849981460001</v>
      </c>
      <c r="F78" s="310">
        <v>4.802707233534</v>
      </c>
      <c r="G78" s="311">
        <v>2.8015792195609999</v>
      </c>
      <c r="H78" s="313">
        <v>0.79185000000000005</v>
      </c>
      <c r="I78" s="310">
        <v>3.7663799999999998</v>
      </c>
      <c r="J78" s="311">
        <v>0.96480078043799999</v>
      </c>
      <c r="K78" s="318">
        <v>0.78422019433099999</v>
      </c>
    </row>
    <row r="79" spans="1:11" ht="14.4" customHeight="1" thickBot="1" x14ac:dyDescent="0.35">
      <c r="A79" s="327" t="s">
        <v>278</v>
      </c>
      <c r="B79" s="305">
        <v>4.3804400502969996</v>
      </c>
      <c r="C79" s="305">
        <v>5.1136600000000003</v>
      </c>
      <c r="D79" s="306">
        <v>0.733219949702</v>
      </c>
      <c r="E79" s="307">
        <v>1.1673849981460001</v>
      </c>
      <c r="F79" s="305">
        <v>4.802707233534</v>
      </c>
      <c r="G79" s="306">
        <v>2.8015792195609999</v>
      </c>
      <c r="H79" s="308">
        <v>0.79185000000000005</v>
      </c>
      <c r="I79" s="305">
        <v>3.7663799999999998</v>
      </c>
      <c r="J79" s="306">
        <v>0.96480078043799999</v>
      </c>
      <c r="K79" s="309">
        <v>0.78422019433099999</v>
      </c>
    </row>
    <row r="80" spans="1:11" ht="14.4" customHeight="1" thickBot="1" x14ac:dyDescent="0.35">
      <c r="A80" s="326" t="s">
        <v>279</v>
      </c>
      <c r="B80" s="310">
        <v>10.835014243267</v>
      </c>
      <c r="C80" s="310">
        <v>19.968409999999999</v>
      </c>
      <c r="D80" s="311">
        <v>9.1333957567319999</v>
      </c>
      <c r="E80" s="317">
        <v>1.8429518920479999</v>
      </c>
      <c r="F80" s="310">
        <v>20.325387597793998</v>
      </c>
      <c r="G80" s="311">
        <v>11.856476098712999</v>
      </c>
      <c r="H80" s="313">
        <v>3.1204000000000001</v>
      </c>
      <c r="I80" s="310">
        <v>15.660399999999999</v>
      </c>
      <c r="J80" s="311">
        <v>3.8039239012860002</v>
      </c>
      <c r="K80" s="318">
        <v>0.77048469184900004</v>
      </c>
    </row>
    <row r="81" spans="1:11" ht="14.4" customHeight="1" thickBot="1" x14ac:dyDescent="0.35">
      <c r="A81" s="327" t="s">
        <v>280</v>
      </c>
      <c r="B81" s="305">
        <v>3.9989618059079999</v>
      </c>
      <c r="C81" s="305">
        <v>4.32</v>
      </c>
      <c r="D81" s="306">
        <v>0.32103819409099998</v>
      </c>
      <c r="E81" s="307">
        <v>1.0802803851780001</v>
      </c>
      <c r="F81" s="305">
        <v>6.0008246184620004</v>
      </c>
      <c r="G81" s="306">
        <v>3.5004810274359999</v>
      </c>
      <c r="H81" s="308">
        <v>1.62</v>
      </c>
      <c r="I81" s="305">
        <v>4.8600000000000003</v>
      </c>
      <c r="J81" s="306">
        <v>1.3595189725629999</v>
      </c>
      <c r="K81" s="309">
        <v>0.809888691805</v>
      </c>
    </row>
    <row r="82" spans="1:11" ht="14.4" customHeight="1" thickBot="1" x14ac:dyDescent="0.35">
      <c r="A82" s="327" t="s">
        <v>281</v>
      </c>
      <c r="B82" s="305">
        <v>6.8360524373590001</v>
      </c>
      <c r="C82" s="305">
        <v>15.64841</v>
      </c>
      <c r="D82" s="306">
        <v>8.8123575626400008</v>
      </c>
      <c r="E82" s="307">
        <v>2.2891003460529999</v>
      </c>
      <c r="F82" s="305">
        <v>14.324562979331001</v>
      </c>
      <c r="G82" s="306">
        <v>8.3559950712760003</v>
      </c>
      <c r="H82" s="308">
        <v>1.5004</v>
      </c>
      <c r="I82" s="305">
        <v>10.8004</v>
      </c>
      <c r="J82" s="306">
        <v>2.4444049287229999</v>
      </c>
      <c r="K82" s="309">
        <v>0.75397762679199998</v>
      </c>
    </row>
    <row r="83" spans="1:11" ht="14.4" customHeight="1" thickBot="1" x14ac:dyDescent="0.35">
      <c r="A83" s="326" t="s">
        <v>282</v>
      </c>
      <c r="B83" s="310">
        <v>3137.9116568476202</v>
      </c>
      <c r="C83" s="310">
        <v>3275.2101499999999</v>
      </c>
      <c r="D83" s="311">
        <v>137.298493152379</v>
      </c>
      <c r="E83" s="317">
        <v>1.0437547350480001</v>
      </c>
      <c r="F83" s="310">
        <v>3275.8686367514401</v>
      </c>
      <c r="G83" s="311">
        <v>1910.9233714383399</v>
      </c>
      <c r="H83" s="313">
        <v>228.99503000000001</v>
      </c>
      <c r="I83" s="310">
        <v>1767.5878299999999</v>
      </c>
      <c r="J83" s="311">
        <v>-143.335541438337</v>
      </c>
      <c r="K83" s="318">
        <v>0.53957836103900003</v>
      </c>
    </row>
    <row r="84" spans="1:11" ht="14.4" customHeight="1" thickBot="1" x14ac:dyDescent="0.35">
      <c r="A84" s="327" t="s">
        <v>283</v>
      </c>
      <c r="B84" s="305">
        <v>2824.0028675455001</v>
      </c>
      <c r="C84" s="305">
        <v>2951.8485799999999</v>
      </c>
      <c r="D84" s="306">
        <v>127.845712454501</v>
      </c>
      <c r="E84" s="307">
        <v>1.045271098667</v>
      </c>
      <c r="F84" s="305">
        <v>2950.7320486654799</v>
      </c>
      <c r="G84" s="306">
        <v>1721.26036172153</v>
      </c>
      <c r="H84" s="308">
        <v>200.74834000000001</v>
      </c>
      <c r="I84" s="305">
        <v>1581.87318</v>
      </c>
      <c r="J84" s="306">
        <v>-139.38718172152701</v>
      </c>
      <c r="K84" s="309">
        <v>0.53609516347399999</v>
      </c>
    </row>
    <row r="85" spans="1:11" ht="14.4" customHeight="1" thickBot="1" x14ac:dyDescent="0.35">
      <c r="A85" s="327" t="s">
        <v>284</v>
      </c>
      <c r="B85" s="305">
        <v>313.90878930212199</v>
      </c>
      <c r="C85" s="305">
        <v>323.36156999999997</v>
      </c>
      <c r="D85" s="306">
        <v>9.4527806978779996</v>
      </c>
      <c r="E85" s="307">
        <v>1.0301131443910001</v>
      </c>
      <c r="F85" s="305">
        <v>325.13658808596199</v>
      </c>
      <c r="G85" s="306">
        <v>189.66300971681099</v>
      </c>
      <c r="H85" s="308">
        <v>28.246690000000001</v>
      </c>
      <c r="I85" s="305">
        <v>185.71465000000001</v>
      </c>
      <c r="J85" s="306">
        <v>-3.9483597168100002</v>
      </c>
      <c r="K85" s="309">
        <v>0.57118963784800003</v>
      </c>
    </row>
    <row r="86" spans="1:11" ht="14.4" customHeight="1" thickBot="1" x14ac:dyDescent="0.35">
      <c r="A86" s="326" t="s">
        <v>285</v>
      </c>
      <c r="B86" s="310">
        <v>1100.98860014042</v>
      </c>
      <c r="C86" s="310">
        <v>774.52254000000096</v>
      </c>
      <c r="D86" s="311">
        <v>-326.466060140416</v>
      </c>
      <c r="E86" s="317">
        <v>0.70347916399900001</v>
      </c>
      <c r="F86" s="310">
        <v>766.15787295144003</v>
      </c>
      <c r="G86" s="311">
        <v>446.92542588833999</v>
      </c>
      <c r="H86" s="313">
        <v>11.512499999999999</v>
      </c>
      <c r="I86" s="310">
        <v>4460.76685</v>
      </c>
      <c r="J86" s="311">
        <v>4013.8414241116602</v>
      </c>
      <c r="K86" s="318">
        <v>5.8222554482350004</v>
      </c>
    </row>
    <row r="87" spans="1:11" ht="14.4" customHeight="1" thickBot="1" x14ac:dyDescent="0.35">
      <c r="A87" s="327" t="s">
        <v>286</v>
      </c>
      <c r="B87" s="305">
        <v>4.0052271175760001</v>
      </c>
      <c r="C87" s="305">
        <v>34.386000000000003</v>
      </c>
      <c r="D87" s="306">
        <v>30.380772882422999</v>
      </c>
      <c r="E87" s="307">
        <v>8.5852809317850003</v>
      </c>
      <c r="F87" s="305">
        <v>35.290920653268998</v>
      </c>
      <c r="G87" s="306">
        <v>20.586370381074001</v>
      </c>
      <c r="H87" s="308">
        <v>8.9049999999999994</v>
      </c>
      <c r="I87" s="305">
        <v>8.9049999999999994</v>
      </c>
      <c r="J87" s="306">
        <v>-11.681370381074</v>
      </c>
      <c r="K87" s="309">
        <v>0.25233118986800002</v>
      </c>
    </row>
    <row r="88" spans="1:11" ht="14.4" customHeight="1" thickBot="1" x14ac:dyDescent="0.35">
      <c r="A88" s="327" t="s">
        <v>287</v>
      </c>
      <c r="B88" s="305">
        <v>1072.25849198231</v>
      </c>
      <c r="C88" s="305">
        <v>724.16954000000101</v>
      </c>
      <c r="D88" s="306">
        <v>-348.08895198230499</v>
      </c>
      <c r="E88" s="307">
        <v>0.67536843533000002</v>
      </c>
      <c r="F88" s="305">
        <v>715.96003256276902</v>
      </c>
      <c r="G88" s="306">
        <v>417.64335232828199</v>
      </c>
      <c r="H88" s="308">
        <v>1.837</v>
      </c>
      <c r="I88" s="305">
        <v>258.97996000000001</v>
      </c>
      <c r="J88" s="306">
        <v>-158.66339232828199</v>
      </c>
      <c r="K88" s="309">
        <v>0.36172404634499999</v>
      </c>
    </row>
    <row r="89" spans="1:11" ht="14.4" customHeight="1" thickBot="1" x14ac:dyDescent="0.35">
      <c r="A89" s="327" t="s">
        <v>288</v>
      </c>
      <c r="B89" s="305">
        <v>2.9984533709769998</v>
      </c>
      <c r="C89" s="305">
        <v>6.7210000000000001</v>
      </c>
      <c r="D89" s="306">
        <v>3.7225466290220002</v>
      </c>
      <c r="E89" s="307">
        <v>2.241488917271</v>
      </c>
      <c r="F89" s="305">
        <v>4.0014576669619997</v>
      </c>
      <c r="G89" s="306">
        <v>2.334183639061</v>
      </c>
      <c r="H89" s="308">
        <v>4.9406564584124654E-324</v>
      </c>
      <c r="I89" s="305">
        <v>1.742</v>
      </c>
      <c r="J89" s="306">
        <v>-0.59218363906100002</v>
      </c>
      <c r="K89" s="309">
        <v>0.435341354322</v>
      </c>
    </row>
    <row r="90" spans="1:11" ht="14.4" customHeight="1" thickBot="1" x14ac:dyDescent="0.35">
      <c r="A90" s="327" t="s">
        <v>289</v>
      </c>
      <c r="B90" s="305">
        <v>1.005084482919</v>
      </c>
      <c r="C90" s="305">
        <v>4.9406564584124654E-324</v>
      </c>
      <c r="D90" s="306">
        <v>-1.005084482919</v>
      </c>
      <c r="E90" s="307">
        <v>4.9406564584124654E-324</v>
      </c>
      <c r="F90" s="305">
        <v>4.9406564584124654E-324</v>
      </c>
      <c r="G90" s="306">
        <v>0</v>
      </c>
      <c r="H90" s="308">
        <v>4.9406564584124654E-324</v>
      </c>
      <c r="I90" s="305">
        <v>4.9473900000000004</v>
      </c>
      <c r="J90" s="306">
        <v>4.9473900000000004</v>
      </c>
      <c r="K90" s="316" t="s">
        <v>212</v>
      </c>
    </row>
    <row r="91" spans="1:11" ht="14.4" customHeight="1" thickBot="1" x14ac:dyDescent="0.35">
      <c r="A91" s="327" t="s">
        <v>290</v>
      </c>
      <c r="B91" s="305">
        <v>20.721343186637998</v>
      </c>
      <c r="C91" s="305">
        <v>9.2460000000000004</v>
      </c>
      <c r="D91" s="306">
        <v>-11.475343186638</v>
      </c>
      <c r="E91" s="307">
        <v>0.44620659561999998</v>
      </c>
      <c r="F91" s="305">
        <v>10.905462068438</v>
      </c>
      <c r="G91" s="306">
        <v>6.3615195399219999</v>
      </c>
      <c r="H91" s="308">
        <v>0.77049999999999996</v>
      </c>
      <c r="I91" s="305">
        <v>4186.1925000000001</v>
      </c>
      <c r="J91" s="306">
        <v>4179.8309804600804</v>
      </c>
      <c r="K91" s="309">
        <v>383.86200178671402</v>
      </c>
    </row>
    <row r="92" spans="1:11" ht="14.4" customHeight="1" thickBot="1" x14ac:dyDescent="0.35">
      <c r="A92" s="324" t="s">
        <v>32</v>
      </c>
      <c r="B92" s="305">
        <v>20898.994351054302</v>
      </c>
      <c r="C92" s="305">
        <v>22499.36116</v>
      </c>
      <c r="D92" s="306">
        <v>1600.3668089457001</v>
      </c>
      <c r="E92" s="307">
        <v>1.0765762592229999</v>
      </c>
      <c r="F92" s="305">
        <v>21080.104276682399</v>
      </c>
      <c r="G92" s="306">
        <v>12296.7274947314</v>
      </c>
      <c r="H92" s="308">
        <v>2529.18489</v>
      </c>
      <c r="I92" s="305">
        <v>13201.09158</v>
      </c>
      <c r="J92" s="306">
        <v>904.36408526861101</v>
      </c>
      <c r="K92" s="309">
        <v>0.62623464318400002</v>
      </c>
    </row>
    <row r="93" spans="1:11" ht="14.4" customHeight="1" thickBot="1" x14ac:dyDescent="0.35">
      <c r="A93" s="330" t="s">
        <v>291</v>
      </c>
      <c r="B93" s="310">
        <v>15480.9999999992</v>
      </c>
      <c r="C93" s="310">
        <v>16687.252</v>
      </c>
      <c r="D93" s="311">
        <v>1206.2520000008501</v>
      </c>
      <c r="E93" s="317">
        <v>1.0779182223370001</v>
      </c>
      <c r="F93" s="310">
        <v>15627.9999999997</v>
      </c>
      <c r="G93" s="311">
        <v>9116.3333333331702</v>
      </c>
      <c r="H93" s="313">
        <v>1873.67</v>
      </c>
      <c r="I93" s="310">
        <v>9785.9990000000107</v>
      </c>
      <c r="J93" s="311">
        <v>669.66566666684002</v>
      </c>
      <c r="K93" s="318">
        <v>0.62618370872700002</v>
      </c>
    </row>
    <row r="94" spans="1:11" ht="14.4" customHeight="1" thickBot="1" x14ac:dyDescent="0.35">
      <c r="A94" s="326" t="s">
        <v>292</v>
      </c>
      <c r="B94" s="310">
        <v>15480.9999999992</v>
      </c>
      <c r="C94" s="310">
        <v>16605.671999999999</v>
      </c>
      <c r="D94" s="311">
        <v>1124.6720000008499</v>
      </c>
      <c r="E94" s="317">
        <v>1.0726485369159999</v>
      </c>
      <c r="F94" s="310">
        <v>15575.9999999997</v>
      </c>
      <c r="G94" s="311">
        <v>9085.9999999998308</v>
      </c>
      <c r="H94" s="313">
        <v>1872.6579999999999</v>
      </c>
      <c r="I94" s="310">
        <v>9756.17400000001</v>
      </c>
      <c r="J94" s="311">
        <v>670.17400000017199</v>
      </c>
      <c r="K94" s="318">
        <v>0.62635939907500005</v>
      </c>
    </row>
    <row r="95" spans="1:11" ht="14.4" customHeight="1" thickBot="1" x14ac:dyDescent="0.35">
      <c r="A95" s="327" t="s">
        <v>293</v>
      </c>
      <c r="B95" s="305">
        <v>15480.9999999992</v>
      </c>
      <c r="C95" s="305">
        <v>16605.671999999999</v>
      </c>
      <c r="D95" s="306">
        <v>1124.6720000008499</v>
      </c>
      <c r="E95" s="307">
        <v>1.0726485369159999</v>
      </c>
      <c r="F95" s="305">
        <v>15575.9999999997</v>
      </c>
      <c r="G95" s="306">
        <v>9085.9999999998308</v>
      </c>
      <c r="H95" s="308">
        <v>1872.6579999999999</v>
      </c>
      <c r="I95" s="305">
        <v>9756.17400000001</v>
      </c>
      <c r="J95" s="306">
        <v>670.17400000017199</v>
      </c>
      <c r="K95" s="309">
        <v>0.62635939907500005</v>
      </c>
    </row>
    <row r="96" spans="1:11" ht="14.4" customHeight="1" thickBot="1" x14ac:dyDescent="0.35">
      <c r="A96" s="326" t="s">
        <v>294</v>
      </c>
      <c r="B96" s="310">
        <v>0</v>
      </c>
      <c r="C96" s="310">
        <v>81.58</v>
      </c>
      <c r="D96" s="311">
        <v>81.58</v>
      </c>
      <c r="E96" s="312" t="s">
        <v>206</v>
      </c>
      <c r="F96" s="310">
        <v>51.999999999998998</v>
      </c>
      <c r="G96" s="311">
        <v>30.333333333332</v>
      </c>
      <c r="H96" s="313">
        <v>1.012</v>
      </c>
      <c r="I96" s="310">
        <v>29.824999999999999</v>
      </c>
      <c r="J96" s="311">
        <v>-0.50833333333200004</v>
      </c>
      <c r="K96" s="318">
        <v>0.57355769230700004</v>
      </c>
    </row>
    <row r="97" spans="1:11" ht="14.4" customHeight="1" thickBot="1" x14ac:dyDescent="0.35">
      <c r="A97" s="327" t="s">
        <v>295</v>
      </c>
      <c r="B97" s="305">
        <v>0</v>
      </c>
      <c r="C97" s="305">
        <v>81.58</v>
      </c>
      <c r="D97" s="306">
        <v>81.58</v>
      </c>
      <c r="E97" s="315" t="s">
        <v>206</v>
      </c>
      <c r="F97" s="305">
        <v>51.999999999998998</v>
      </c>
      <c r="G97" s="306">
        <v>30.333333333332</v>
      </c>
      <c r="H97" s="308">
        <v>1.012</v>
      </c>
      <c r="I97" s="305">
        <v>29.824999999999999</v>
      </c>
      <c r="J97" s="306">
        <v>-0.50833333333200004</v>
      </c>
      <c r="K97" s="309">
        <v>0.57355769230700004</v>
      </c>
    </row>
    <row r="98" spans="1:11" ht="14.4" customHeight="1" thickBot="1" x14ac:dyDescent="0.35">
      <c r="A98" s="325" t="s">
        <v>296</v>
      </c>
      <c r="B98" s="305">
        <v>5262.9943510551702</v>
      </c>
      <c r="C98" s="305">
        <v>5645.2363800000003</v>
      </c>
      <c r="D98" s="306">
        <v>382.24202894483398</v>
      </c>
      <c r="E98" s="307">
        <v>1.072628242298</v>
      </c>
      <c r="F98" s="305">
        <v>5296.1042766826804</v>
      </c>
      <c r="G98" s="306">
        <v>3089.3941613982302</v>
      </c>
      <c r="H98" s="308">
        <v>636.70398999999998</v>
      </c>
      <c r="I98" s="305">
        <v>3317.1566800000001</v>
      </c>
      <c r="J98" s="306">
        <v>227.76251860177101</v>
      </c>
      <c r="K98" s="309">
        <v>0.62633900442699997</v>
      </c>
    </row>
    <row r="99" spans="1:11" ht="14.4" customHeight="1" thickBot="1" x14ac:dyDescent="0.35">
      <c r="A99" s="326" t="s">
        <v>297</v>
      </c>
      <c r="B99" s="310">
        <v>1392.99998927819</v>
      </c>
      <c r="C99" s="310">
        <v>1494.5042900000001</v>
      </c>
      <c r="D99" s="311">
        <v>101.504300721806</v>
      </c>
      <c r="E99" s="317">
        <v>1.0728674095490001</v>
      </c>
      <c r="F99" s="310">
        <v>1402.10427668276</v>
      </c>
      <c r="G99" s="311">
        <v>817.89416139827699</v>
      </c>
      <c r="H99" s="313">
        <v>168.53949</v>
      </c>
      <c r="I99" s="310">
        <v>878.11318000000097</v>
      </c>
      <c r="J99" s="311">
        <v>60.219018601724002</v>
      </c>
      <c r="K99" s="318">
        <v>0.626282363304</v>
      </c>
    </row>
    <row r="100" spans="1:11" ht="14.4" customHeight="1" thickBot="1" x14ac:dyDescent="0.35">
      <c r="A100" s="327" t="s">
        <v>298</v>
      </c>
      <c r="B100" s="305">
        <v>1392.99998927819</v>
      </c>
      <c r="C100" s="305">
        <v>1494.5042900000001</v>
      </c>
      <c r="D100" s="306">
        <v>101.504300721806</v>
      </c>
      <c r="E100" s="307">
        <v>1.0728674095490001</v>
      </c>
      <c r="F100" s="305">
        <v>1402.10427668276</v>
      </c>
      <c r="G100" s="306">
        <v>817.89416139827699</v>
      </c>
      <c r="H100" s="308">
        <v>168.53949</v>
      </c>
      <c r="I100" s="305">
        <v>878.11318000000097</v>
      </c>
      <c r="J100" s="306">
        <v>60.219018601724002</v>
      </c>
      <c r="K100" s="309">
        <v>0.626282363304</v>
      </c>
    </row>
    <row r="101" spans="1:11" ht="14.4" customHeight="1" thickBot="1" x14ac:dyDescent="0.35">
      <c r="A101" s="326" t="s">
        <v>299</v>
      </c>
      <c r="B101" s="310">
        <v>3869.99436177697</v>
      </c>
      <c r="C101" s="310">
        <v>4150.7320900000004</v>
      </c>
      <c r="D101" s="311">
        <v>280.73772822302698</v>
      </c>
      <c r="E101" s="317">
        <v>1.072542154323</v>
      </c>
      <c r="F101" s="310">
        <v>3893.99999999992</v>
      </c>
      <c r="G101" s="311">
        <v>2271.49999999995</v>
      </c>
      <c r="H101" s="313">
        <v>468.16449999999998</v>
      </c>
      <c r="I101" s="310">
        <v>2439.0435000000002</v>
      </c>
      <c r="J101" s="311">
        <v>167.543500000048</v>
      </c>
      <c r="K101" s="318">
        <v>0.62635939907500005</v>
      </c>
    </row>
    <row r="102" spans="1:11" ht="14.4" customHeight="1" thickBot="1" x14ac:dyDescent="0.35">
      <c r="A102" s="327" t="s">
        <v>300</v>
      </c>
      <c r="B102" s="305">
        <v>3869.99436177697</v>
      </c>
      <c r="C102" s="305">
        <v>4150.7320900000004</v>
      </c>
      <c r="D102" s="306">
        <v>280.73772822302698</v>
      </c>
      <c r="E102" s="307">
        <v>1.072542154323</v>
      </c>
      <c r="F102" s="305">
        <v>3893.99999999992</v>
      </c>
      <c r="G102" s="306">
        <v>2271.49999999995</v>
      </c>
      <c r="H102" s="308">
        <v>468.16449999999998</v>
      </c>
      <c r="I102" s="305">
        <v>2439.0435000000002</v>
      </c>
      <c r="J102" s="306">
        <v>167.543500000048</v>
      </c>
      <c r="K102" s="309">
        <v>0.62635939907500005</v>
      </c>
    </row>
    <row r="103" spans="1:11" ht="14.4" customHeight="1" thickBot="1" x14ac:dyDescent="0.35">
      <c r="A103" s="325" t="s">
        <v>301</v>
      </c>
      <c r="B103" s="305">
        <v>154.99999999999201</v>
      </c>
      <c r="C103" s="305">
        <v>166.87278000000001</v>
      </c>
      <c r="D103" s="306">
        <v>11.872780000007999</v>
      </c>
      <c r="E103" s="307">
        <v>1.076598580645</v>
      </c>
      <c r="F103" s="305">
        <v>155.99999999999699</v>
      </c>
      <c r="G103" s="306">
        <v>90.999999999997996</v>
      </c>
      <c r="H103" s="308">
        <v>18.8109</v>
      </c>
      <c r="I103" s="305">
        <v>97.935900000000004</v>
      </c>
      <c r="J103" s="306">
        <v>6.9359000000010003</v>
      </c>
      <c r="K103" s="309">
        <v>0.62779423076899998</v>
      </c>
    </row>
    <row r="104" spans="1:11" ht="14.4" customHeight="1" thickBot="1" x14ac:dyDescent="0.35">
      <c r="A104" s="326" t="s">
        <v>302</v>
      </c>
      <c r="B104" s="310">
        <v>154.99999999999201</v>
      </c>
      <c r="C104" s="310">
        <v>166.87278000000001</v>
      </c>
      <c r="D104" s="311">
        <v>11.872780000007999</v>
      </c>
      <c r="E104" s="317">
        <v>1.076598580645</v>
      </c>
      <c r="F104" s="310">
        <v>155.99999999999699</v>
      </c>
      <c r="G104" s="311">
        <v>90.999999999997996</v>
      </c>
      <c r="H104" s="313">
        <v>18.8109</v>
      </c>
      <c r="I104" s="310">
        <v>97.935900000000004</v>
      </c>
      <c r="J104" s="311">
        <v>6.9359000000010003</v>
      </c>
      <c r="K104" s="318">
        <v>0.62779423076899998</v>
      </c>
    </row>
    <row r="105" spans="1:11" ht="14.4" customHeight="1" thickBot="1" x14ac:dyDescent="0.35">
      <c r="A105" s="327" t="s">
        <v>303</v>
      </c>
      <c r="B105" s="305">
        <v>154.99999999999201</v>
      </c>
      <c r="C105" s="305">
        <v>166.87278000000001</v>
      </c>
      <c r="D105" s="306">
        <v>11.872780000007999</v>
      </c>
      <c r="E105" s="307">
        <v>1.076598580645</v>
      </c>
      <c r="F105" s="305">
        <v>155.99999999999699</v>
      </c>
      <c r="G105" s="306">
        <v>90.999999999997996</v>
      </c>
      <c r="H105" s="308">
        <v>18.8109</v>
      </c>
      <c r="I105" s="305">
        <v>97.935900000000004</v>
      </c>
      <c r="J105" s="306">
        <v>6.9359000000010003</v>
      </c>
      <c r="K105" s="309">
        <v>0.62779423076899998</v>
      </c>
    </row>
    <row r="106" spans="1:11" ht="14.4" customHeight="1" thickBot="1" x14ac:dyDescent="0.35">
      <c r="A106" s="324" t="s">
        <v>304</v>
      </c>
      <c r="B106" s="305">
        <v>0</v>
      </c>
      <c r="C106" s="305">
        <v>92.174199999999999</v>
      </c>
      <c r="D106" s="306">
        <v>92.174199999999999</v>
      </c>
      <c r="E106" s="315" t="s">
        <v>206</v>
      </c>
      <c r="F106" s="305">
        <v>0</v>
      </c>
      <c r="G106" s="306">
        <v>0</v>
      </c>
      <c r="H106" s="308">
        <v>4.9406564584124654E-324</v>
      </c>
      <c r="I106" s="305">
        <v>35.28425</v>
      </c>
      <c r="J106" s="306">
        <v>35.28425</v>
      </c>
      <c r="K106" s="316" t="s">
        <v>206</v>
      </c>
    </row>
    <row r="107" spans="1:11" ht="14.4" customHeight="1" thickBot="1" x14ac:dyDescent="0.35">
      <c r="A107" s="325" t="s">
        <v>305</v>
      </c>
      <c r="B107" s="305">
        <v>0</v>
      </c>
      <c r="C107" s="305">
        <v>92.174199999999999</v>
      </c>
      <c r="D107" s="306">
        <v>92.174199999999999</v>
      </c>
      <c r="E107" s="315" t="s">
        <v>206</v>
      </c>
      <c r="F107" s="305">
        <v>0</v>
      </c>
      <c r="G107" s="306">
        <v>0</v>
      </c>
      <c r="H107" s="308">
        <v>4.9406564584124654E-324</v>
      </c>
      <c r="I107" s="305">
        <v>35.28425</v>
      </c>
      <c r="J107" s="306">
        <v>35.28425</v>
      </c>
      <c r="K107" s="316" t="s">
        <v>206</v>
      </c>
    </row>
    <row r="108" spans="1:11" ht="14.4" customHeight="1" thickBot="1" x14ac:dyDescent="0.35">
      <c r="A108" s="326" t="s">
        <v>306</v>
      </c>
      <c r="B108" s="310">
        <v>0</v>
      </c>
      <c r="C108" s="310">
        <v>60.606200000000001</v>
      </c>
      <c r="D108" s="311">
        <v>60.606200000000001</v>
      </c>
      <c r="E108" s="312" t="s">
        <v>206</v>
      </c>
      <c r="F108" s="310">
        <v>0</v>
      </c>
      <c r="G108" s="311">
        <v>0</v>
      </c>
      <c r="H108" s="313">
        <v>4.9406564584124654E-324</v>
      </c>
      <c r="I108" s="310">
        <v>28.624099999999999</v>
      </c>
      <c r="J108" s="311">
        <v>28.624099999999999</v>
      </c>
      <c r="K108" s="314" t="s">
        <v>206</v>
      </c>
    </row>
    <row r="109" spans="1:11" ht="14.4" customHeight="1" thickBot="1" x14ac:dyDescent="0.35">
      <c r="A109" s="327" t="s">
        <v>307</v>
      </c>
      <c r="B109" s="305">
        <v>0</v>
      </c>
      <c r="C109" s="305">
        <v>6.6172000000000004</v>
      </c>
      <c r="D109" s="306">
        <v>6.6172000000000004</v>
      </c>
      <c r="E109" s="315" t="s">
        <v>206</v>
      </c>
      <c r="F109" s="305">
        <v>0</v>
      </c>
      <c r="G109" s="306">
        <v>0</v>
      </c>
      <c r="H109" s="308">
        <v>4.9406564584124654E-324</v>
      </c>
      <c r="I109" s="305">
        <v>0.1211</v>
      </c>
      <c r="J109" s="306">
        <v>0.1211</v>
      </c>
      <c r="K109" s="316" t="s">
        <v>206</v>
      </c>
    </row>
    <row r="110" spans="1:11" ht="14.4" customHeight="1" thickBot="1" x14ac:dyDescent="0.35">
      <c r="A110" s="327" t="s">
        <v>308</v>
      </c>
      <c r="B110" s="305">
        <v>0</v>
      </c>
      <c r="C110" s="305">
        <v>53.988999999999997</v>
      </c>
      <c r="D110" s="306">
        <v>53.988999999999997</v>
      </c>
      <c r="E110" s="315" t="s">
        <v>206</v>
      </c>
      <c r="F110" s="305">
        <v>0</v>
      </c>
      <c r="G110" s="306">
        <v>0</v>
      </c>
      <c r="H110" s="308">
        <v>4.9406564584124654E-324</v>
      </c>
      <c r="I110" s="305">
        <v>28.503</v>
      </c>
      <c r="J110" s="306">
        <v>28.503</v>
      </c>
      <c r="K110" s="316" t="s">
        <v>206</v>
      </c>
    </row>
    <row r="111" spans="1:11" ht="14.4" customHeight="1" thickBot="1" x14ac:dyDescent="0.35">
      <c r="A111" s="326" t="s">
        <v>309</v>
      </c>
      <c r="B111" s="310">
        <v>0</v>
      </c>
      <c r="C111" s="310">
        <v>3</v>
      </c>
      <c r="D111" s="311">
        <v>3</v>
      </c>
      <c r="E111" s="312" t="s">
        <v>206</v>
      </c>
      <c r="F111" s="310">
        <v>0</v>
      </c>
      <c r="G111" s="311">
        <v>0</v>
      </c>
      <c r="H111" s="313">
        <v>4.9406564584124654E-324</v>
      </c>
      <c r="I111" s="310">
        <v>3.4584595208887258E-323</v>
      </c>
      <c r="J111" s="311">
        <v>3.4584595208887258E-323</v>
      </c>
      <c r="K111" s="314" t="s">
        <v>206</v>
      </c>
    </row>
    <row r="112" spans="1:11" ht="14.4" customHeight="1" thickBot="1" x14ac:dyDescent="0.35">
      <c r="A112" s="327" t="s">
        <v>310</v>
      </c>
      <c r="B112" s="305">
        <v>0</v>
      </c>
      <c r="C112" s="305">
        <v>3</v>
      </c>
      <c r="D112" s="306">
        <v>3</v>
      </c>
      <c r="E112" s="315" t="s">
        <v>206</v>
      </c>
      <c r="F112" s="305">
        <v>0</v>
      </c>
      <c r="G112" s="306">
        <v>0</v>
      </c>
      <c r="H112" s="308">
        <v>4.9406564584124654E-324</v>
      </c>
      <c r="I112" s="305">
        <v>3.4584595208887258E-323</v>
      </c>
      <c r="J112" s="306">
        <v>3.4584595208887258E-323</v>
      </c>
      <c r="K112" s="316" t="s">
        <v>206</v>
      </c>
    </row>
    <row r="113" spans="1:11" ht="14.4" customHeight="1" thickBot="1" x14ac:dyDescent="0.35">
      <c r="A113" s="329" t="s">
        <v>311</v>
      </c>
      <c r="B113" s="305">
        <v>0</v>
      </c>
      <c r="C113" s="305">
        <v>28.568000000000001</v>
      </c>
      <c r="D113" s="306">
        <v>28.568000000000001</v>
      </c>
      <c r="E113" s="315" t="s">
        <v>206</v>
      </c>
      <c r="F113" s="305">
        <v>0</v>
      </c>
      <c r="G113" s="306">
        <v>0</v>
      </c>
      <c r="H113" s="308">
        <v>4.9406564584124654E-324</v>
      </c>
      <c r="I113" s="305">
        <v>3.4584595208887258E-323</v>
      </c>
      <c r="J113" s="306">
        <v>3.4584595208887258E-323</v>
      </c>
      <c r="K113" s="316" t="s">
        <v>206</v>
      </c>
    </row>
    <row r="114" spans="1:11" ht="14.4" customHeight="1" thickBot="1" x14ac:dyDescent="0.35">
      <c r="A114" s="327" t="s">
        <v>312</v>
      </c>
      <c r="B114" s="305">
        <v>0</v>
      </c>
      <c r="C114" s="305">
        <v>28.568000000000001</v>
      </c>
      <c r="D114" s="306">
        <v>28.568000000000001</v>
      </c>
      <c r="E114" s="315" t="s">
        <v>206</v>
      </c>
      <c r="F114" s="305">
        <v>0</v>
      </c>
      <c r="G114" s="306">
        <v>0</v>
      </c>
      <c r="H114" s="308">
        <v>4.9406564584124654E-324</v>
      </c>
      <c r="I114" s="305">
        <v>3.4584595208887258E-323</v>
      </c>
      <c r="J114" s="306">
        <v>3.4584595208887258E-323</v>
      </c>
      <c r="K114" s="316" t="s">
        <v>206</v>
      </c>
    </row>
    <row r="115" spans="1:11" ht="14.4" customHeight="1" thickBot="1" x14ac:dyDescent="0.35">
      <c r="A115" s="326" t="s">
        <v>313</v>
      </c>
      <c r="B115" s="310">
        <v>4.9406564584124654E-324</v>
      </c>
      <c r="C115" s="310">
        <v>4.9406564584124654E-324</v>
      </c>
      <c r="D115" s="311">
        <v>0</v>
      </c>
      <c r="E115" s="317">
        <v>1</v>
      </c>
      <c r="F115" s="310">
        <v>4.9406564584124654E-324</v>
      </c>
      <c r="G115" s="311">
        <v>0</v>
      </c>
      <c r="H115" s="313">
        <v>4.9406564584124654E-324</v>
      </c>
      <c r="I115" s="310">
        <v>0.95014999999899996</v>
      </c>
      <c r="J115" s="311">
        <v>0.95014999999899996</v>
      </c>
      <c r="K115" s="314" t="s">
        <v>212</v>
      </c>
    </row>
    <row r="116" spans="1:11" ht="14.4" customHeight="1" thickBot="1" x14ac:dyDescent="0.35">
      <c r="A116" s="327" t="s">
        <v>314</v>
      </c>
      <c r="B116" s="305">
        <v>4.9406564584124654E-324</v>
      </c>
      <c r="C116" s="305">
        <v>4.9406564584124654E-324</v>
      </c>
      <c r="D116" s="306">
        <v>0</v>
      </c>
      <c r="E116" s="307">
        <v>1</v>
      </c>
      <c r="F116" s="305">
        <v>4.9406564584124654E-324</v>
      </c>
      <c r="G116" s="306">
        <v>0</v>
      </c>
      <c r="H116" s="308">
        <v>4.9406564584124654E-324</v>
      </c>
      <c r="I116" s="305">
        <v>0.95014999999899996</v>
      </c>
      <c r="J116" s="306">
        <v>0.95014999999899996</v>
      </c>
      <c r="K116" s="316" t="s">
        <v>212</v>
      </c>
    </row>
    <row r="117" spans="1:11" ht="14.4" customHeight="1" thickBot="1" x14ac:dyDescent="0.35">
      <c r="A117" s="329" t="s">
        <v>315</v>
      </c>
      <c r="B117" s="305">
        <v>0</v>
      </c>
      <c r="C117" s="305">
        <v>4.9406564584124654E-324</v>
      </c>
      <c r="D117" s="306">
        <v>4.9406564584124654E-324</v>
      </c>
      <c r="E117" s="315" t="s">
        <v>206</v>
      </c>
      <c r="F117" s="305">
        <v>4.9406564584124654E-324</v>
      </c>
      <c r="G117" s="306">
        <v>0</v>
      </c>
      <c r="H117" s="308">
        <v>4.9406564584124654E-324</v>
      </c>
      <c r="I117" s="305">
        <v>5.71</v>
      </c>
      <c r="J117" s="306">
        <v>5.71</v>
      </c>
      <c r="K117" s="316" t="s">
        <v>212</v>
      </c>
    </row>
    <row r="118" spans="1:11" ht="14.4" customHeight="1" thickBot="1" x14ac:dyDescent="0.35">
      <c r="A118" s="327" t="s">
        <v>316</v>
      </c>
      <c r="B118" s="305">
        <v>0</v>
      </c>
      <c r="C118" s="305">
        <v>4.9406564584124654E-324</v>
      </c>
      <c r="D118" s="306">
        <v>4.9406564584124654E-324</v>
      </c>
      <c r="E118" s="315" t="s">
        <v>206</v>
      </c>
      <c r="F118" s="305">
        <v>4.9406564584124654E-324</v>
      </c>
      <c r="G118" s="306">
        <v>0</v>
      </c>
      <c r="H118" s="308">
        <v>4.9406564584124654E-324</v>
      </c>
      <c r="I118" s="305">
        <v>5.71</v>
      </c>
      <c r="J118" s="306">
        <v>5.71</v>
      </c>
      <c r="K118" s="316" t="s">
        <v>212</v>
      </c>
    </row>
    <row r="119" spans="1:11" ht="14.4" customHeight="1" thickBot="1" x14ac:dyDescent="0.35">
      <c r="A119" s="324" t="s">
        <v>317</v>
      </c>
      <c r="B119" s="305">
        <v>19916.999999998901</v>
      </c>
      <c r="C119" s="305">
        <v>20571.51122</v>
      </c>
      <c r="D119" s="306">
        <v>654.51122000110297</v>
      </c>
      <c r="E119" s="307">
        <v>1.0328619380420001</v>
      </c>
      <c r="F119" s="305">
        <v>20186.963161780001</v>
      </c>
      <c r="G119" s="306">
        <v>11775.7285110384</v>
      </c>
      <c r="H119" s="308">
        <v>1712.0766000000001</v>
      </c>
      <c r="I119" s="305">
        <v>11883.3696</v>
      </c>
      <c r="J119" s="306">
        <v>107.641088961658</v>
      </c>
      <c r="K119" s="309">
        <v>0.58866554145600003</v>
      </c>
    </row>
    <row r="120" spans="1:11" ht="14.4" customHeight="1" thickBot="1" x14ac:dyDescent="0.35">
      <c r="A120" s="325" t="s">
        <v>318</v>
      </c>
      <c r="B120" s="305">
        <v>19916.999999998901</v>
      </c>
      <c r="C120" s="305">
        <v>20275.677</v>
      </c>
      <c r="D120" s="306">
        <v>358.67700000109801</v>
      </c>
      <c r="E120" s="307">
        <v>1.0180085856300001</v>
      </c>
      <c r="F120" s="305">
        <v>20146.963161780001</v>
      </c>
      <c r="G120" s="306">
        <v>11752.395177705001</v>
      </c>
      <c r="H120" s="308">
        <v>1697.605</v>
      </c>
      <c r="I120" s="305">
        <v>11868.897999999999</v>
      </c>
      <c r="J120" s="306">
        <v>116.50282229499101</v>
      </c>
      <c r="K120" s="309">
        <v>0.58911598262599996</v>
      </c>
    </row>
    <row r="121" spans="1:11" ht="14.4" customHeight="1" thickBot="1" x14ac:dyDescent="0.35">
      <c r="A121" s="326" t="s">
        <v>319</v>
      </c>
      <c r="B121" s="310">
        <v>19916.999999998901</v>
      </c>
      <c r="C121" s="310">
        <v>20275.677</v>
      </c>
      <c r="D121" s="311">
        <v>358.67700000109801</v>
      </c>
      <c r="E121" s="317">
        <v>1.0180085856300001</v>
      </c>
      <c r="F121" s="310">
        <v>20146.963161780001</v>
      </c>
      <c r="G121" s="311">
        <v>11752.395177705001</v>
      </c>
      <c r="H121" s="313">
        <v>1697.605</v>
      </c>
      <c r="I121" s="310">
        <v>11868.897999999999</v>
      </c>
      <c r="J121" s="311">
        <v>116.50282229499101</v>
      </c>
      <c r="K121" s="318">
        <v>0.58911598262599996</v>
      </c>
    </row>
    <row r="122" spans="1:11" ht="14.4" customHeight="1" thickBot="1" x14ac:dyDescent="0.35">
      <c r="A122" s="327" t="s">
        <v>320</v>
      </c>
      <c r="B122" s="305">
        <v>227.99999999998701</v>
      </c>
      <c r="C122" s="305">
        <v>327.48500000000001</v>
      </c>
      <c r="D122" s="306">
        <v>99.485000000011993</v>
      </c>
      <c r="E122" s="307">
        <v>1.436337719298</v>
      </c>
      <c r="F122" s="305">
        <v>345.98625349666401</v>
      </c>
      <c r="G122" s="306">
        <v>201.82531453972001</v>
      </c>
      <c r="H122" s="308">
        <v>29.161999999999999</v>
      </c>
      <c r="I122" s="305">
        <v>203.02199999999999</v>
      </c>
      <c r="J122" s="306">
        <v>1.196685460279</v>
      </c>
      <c r="K122" s="309">
        <v>0.58679209924700004</v>
      </c>
    </row>
    <row r="123" spans="1:11" ht="14.4" customHeight="1" thickBot="1" x14ac:dyDescent="0.35">
      <c r="A123" s="327" t="s">
        <v>321</v>
      </c>
      <c r="B123" s="305">
        <v>6786.9999999996298</v>
      </c>
      <c r="C123" s="305">
        <v>6779.643</v>
      </c>
      <c r="D123" s="306">
        <v>-7.3569999996269999</v>
      </c>
      <c r="E123" s="307">
        <v>0.99891601591199997</v>
      </c>
      <c r="F123" s="305">
        <v>6724.9999999998799</v>
      </c>
      <c r="G123" s="306">
        <v>3922.9166666666001</v>
      </c>
      <c r="H123" s="308">
        <v>581.59100000000001</v>
      </c>
      <c r="I123" s="305">
        <v>4018.3580000000002</v>
      </c>
      <c r="J123" s="306">
        <v>95.441333333407002</v>
      </c>
      <c r="K123" s="309">
        <v>0.59752535315900002</v>
      </c>
    </row>
    <row r="124" spans="1:11" ht="14.4" customHeight="1" thickBot="1" x14ac:dyDescent="0.35">
      <c r="A124" s="327" t="s">
        <v>322</v>
      </c>
      <c r="B124" s="305">
        <v>425.99999999997601</v>
      </c>
      <c r="C124" s="305">
        <v>426.113</v>
      </c>
      <c r="D124" s="306">
        <v>0.11300000002299999</v>
      </c>
      <c r="E124" s="307">
        <v>1.0002652582160001</v>
      </c>
      <c r="F124" s="305">
        <v>426.00356411090002</v>
      </c>
      <c r="G124" s="306">
        <v>248.502079064692</v>
      </c>
      <c r="H124" s="308">
        <v>35.508000000000003</v>
      </c>
      <c r="I124" s="305">
        <v>248.55600000000001</v>
      </c>
      <c r="J124" s="306">
        <v>5.3920935307999997E-2</v>
      </c>
      <c r="K124" s="309">
        <v>0.58345990723899999</v>
      </c>
    </row>
    <row r="125" spans="1:11" ht="14.4" customHeight="1" thickBot="1" x14ac:dyDescent="0.35">
      <c r="A125" s="327" t="s">
        <v>323</v>
      </c>
      <c r="B125" s="305">
        <v>1728.9999999999</v>
      </c>
      <c r="C125" s="305">
        <v>2059.5160000000001</v>
      </c>
      <c r="D125" s="306">
        <v>330.51600000009603</v>
      </c>
      <c r="E125" s="307">
        <v>1.1911602082120001</v>
      </c>
      <c r="F125" s="305">
        <v>2163.9733441727699</v>
      </c>
      <c r="G125" s="306">
        <v>1262.31778410078</v>
      </c>
      <c r="H125" s="308">
        <v>180.37200000000001</v>
      </c>
      <c r="I125" s="305">
        <v>1262.4880000000001</v>
      </c>
      <c r="J125" s="306">
        <v>0.170215899216</v>
      </c>
      <c r="K125" s="309">
        <v>0.58341199229600005</v>
      </c>
    </row>
    <row r="126" spans="1:11" ht="14.4" customHeight="1" thickBot="1" x14ac:dyDescent="0.35">
      <c r="A126" s="327" t="s">
        <v>324</v>
      </c>
      <c r="B126" s="305">
        <v>9926.9999999994507</v>
      </c>
      <c r="C126" s="305">
        <v>9927.5049999999992</v>
      </c>
      <c r="D126" s="306">
        <v>0.50500000054799998</v>
      </c>
      <c r="E126" s="307">
        <v>1.00005087136</v>
      </c>
      <c r="F126" s="305">
        <v>9736.9999999998308</v>
      </c>
      <c r="G126" s="306">
        <v>5679.9166666665697</v>
      </c>
      <c r="H126" s="308">
        <v>808.524</v>
      </c>
      <c r="I126" s="305">
        <v>5699.3220000000001</v>
      </c>
      <c r="J126" s="306">
        <v>19.405333333438001</v>
      </c>
      <c r="K126" s="309">
        <v>0.58532628119499996</v>
      </c>
    </row>
    <row r="127" spans="1:11" ht="14.4" customHeight="1" thickBot="1" x14ac:dyDescent="0.35">
      <c r="A127" s="327" t="s">
        <v>325</v>
      </c>
      <c r="B127" s="305">
        <v>819.99999999995498</v>
      </c>
      <c r="C127" s="305">
        <v>755.41499999999996</v>
      </c>
      <c r="D127" s="306">
        <v>-64.584999999955002</v>
      </c>
      <c r="E127" s="307">
        <v>0.921237804878</v>
      </c>
      <c r="F127" s="305">
        <v>748.99999999998602</v>
      </c>
      <c r="G127" s="306">
        <v>436.91666666665901</v>
      </c>
      <c r="H127" s="308">
        <v>62.448</v>
      </c>
      <c r="I127" s="305">
        <v>437.15199999999999</v>
      </c>
      <c r="J127" s="306">
        <v>0.23533333334100001</v>
      </c>
      <c r="K127" s="309">
        <v>0.58364753004000003</v>
      </c>
    </row>
    <row r="128" spans="1:11" ht="14.4" customHeight="1" thickBot="1" x14ac:dyDescent="0.35">
      <c r="A128" s="325" t="s">
        <v>326</v>
      </c>
      <c r="B128" s="305">
        <v>0</v>
      </c>
      <c r="C128" s="305">
        <v>295.83422000000002</v>
      </c>
      <c r="D128" s="306">
        <v>295.83422000000002</v>
      </c>
      <c r="E128" s="315" t="s">
        <v>206</v>
      </c>
      <c r="F128" s="305">
        <v>40</v>
      </c>
      <c r="G128" s="306">
        <v>23.333333333333002</v>
      </c>
      <c r="H128" s="308">
        <v>14.4716</v>
      </c>
      <c r="I128" s="305">
        <v>14.4716</v>
      </c>
      <c r="J128" s="306">
        <v>-8.8617333333329995</v>
      </c>
      <c r="K128" s="309">
        <v>0.36179</v>
      </c>
    </row>
    <row r="129" spans="1:11" ht="14.4" customHeight="1" thickBot="1" x14ac:dyDescent="0.35">
      <c r="A129" s="326" t="s">
        <v>327</v>
      </c>
      <c r="B129" s="310">
        <v>0</v>
      </c>
      <c r="C129" s="310">
        <v>204.30822000000001</v>
      </c>
      <c r="D129" s="311">
        <v>204.30822000000001</v>
      </c>
      <c r="E129" s="312" t="s">
        <v>206</v>
      </c>
      <c r="F129" s="310">
        <v>40</v>
      </c>
      <c r="G129" s="311">
        <v>23.333333333333002</v>
      </c>
      <c r="H129" s="313">
        <v>14.4716</v>
      </c>
      <c r="I129" s="310">
        <v>14.4716</v>
      </c>
      <c r="J129" s="311">
        <v>-8.8617333333329995</v>
      </c>
      <c r="K129" s="318">
        <v>0.36179</v>
      </c>
    </row>
    <row r="130" spans="1:11" ht="14.4" customHeight="1" thickBot="1" x14ac:dyDescent="0.35">
      <c r="A130" s="327" t="s">
        <v>328</v>
      </c>
      <c r="B130" s="305">
        <v>0</v>
      </c>
      <c r="C130" s="305">
        <v>11.374000000000001</v>
      </c>
      <c r="D130" s="306">
        <v>11.374000000000001</v>
      </c>
      <c r="E130" s="315" t="s">
        <v>206</v>
      </c>
      <c r="F130" s="305">
        <v>40</v>
      </c>
      <c r="G130" s="306">
        <v>23.333333333333002</v>
      </c>
      <c r="H130" s="308">
        <v>14.4716</v>
      </c>
      <c r="I130" s="305">
        <v>14.4716</v>
      </c>
      <c r="J130" s="306">
        <v>-8.8617333333329995</v>
      </c>
      <c r="K130" s="309">
        <v>0.36179</v>
      </c>
    </row>
    <row r="131" spans="1:11" ht="14.4" customHeight="1" thickBot="1" x14ac:dyDescent="0.35">
      <c r="A131" s="327" t="s">
        <v>329</v>
      </c>
      <c r="B131" s="305">
        <v>0</v>
      </c>
      <c r="C131" s="305">
        <v>192.93422000000001</v>
      </c>
      <c r="D131" s="306">
        <v>192.93422000000001</v>
      </c>
      <c r="E131" s="315" t="s">
        <v>206</v>
      </c>
      <c r="F131" s="305">
        <v>0</v>
      </c>
      <c r="G131" s="306">
        <v>0</v>
      </c>
      <c r="H131" s="308">
        <v>4.9406564584124654E-324</v>
      </c>
      <c r="I131" s="305">
        <v>3.4584595208887258E-323</v>
      </c>
      <c r="J131" s="306">
        <v>3.4584595208887258E-323</v>
      </c>
      <c r="K131" s="316" t="s">
        <v>206</v>
      </c>
    </row>
    <row r="132" spans="1:11" ht="14.4" customHeight="1" thickBot="1" x14ac:dyDescent="0.35">
      <c r="A132" s="326" t="s">
        <v>330</v>
      </c>
      <c r="B132" s="310">
        <v>0</v>
      </c>
      <c r="C132" s="310">
        <v>89.54</v>
      </c>
      <c r="D132" s="311">
        <v>89.54</v>
      </c>
      <c r="E132" s="312" t="s">
        <v>206</v>
      </c>
      <c r="F132" s="310">
        <v>0</v>
      </c>
      <c r="G132" s="311">
        <v>0</v>
      </c>
      <c r="H132" s="313">
        <v>4.9406564584124654E-324</v>
      </c>
      <c r="I132" s="310">
        <v>3.4584595208887258E-323</v>
      </c>
      <c r="J132" s="311">
        <v>3.4584595208887258E-323</v>
      </c>
      <c r="K132" s="314" t="s">
        <v>206</v>
      </c>
    </row>
    <row r="133" spans="1:11" ht="14.4" customHeight="1" thickBot="1" x14ac:dyDescent="0.35">
      <c r="A133" s="327" t="s">
        <v>331</v>
      </c>
      <c r="B133" s="305">
        <v>0</v>
      </c>
      <c r="C133" s="305">
        <v>73.447000000000003</v>
      </c>
      <c r="D133" s="306">
        <v>73.447000000000003</v>
      </c>
      <c r="E133" s="315" t="s">
        <v>206</v>
      </c>
      <c r="F133" s="305">
        <v>0</v>
      </c>
      <c r="G133" s="306">
        <v>0</v>
      </c>
      <c r="H133" s="308">
        <v>4.9406564584124654E-324</v>
      </c>
      <c r="I133" s="305">
        <v>3.4584595208887258E-323</v>
      </c>
      <c r="J133" s="306">
        <v>3.4584595208887258E-323</v>
      </c>
      <c r="K133" s="316" t="s">
        <v>206</v>
      </c>
    </row>
    <row r="134" spans="1:11" ht="14.4" customHeight="1" thickBot="1" x14ac:dyDescent="0.35">
      <c r="A134" s="327" t="s">
        <v>332</v>
      </c>
      <c r="B134" s="305">
        <v>4.9406564584124654E-324</v>
      </c>
      <c r="C134" s="305">
        <v>16.093</v>
      </c>
      <c r="D134" s="306">
        <v>16.093</v>
      </c>
      <c r="E134" s="315" t="s">
        <v>212</v>
      </c>
      <c r="F134" s="305">
        <v>0</v>
      </c>
      <c r="G134" s="306">
        <v>0</v>
      </c>
      <c r="H134" s="308">
        <v>4.9406564584124654E-324</v>
      </c>
      <c r="I134" s="305">
        <v>3.4584595208887258E-323</v>
      </c>
      <c r="J134" s="306">
        <v>3.4584595208887258E-323</v>
      </c>
      <c r="K134" s="316" t="s">
        <v>206</v>
      </c>
    </row>
    <row r="135" spans="1:11" ht="14.4" customHeight="1" thickBot="1" x14ac:dyDescent="0.35">
      <c r="A135" s="326" t="s">
        <v>333</v>
      </c>
      <c r="B135" s="310">
        <v>0</v>
      </c>
      <c r="C135" s="310">
        <v>1.986</v>
      </c>
      <c r="D135" s="311">
        <v>1.986</v>
      </c>
      <c r="E135" s="312" t="s">
        <v>206</v>
      </c>
      <c r="F135" s="310">
        <v>0</v>
      </c>
      <c r="G135" s="311">
        <v>0</v>
      </c>
      <c r="H135" s="313">
        <v>4.9406564584124654E-324</v>
      </c>
      <c r="I135" s="310">
        <v>3.4584595208887258E-323</v>
      </c>
      <c r="J135" s="311">
        <v>3.4584595208887258E-323</v>
      </c>
      <c r="K135" s="314" t="s">
        <v>206</v>
      </c>
    </row>
    <row r="136" spans="1:11" ht="14.4" customHeight="1" thickBot="1" x14ac:dyDescent="0.35">
      <c r="A136" s="327" t="s">
        <v>334</v>
      </c>
      <c r="B136" s="305">
        <v>0</v>
      </c>
      <c r="C136" s="305">
        <v>1.986</v>
      </c>
      <c r="D136" s="306">
        <v>1.986</v>
      </c>
      <c r="E136" s="315" t="s">
        <v>206</v>
      </c>
      <c r="F136" s="305">
        <v>0</v>
      </c>
      <c r="G136" s="306">
        <v>0</v>
      </c>
      <c r="H136" s="308">
        <v>4.9406564584124654E-324</v>
      </c>
      <c r="I136" s="305">
        <v>3.4584595208887258E-323</v>
      </c>
      <c r="J136" s="306">
        <v>3.4584595208887258E-323</v>
      </c>
      <c r="K136" s="316" t="s">
        <v>206</v>
      </c>
    </row>
    <row r="137" spans="1:11" ht="14.4" customHeight="1" thickBot="1" x14ac:dyDescent="0.35">
      <c r="A137" s="324" t="s">
        <v>335</v>
      </c>
      <c r="B137" s="305">
        <v>4.9406564584124654E-324</v>
      </c>
      <c r="C137" s="305">
        <v>50.12894</v>
      </c>
      <c r="D137" s="306">
        <v>50.12894</v>
      </c>
      <c r="E137" s="315" t="s">
        <v>212</v>
      </c>
      <c r="F137" s="305">
        <v>0</v>
      </c>
      <c r="G137" s="306">
        <v>0</v>
      </c>
      <c r="H137" s="308">
        <v>10.468780000000001</v>
      </c>
      <c r="I137" s="305">
        <v>52.700560000000003</v>
      </c>
      <c r="J137" s="306">
        <v>52.700560000000003</v>
      </c>
      <c r="K137" s="316" t="s">
        <v>206</v>
      </c>
    </row>
    <row r="138" spans="1:11" ht="14.4" customHeight="1" thickBot="1" x14ac:dyDescent="0.35">
      <c r="A138" s="325" t="s">
        <v>336</v>
      </c>
      <c r="B138" s="305">
        <v>4.9406564584124654E-324</v>
      </c>
      <c r="C138" s="305">
        <v>50.12894</v>
      </c>
      <c r="D138" s="306">
        <v>50.12894</v>
      </c>
      <c r="E138" s="315" t="s">
        <v>212</v>
      </c>
      <c r="F138" s="305">
        <v>0</v>
      </c>
      <c r="G138" s="306">
        <v>0</v>
      </c>
      <c r="H138" s="308">
        <v>10.468780000000001</v>
      </c>
      <c r="I138" s="305">
        <v>52.700560000000003</v>
      </c>
      <c r="J138" s="306">
        <v>52.700560000000003</v>
      </c>
      <c r="K138" s="316" t="s">
        <v>206</v>
      </c>
    </row>
    <row r="139" spans="1:11" ht="14.4" customHeight="1" thickBot="1" x14ac:dyDescent="0.35">
      <c r="A139" s="326" t="s">
        <v>337</v>
      </c>
      <c r="B139" s="310">
        <v>4.9406564584124654E-324</v>
      </c>
      <c r="C139" s="310">
        <v>50.12894</v>
      </c>
      <c r="D139" s="311">
        <v>50.12894</v>
      </c>
      <c r="E139" s="312" t="s">
        <v>212</v>
      </c>
      <c r="F139" s="310">
        <v>0</v>
      </c>
      <c r="G139" s="311">
        <v>0</v>
      </c>
      <c r="H139" s="313">
        <v>10.468780000000001</v>
      </c>
      <c r="I139" s="310">
        <v>52.700560000000003</v>
      </c>
      <c r="J139" s="311">
        <v>52.700560000000003</v>
      </c>
      <c r="K139" s="314" t="s">
        <v>206</v>
      </c>
    </row>
    <row r="140" spans="1:11" ht="14.4" customHeight="1" thickBot="1" x14ac:dyDescent="0.35">
      <c r="A140" s="327" t="s">
        <v>338</v>
      </c>
      <c r="B140" s="305">
        <v>4.9406564584124654E-324</v>
      </c>
      <c r="C140" s="305">
        <v>50.12894</v>
      </c>
      <c r="D140" s="306">
        <v>50.12894</v>
      </c>
      <c r="E140" s="315" t="s">
        <v>212</v>
      </c>
      <c r="F140" s="305">
        <v>0</v>
      </c>
      <c r="G140" s="306">
        <v>0</v>
      </c>
      <c r="H140" s="308">
        <v>10.468780000000001</v>
      </c>
      <c r="I140" s="305">
        <v>52.700560000000003</v>
      </c>
      <c r="J140" s="306">
        <v>52.700560000000003</v>
      </c>
      <c r="K140" s="316" t="s">
        <v>206</v>
      </c>
    </row>
    <row r="141" spans="1:11" ht="14.4" customHeight="1" thickBot="1" x14ac:dyDescent="0.35">
      <c r="A141" s="323" t="s">
        <v>339</v>
      </c>
      <c r="B141" s="305">
        <v>1550.6141979414199</v>
      </c>
      <c r="C141" s="305">
        <v>1454.4283</v>
      </c>
      <c r="D141" s="306">
        <v>-96.185897941419995</v>
      </c>
      <c r="E141" s="307">
        <v>0.93796916211000003</v>
      </c>
      <c r="F141" s="305">
        <v>62.146079213581999</v>
      </c>
      <c r="G141" s="306">
        <v>36.251879541256002</v>
      </c>
      <c r="H141" s="308">
        <v>5.1559999999999997</v>
      </c>
      <c r="I141" s="305">
        <v>38.612000000000002</v>
      </c>
      <c r="J141" s="306">
        <v>2.3601204587429998</v>
      </c>
      <c r="K141" s="309">
        <v>0.62131031415899995</v>
      </c>
    </row>
    <row r="142" spans="1:11" ht="14.4" customHeight="1" thickBot="1" x14ac:dyDescent="0.35">
      <c r="A142" s="324" t="s">
        <v>340</v>
      </c>
      <c r="B142" s="305">
        <v>4.9406564584124654E-324</v>
      </c>
      <c r="C142" s="305">
        <v>-11.11655</v>
      </c>
      <c r="D142" s="306">
        <v>-11.11655</v>
      </c>
      <c r="E142" s="315" t="s">
        <v>212</v>
      </c>
      <c r="F142" s="305">
        <v>0</v>
      </c>
      <c r="G142" s="306">
        <v>0</v>
      </c>
      <c r="H142" s="308">
        <v>4.9406564584124654E-324</v>
      </c>
      <c r="I142" s="305">
        <v>3.4584595208887258E-323</v>
      </c>
      <c r="J142" s="306">
        <v>3.4584595208887258E-323</v>
      </c>
      <c r="K142" s="316" t="s">
        <v>206</v>
      </c>
    </row>
    <row r="143" spans="1:11" ht="14.4" customHeight="1" thickBot="1" x14ac:dyDescent="0.35">
      <c r="A143" s="325" t="s">
        <v>341</v>
      </c>
      <c r="B143" s="305">
        <v>4.9406564584124654E-324</v>
      </c>
      <c r="C143" s="305">
        <v>-11.11655</v>
      </c>
      <c r="D143" s="306">
        <v>-11.11655</v>
      </c>
      <c r="E143" s="315" t="s">
        <v>212</v>
      </c>
      <c r="F143" s="305">
        <v>0</v>
      </c>
      <c r="G143" s="306">
        <v>0</v>
      </c>
      <c r="H143" s="308">
        <v>4.9406564584124654E-324</v>
      </c>
      <c r="I143" s="305">
        <v>3.4584595208887258E-323</v>
      </c>
      <c r="J143" s="306">
        <v>3.4584595208887258E-323</v>
      </c>
      <c r="K143" s="316" t="s">
        <v>206</v>
      </c>
    </row>
    <row r="144" spans="1:11" ht="14.4" customHeight="1" thickBot="1" x14ac:dyDescent="0.35">
      <c r="A144" s="326" t="s">
        <v>342</v>
      </c>
      <c r="B144" s="310">
        <v>4.9406564584124654E-324</v>
      </c>
      <c r="C144" s="310">
        <v>-11.11655</v>
      </c>
      <c r="D144" s="311">
        <v>-11.11655</v>
      </c>
      <c r="E144" s="312" t="s">
        <v>212</v>
      </c>
      <c r="F144" s="310">
        <v>0</v>
      </c>
      <c r="G144" s="311">
        <v>0</v>
      </c>
      <c r="H144" s="313">
        <v>4.9406564584124654E-324</v>
      </c>
      <c r="I144" s="310">
        <v>3.4584595208887258E-323</v>
      </c>
      <c r="J144" s="311">
        <v>3.4584595208887258E-323</v>
      </c>
      <c r="K144" s="314" t="s">
        <v>206</v>
      </c>
    </row>
    <row r="145" spans="1:11" ht="14.4" customHeight="1" thickBot="1" x14ac:dyDescent="0.35">
      <c r="A145" s="327" t="s">
        <v>343</v>
      </c>
      <c r="B145" s="305">
        <v>4.9406564584124654E-324</v>
      </c>
      <c r="C145" s="305">
        <v>-11.11655</v>
      </c>
      <c r="D145" s="306">
        <v>-11.11655</v>
      </c>
      <c r="E145" s="315" t="s">
        <v>212</v>
      </c>
      <c r="F145" s="305">
        <v>0</v>
      </c>
      <c r="G145" s="306">
        <v>0</v>
      </c>
      <c r="H145" s="308">
        <v>4.9406564584124654E-324</v>
      </c>
      <c r="I145" s="305">
        <v>3.4584595208887258E-323</v>
      </c>
      <c r="J145" s="306">
        <v>3.4584595208887258E-323</v>
      </c>
      <c r="K145" s="316" t="s">
        <v>206</v>
      </c>
    </row>
    <row r="146" spans="1:11" ht="14.4" customHeight="1" thickBot="1" x14ac:dyDescent="0.35">
      <c r="A146" s="324" t="s">
        <v>344</v>
      </c>
      <c r="B146" s="305">
        <v>1550.6141979414199</v>
      </c>
      <c r="C146" s="305">
        <v>1452.1448499999999</v>
      </c>
      <c r="D146" s="306">
        <v>-98.469347941419997</v>
      </c>
      <c r="E146" s="307">
        <v>0.93649655209299998</v>
      </c>
      <c r="F146" s="305">
        <v>5.1460792135820004</v>
      </c>
      <c r="G146" s="306">
        <v>3.0018795412560002</v>
      </c>
      <c r="H146" s="308">
        <v>4.9406564584124654E-324</v>
      </c>
      <c r="I146" s="305">
        <v>3.4584595208887258E-323</v>
      </c>
      <c r="J146" s="306">
        <v>-3.0018795412560002</v>
      </c>
      <c r="K146" s="309">
        <v>4.9406564584124654E-324</v>
      </c>
    </row>
    <row r="147" spans="1:11" ht="14.4" customHeight="1" thickBot="1" x14ac:dyDescent="0.35">
      <c r="A147" s="325" t="s">
        <v>345</v>
      </c>
      <c r="B147" s="305">
        <v>1545.46811872784</v>
      </c>
      <c r="C147" s="305">
        <v>1401.8330100000001</v>
      </c>
      <c r="D147" s="306">
        <v>-143.635108727839</v>
      </c>
      <c r="E147" s="307">
        <v>0.90706045178899997</v>
      </c>
      <c r="F147" s="305">
        <v>0</v>
      </c>
      <c r="G147" s="306">
        <v>0</v>
      </c>
      <c r="H147" s="308">
        <v>4.9406564584124654E-324</v>
      </c>
      <c r="I147" s="305">
        <v>3.4584595208887258E-323</v>
      </c>
      <c r="J147" s="306">
        <v>3.4584595208887258E-323</v>
      </c>
      <c r="K147" s="316" t="s">
        <v>206</v>
      </c>
    </row>
    <row r="148" spans="1:11" ht="14.4" customHeight="1" thickBot="1" x14ac:dyDescent="0.35">
      <c r="A148" s="326" t="s">
        <v>346</v>
      </c>
      <c r="B148" s="310">
        <v>4.9406564584124654E-324</v>
      </c>
      <c r="C148" s="310">
        <v>158.1925</v>
      </c>
      <c r="D148" s="311">
        <v>158.1925</v>
      </c>
      <c r="E148" s="312" t="s">
        <v>212</v>
      </c>
      <c r="F148" s="310">
        <v>0</v>
      </c>
      <c r="G148" s="311">
        <v>0</v>
      </c>
      <c r="H148" s="313">
        <v>4.9406564584124654E-324</v>
      </c>
      <c r="I148" s="310">
        <v>3.4584595208887258E-323</v>
      </c>
      <c r="J148" s="311">
        <v>3.4584595208887258E-323</v>
      </c>
      <c r="K148" s="314" t="s">
        <v>206</v>
      </c>
    </row>
    <row r="149" spans="1:11" ht="14.4" customHeight="1" thickBot="1" x14ac:dyDescent="0.35">
      <c r="A149" s="327" t="s">
        <v>347</v>
      </c>
      <c r="B149" s="305">
        <v>4.9406564584124654E-324</v>
      </c>
      <c r="C149" s="305">
        <v>158.1925</v>
      </c>
      <c r="D149" s="306">
        <v>158.1925</v>
      </c>
      <c r="E149" s="315" t="s">
        <v>212</v>
      </c>
      <c r="F149" s="305">
        <v>0</v>
      </c>
      <c r="G149" s="306">
        <v>0</v>
      </c>
      <c r="H149" s="308">
        <v>4.9406564584124654E-324</v>
      </c>
      <c r="I149" s="305">
        <v>3.4584595208887258E-323</v>
      </c>
      <c r="J149" s="306">
        <v>3.4584595208887258E-323</v>
      </c>
      <c r="K149" s="316" t="s">
        <v>206</v>
      </c>
    </row>
    <row r="150" spans="1:11" ht="14.4" customHeight="1" thickBot="1" x14ac:dyDescent="0.35">
      <c r="A150" s="326" t="s">
        <v>348</v>
      </c>
      <c r="B150" s="310">
        <v>1545.46811872784</v>
      </c>
      <c r="C150" s="310">
        <v>1243.6405099999999</v>
      </c>
      <c r="D150" s="311">
        <v>-301.82760872783899</v>
      </c>
      <c r="E150" s="317">
        <v>0.80470149783699996</v>
      </c>
      <c r="F150" s="310">
        <v>0</v>
      </c>
      <c r="G150" s="311">
        <v>0</v>
      </c>
      <c r="H150" s="313">
        <v>4.9406564584124654E-324</v>
      </c>
      <c r="I150" s="310">
        <v>3.4584595208887258E-323</v>
      </c>
      <c r="J150" s="311">
        <v>3.4584595208887258E-323</v>
      </c>
      <c r="K150" s="314" t="s">
        <v>206</v>
      </c>
    </row>
    <row r="151" spans="1:11" ht="14.4" customHeight="1" thickBot="1" x14ac:dyDescent="0.35">
      <c r="A151" s="327" t="s">
        <v>349</v>
      </c>
      <c r="B151" s="305">
        <v>0</v>
      </c>
      <c r="C151" s="305">
        <v>787.07133999999996</v>
      </c>
      <c r="D151" s="306">
        <v>787.07133999999996</v>
      </c>
      <c r="E151" s="315" t="s">
        <v>206</v>
      </c>
      <c r="F151" s="305">
        <v>0</v>
      </c>
      <c r="G151" s="306">
        <v>0</v>
      </c>
      <c r="H151" s="308">
        <v>4.9406564584124654E-324</v>
      </c>
      <c r="I151" s="305">
        <v>3.4584595208887258E-323</v>
      </c>
      <c r="J151" s="306">
        <v>3.4584595208887258E-323</v>
      </c>
      <c r="K151" s="316" t="s">
        <v>206</v>
      </c>
    </row>
    <row r="152" spans="1:11" ht="14.4" customHeight="1" thickBot="1" x14ac:dyDescent="0.35">
      <c r="A152" s="327" t="s">
        <v>350</v>
      </c>
      <c r="B152" s="305">
        <v>0</v>
      </c>
      <c r="C152" s="305">
        <v>187.78399999999999</v>
      </c>
      <c r="D152" s="306">
        <v>187.78399999999999</v>
      </c>
      <c r="E152" s="315" t="s">
        <v>206</v>
      </c>
      <c r="F152" s="305">
        <v>0</v>
      </c>
      <c r="G152" s="306">
        <v>0</v>
      </c>
      <c r="H152" s="308">
        <v>4.9406564584124654E-324</v>
      </c>
      <c r="I152" s="305">
        <v>3.4584595208887258E-323</v>
      </c>
      <c r="J152" s="306">
        <v>3.4584595208887258E-323</v>
      </c>
      <c r="K152" s="316" t="s">
        <v>206</v>
      </c>
    </row>
    <row r="153" spans="1:11" ht="14.4" customHeight="1" thickBot="1" x14ac:dyDescent="0.35">
      <c r="A153" s="327" t="s">
        <v>351</v>
      </c>
      <c r="B153" s="305">
        <v>0</v>
      </c>
      <c r="C153" s="305">
        <v>145.44028</v>
      </c>
      <c r="D153" s="306">
        <v>145.44028</v>
      </c>
      <c r="E153" s="315" t="s">
        <v>206</v>
      </c>
      <c r="F153" s="305">
        <v>0</v>
      </c>
      <c r="G153" s="306">
        <v>0</v>
      </c>
      <c r="H153" s="308">
        <v>4.9406564584124654E-324</v>
      </c>
      <c r="I153" s="305">
        <v>3.4584595208887258E-323</v>
      </c>
      <c r="J153" s="306">
        <v>3.4584595208887258E-323</v>
      </c>
      <c r="K153" s="316" t="s">
        <v>206</v>
      </c>
    </row>
    <row r="154" spans="1:11" ht="14.4" customHeight="1" thickBot="1" x14ac:dyDescent="0.35">
      <c r="A154" s="327" t="s">
        <v>352</v>
      </c>
      <c r="B154" s="305">
        <v>0</v>
      </c>
      <c r="C154" s="305">
        <v>123.34489000000001</v>
      </c>
      <c r="D154" s="306">
        <v>123.34489000000001</v>
      </c>
      <c r="E154" s="315" t="s">
        <v>206</v>
      </c>
      <c r="F154" s="305">
        <v>0</v>
      </c>
      <c r="G154" s="306">
        <v>0</v>
      </c>
      <c r="H154" s="308">
        <v>4.9406564584124654E-324</v>
      </c>
      <c r="I154" s="305">
        <v>3.4584595208887258E-323</v>
      </c>
      <c r="J154" s="306">
        <v>3.4584595208887258E-323</v>
      </c>
      <c r="K154" s="316" t="s">
        <v>206</v>
      </c>
    </row>
    <row r="155" spans="1:11" ht="14.4" customHeight="1" thickBot="1" x14ac:dyDescent="0.35">
      <c r="A155" s="330" t="s">
        <v>353</v>
      </c>
      <c r="B155" s="310">
        <v>5.1460792135820004</v>
      </c>
      <c r="C155" s="310">
        <v>50.311839999999997</v>
      </c>
      <c r="D155" s="311">
        <v>45.165760786417003</v>
      </c>
      <c r="E155" s="317">
        <v>9.7767325204019997</v>
      </c>
      <c r="F155" s="310">
        <v>5.1460792135820004</v>
      </c>
      <c r="G155" s="311">
        <v>3.0018795412560002</v>
      </c>
      <c r="H155" s="313">
        <v>4.9406564584124654E-324</v>
      </c>
      <c r="I155" s="310">
        <v>3.4584595208887258E-323</v>
      </c>
      <c r="J155" s="311">
        <v>-3.0018795412560002</v>
      </c>
      <c r="K155" s="318">
        <v>4.9406564584124654E-324</v>
      </c>
    </row>
    <row r="156" spans="1:11" ht="14.4" customHeight="1" thickBot="1" x14ac:dyDescent="0.35">
      <c r="A156" s="326" t="s">
        <v>354</v>
      </c>
      <c r="B156" s="310">
        <v>0</v>
      </c>
      <c r="C156" s="310">
        <v>31.568079999999998</v>
      </c>
      <c r="D156" s="311">
        <v>31.568079999999998</v>
      </c>
      <c r="E156" s="312" t="s">
        <v>206</v>
      </c>
      <c r="F156" s="310">
        <v>0</v>
      </c>
      <c r="G156" s="311">
        <v>0</v>
      </c>
      <c r="H156" s="313">
        <v>4.9406564584124654E-324</v>
      </c>
      <c r="I156" s="310">
        <v>3.4584595208887258E-323</v>
      </c>
      <c r="J156" s="311">
        <v>3.4584595208887258E-323</v>
      </c>
      <c r="K156" s="314" t="s">
        <v>206</v>
      </c>
    </row>
    <row r="157" spans="1:11" ht="14.4" customHeight="1" thickBot="1" x14ac:dyDescent="0.35">
      <c r="A157" s="327" t="s">
        <v>355</v>
      </c>
      <c r="B157" s="305">
        <v>4.9406564584124654E-324</v>
      </c>
      <c r="C157" s="305">
        <v>8.0000000000000007E-5</v>
      </c>
      <c r="D157" s="306">
        <v>8.0000000000000007E-5</v>
      </c>
      <c r="E157" s="315" t="s">
        <v>212</v>
      </c>
      <c r="F157" s="305">
        <v>0</v>
      </c>
      <c r="G157" s="306">
        <v>0</v>
      </c>
      <c r="H157" s="308">
        <v>4.9406564584124654E-324</v>
      </c>
      <c r="I157" s="305">
        <v>3.4584595208887258E-323</v>
      </c>
      <c r="J157" s="306">
        <v>3.4584595208887258E-323</v>
      </c>
      <c r="K157" s="316" t="s">
        <v>206</v>
      </c>
    </row>
    <row r="158" spans="1:11" ht="14.4" customHeight="1" thickBot="1" x14ac:dyDescent="0.35">
      <c r="A158" s="327" t="s">
        <v>356</v>
      </c>
      <c r="B158" s="305">
        <v>0</v>
      </c>
      <c r="C158" s="305">
        <v>31.568000000000001</v>
      </c>
      <c r="D158" s="306">
        <v>31.568000000000001</v>
      </c>
      <c r="E158" s="315" t="s">
        <v>206</v>
      </c>
      <c r="F158" s="305">
        <v>0</v>
      </c>
      <c r="G158" s="306">
        <v>0</v>
      </c>
      <c r="H158" s="308">
        <v>4.9406564584124654E-324</v>
      </c>
      <c r="I158" s="305">
        <v>3.4584595208887258E-323</v>
      </c>
      <c r="J158" s="306">
        <v>3.4584595208887258E-323</v>
      </c>
      <c r="K158" s="316" t="s">
        <v>206</v>
      </c>
    </row>
    <row r="159" spans="1:11" ht="14.4" customHeight="1" thickBot="1" x14ac:dyDescent="0.35">
      <c r="A159" s="326" t="s">
        <v>357</v>
      </c>
      <c r="B159" s="310">
        <v>5.1460792135820004</v>
      </c>
      <c r="C159" s="310">
        <v>18.743760000000002</v>
      </c>
      <c r="D159" s="311">
        <v>13.597680786417</v>
      </c>
      <c r="E159" s="317">
        <v>3.6423380251370001</v>
      </c>
      <c r="F159" s="310">
        <v>5.1460792135820004</v>
      </c>
      <c r="G159" s="311">
        <v>3.0018795412560002</v>
      </c>
      <c r="H159" s="313">
        <v>4.9406564584124654E-324</v>
      </c>
      <c r="I159" s="310">
        <v>3.4584595208887258E-323</v>
      </c>
      <c r="J159" s="311">
        <v>-3.0018795412560002</v>
      </c>
      <c r="K159" s="318">
        <v>4.9406564584124654E-324</v>
      </c>
    </row>
    <row r="160" spans="1:11" ht="14.4" customHeight="1" thickBot="1" x14ac:dyDescent="0.35">
      <c r="A160" s="327" t="s">
        <v>358</v>
      </c>
      <c r="B160" s="305">
        <v>5.1460792135820004</v>
      </c>
      <c r="C160" s="305">
        <v>18.743760000000002</v>
      </c>
      <c r="D160" s="306">
        <v>13.597680786417</v>
      </c>
      <c r="E160" s="307">
        <v>3.6423380251370001</v>
      </c>
      <c r="F160" s="305">
        <v>5.1460792135820004</v>
      </c>
      <c r="G160" s="306">
        <v>3.0018795412560002</v>
      </c>
      <c r="H160" s="308">
        <v>4.9406564584124654E-324</v>
      </c>
      <c r="I160" s="305">
        <v>3.4584595208887258E-323</v>
      </c>
      <c r="J160" s="306">
        <v>-3.0018795412560002</v>
      </c>
      <c r="K160" s="309">
        <v>4.9406564584124654E-324</v>
      </c>
    </row>
    <row r="161" spans="1:11" ht="14.4" customHeight="1" thickBot="1" x14ac:dyDescent="0.35">
      <c r="A161" s="324" t="s">
        <v>359</v>
      </c>
      <c r="B161" s="305">
        <v>4.9406564584124654E-324</v>
      </c>
      <c r="C161" s="305">
        <v>13.4</v>
      </c>
      <c r="D161" s="306">
        <v>13.4</v>
      </c>
      <c r="E161" s="315" t="s">
        <v>212</v>
      </c>
      <c r="F161" s="305">
        <v>57</v>
      </c>
      <c r="G161" s="306">
        <v>33.25</v>
      </c>
      <c r="H161" s="308">
        <v>5.1559999999999997</v>
      </c>
      <c r="I161" s="305">
        <v>38.612000000000002</v>
      </c>
      <c r="J161" s="306">
        <v>5.361999999999</v>
      </c>
      <c r="K161" s="309">
        <v>0.67740350877099997</v>
      </c>
    </row>
    <row r="162" spans="1:11" ht="14.4" customHeight="1" thickBot="1" x14ac:dyDescent="0.35">
      <c r="A162" s="330" t="s">
        <v>360</v>
      </c>
      <c r="B162" s="310">
        <v>4.9406564584124654E-324</v>
      </c>
      <c r="C162" s="310">
        <v>13.4</v>
      </c>
      <c r="D162" s="311">
        <v>13.4</v>
      </c>
      <c r="E162" s="312" t="s">
        <v>212</v>
      </c>
      <c r="F162" s="310">
        <v>57</v>
      </c>
      <c r="G162" s="311">
        <v>33.25</v>
      </c>
      <c r="H162" s="313">
        <v>5.1559999999999997</v>
      </c>
      <c r="I162" s="310">
        <v>38.612000000000002</v>
      </c>
      <c r="J162" s="311">
        <v>5.361999999999</v>
      </c>
      <c r="K162" s="318">
        <v>0.67740350877099997</v>
      </c>
    </row>
    <row r="163" spans="1:11" ht="14.4" customHeight="1" thickBot="1" x14ac:dyDescent="0.35">
      <c r="A163" s="326" t="s">
        <v>361</v>
      </c>
      <c r="B163" s="310">
        <v>4.9406564584124654E-324</v>
      </c>
      <c r="C163" s="310">
        <v>13.4</v>
      </c>
      <c r="D163" s="311">
        <v>13.4</v>
      </c>
      <c r="E163" s="312" t="s">
        <v>212</v>
      </c>
      <c r="F163" s="310">
        <v>57</v>
      </c>
      <c r="G163" s="311">
        <v>33.25</v>
      </c>
      <c r="H163" s="313">
        <v>4.9406564584124654E-324</v>
      </c>
      <c r="I163" s="310">
        <v>28.3</v>
      </c>
      <c r="J163" s="311">
        <v>-4.95</v>
      </c>
      <c r="K163" s="318">
        <v>0.49649122807000001</v>
      </c>
    </row>
    <row r="164" spans="1:11" ht="14.4" customHeight="1" thickBot="1" x14ac:dyDescent="0.35">
      <c r="A164" s="327" t="s">
        <v>362</v>
      </c>
      <c r="B164" s="305">
        <v>4.9406564584124654E-324</v>
      </c>
      <c r="C164" s="305">
        <v>13.4</v>
      </c>
      <c r="D164" s="306">
        <v>13.4</v>
      </c>
      <c r="E164" s="315" t="s">
        <v>212</v>
      </c>
      <c r="F164" s="305">
        <v>57</v>
      </c>
      <c r="G164" s="306">
        <v>33.25</v>
      </c>
      <c r="H164" s="308">
        <v>4.9406564584124654E-324</v>
      </c>
      <c r="I164" s="305">
        <v>28.3</v>
      </c>
      <c r="J164" s="306">
        <v>-4.95</v>
      </c>
      <c r="K164" s="309">
        <v>0.49649122807000001</v>
      </c>
    </row>
    <row r="165" spans="1:11" ht="14.4" customHeight="1" thickBot="1" x14ac:dyDescent="0.35">
      <c r="A165" s="329" t="s">
        <v>363</v>
      </c>
      <c r="B165" s="305">
        <v>4.9406564584124654E-324</v>
      </c>
      <c r="C165" s="305">
        <v>4.9406564584124654E-324</v>
      </c>
      <c r="D165" s="306">
        <v>0</v>
      </c>
      <c r="E165" s="307">
        <v>1</v>
      </c>
      <c r="F165" s="305">
        <v>4.9406564584124654E-324</v>
      </c>
      <c r="G165" s="306">
        <v>0</v>
      </c>
      <c r="H165" s="308">
        <v>5.1559999999999997</v>
      </c>
      <c r="I165" s="305">
        <v>10.311999999999999</v>
      </c>
      <c r="J165" s="306">
        <v>10.311999999999999</v>
      </c>
      <c r="K165" s="316" t="s">
        <v>212</v>
      </c>
    </row>
    <row r="166" spans="1:11" ht="14.4" customHeight="1" thickBot="1" x14ac:dyDescent="0.35">
      <c r="A166" s="327" t="s">
        <v>364</v>
      </c>
      <c r="B166" s="305">
        <v>4.9406564584124654E-324</v>
      </c>
      <c r="C166" s="305">
        <v>4.9406564584124654E-324</v>
      </c>
      <c r="D166" s="306">
        <v>0</v>
      </c>
      <c r="E166" s="307">
        <v>1</v>
      </c>
      <c r="F166" s="305">
        <v>4.9406564584124654E-324</v>
      </c>
      <c r="G166" s="306">
        <v>0</v>
      </c>
      <c r="H166" s="308">
        <v>5.1559999999999997</v>
      </c>
      <c r="I166" s="305">
        <v>10.311999999999999</v>
      </c>
      <c r="J166" s="306">
        <v>10.311999999999999</v>
      </c>
      <c r="K166" s="316" t="s">
        <v>212</v>
      </c>
    </row>
    <row r="167" spans="1:11" ht="14.4" customHeight="1" thickBot="1" x14ac:dyDescent="0.35">
      <c r="A167" s="323" t="s">
        <v>365</v>
      </c>
      <c r="B167" s="305">
        <v>3951.7370652112099</v>
      </c>
      <c r="C167" s="305">
        <v>2824.9995800000002</v>
      </c>
      <c r="D167" s="306">
        <v>-1126.73748521121</v>
      </c>
      <c r="E167" s="307">
        <v>0.71487539109499998</v>
      </c>
      <c r="F167" s="305">
        <v>2936.4428464133798</v>
      </c>
      <c r="G167" s="306">
        <v>1712.92499374114</v>
      </c>
      <c r="H167" s="308">
        <v>373.86707999999999</v>
      </c>
      <c r="I167" s="305">
        <v>1817.1187600000001</v>
      </c>
      <c r="J167" s="306">
        <v>104.19376625885999</v>
      </c>
      <c r="K167" s="309">
        <v>0.61881632132499997</v>
      </c>
    </row>
    <row r="168" spans="1:11" ht="14.4" customHeight="1" thickBot="1" x14ac:dyDescent="0.35">
      <c r="A168" s="328" t="s">
        <v>366</v>
      </c>
      <c r="B168" s="310">
        <v>3951.7370652112099</v>
      </c>
      <c r="C168" s="310">
        <v>2824.9995800000002</v>
      </c>
      <c r="D168" s="311">
        <v>-1126.73748521121</v>
      </c>
      <c r="E168" s="317">
        <v>0.71487539109499998</v>
      </c>
      <c r="F168" s="310">
        <v>2936.4428464133798</v>
      </c>
      <c r="G168" s="311">
        <v>1712.92499374114</v>
      </c>
      <c r="H168" s="313">
        <v>373.86707999999999</v>
      </c>
      <c r="I168" s="310">
        <v>1817.1187600000001</v>
      </c>
      <c r="J168" s="311">
        <v>104.19376625885999</v>
      </c>
      <c r="K168" s="318">
        <v>0.61881632132499997</v>
      </c>
    </row>
    <row r="169" spans="1:11" ht="14.4" customHeight="1" thickBot="1" x14ac:dyDescent="0.35">
      <c r="A169" s="330" t="s">
        <v>38</v>
      </c>
      <c r="B169" s="310">
        <v>3951.7370652112099</v>
      </c>
      <c r="C169" s="310">
        <v>2824.9995800000002</v>
      </c>
      <c r="D169" s="311">
        <v>-1126.73748521121</v>
      </c>
      <c r="E169" s="317">
        <v>0.71487539109499998</v>
      </c>
      <c r="F169" s="310">
        <v>2936.4428464133798</v>
      </c>
      <c r="G169" s="311">
        <v>1712.92499374114</v>
      </c>
      <c r="H169" s="313">
        <v>373.86707999999999</v>
      </c>
      <c r="I169" s="310">
        <v>1817.1187600000001</v>
      </c>
      <c r="J169" s="311">
        <v>104.19376625885999</v>
      </c>
      <c r="K169" s="318">
        <v>0.61881632132499997</v>
      </c>
    </row>
    <row r="170" spans="1:11" ht="14.4" customHeight="1" thickBot="1" x14ac:dyDescent="0.35">
      <c r="A170" s="326" t="s">
        <v>367</v>
      </c>
      <c r="B170" s="310">
        <v>83.999999999997996</v>
      </c>
      <c r="C170" s="310">
        <v>81.84</v>
      </c>
      <c r="D170" s="311">
        <v>-2.159999999998</v>
      </c>
      <c r="E170" s="317">
        <v>0.97428571428499999</v>
      </c>
      <c r="F170" s="310">
        <v>35</v>
      </c>
      <c r="G170" s="311">
        <v>20.416666666666</v>
      </c>
      <c r="H170" s="313">
        <v>6.82</v>
      </c>
      <c r="I170" s="310">
        <v>47.74</v>
      </c>
      <c r="J170" s="311">
        <v>27.323333333333</v>
      </c>
      <c r="K170" s="318">
        <v>1.3640000000000001</v>
      </c>
    </row>
    <row r="171" spans="1:11" ht="14.4" customHeight="1" thickBot="1" x14ac:dyDescent="0.35">
      <c r="A171" s="327" t="s">
        <v>368</v>
      </c>
      <c r="B171" s="305">
        <v>83.999999999997996</v>
      </c>
      <c r="C171" s="305">
        <v>81.84</v>
      </c>
      <c r="D171" s="306">
        <v>-2.159999999998</v>
      </c>
      <c r="E171" s="307">
        <v>0.97428571428499999</v>
      </c>
      <c r="F171" s="305">
        <v>35</v>
      </c>
      <c r="G171" s="306">
        <v>20.416666666666</v>
      </c>
      <c r="H171" s="308">
        <v>6.82</v>
      </c>
      <c r="I171" s="305">
        <v>47.74</v>
      </c>
      <c r="J171" s="306">
        <v>27.323333333333</v>
      </c>
      <c r="K171" s="309">
        <v>1.3640000000000001</v>
      </c>
    </row>
    <row r="172" spans="1:11" ht="14.4" customHeight="1" thickBot="1" x14ac:dyDescent="0.35">
      <c r="A172" s="326" t="s">
        <v>369</v>
      </c>
      <c r="B172" s="310">
        <v>115.308049287884</v>
      </c>
      <c r="C172" s="310">
        <v>46.125</v>
      </c>
      <c r="D172" s="311">
        <v>-69.183049287884003</v>
      </c>
      <c r="E172" s="317">
        <v>0.40001543938</v>
      </c>
      <c r="F172" s="310">
        <v>49.006946413382003</v>
      </c>
      <c r="G172" s="311">
        <v>28.587385407806</v>
      </c>
      <c r="H172" s="313">
        <v>5.8064999999999998</v>
      </c>
      <c r="I172" s="310">
        <v>39.124000000000002</v>
      </c>
      <c r="J172" s="311">
        <v>10.536614592193001</v>
      </c>
      <c r="K172" s="318">
        <v>0.79833580468300003</v>
      </c>
    </row>
    <row r="173" spans="1:11" ht="14.4" customHeight="1" thickBot="1" x14ac:dyDescent="0.35">
      <c r="A173" s="327" t="s">
        <v>370</v>
      </c>
      <c r="B173" s="305">
        <v>115.308049287884</v>
      </c>
      <c r="C173" s="305">
        <v>46.125</v>
      </c>
      <c r="D173" s="306">
        <v>-69.183049287884003</v>
      </c>
      <c r="E173" s="307">
        <v>0.40001543938</v>
      </c>
      <c r="F173" s="305">
        <v>49.006946413382003</v>
      </c>
      <c r="G173" s="306">
        <v>28.587385407806</v>
      </c>
      <c r="H173" s="308">
        <v>5.8064999999999998</v>
      </c>
      <c r="I173" s="305">
        <v>39.124000000000002</v>
      </c>
      <c r="J173" s="306">
        <v>10.536614592193001</v>
      </c>
      <c r="K173" s="309">
        <v>0.79833580468300003</v>
      </c>
    </row>
    <row r="174" spans="1:11" ht="14.4" customHeight="1" thickBot="1" x14ac:dyDescent="0.35">
      <c r="A174" s="326" t="s">
        <v>371</v>
      </c>
      <c r="B174" s="310">
        <v>552.429015923365</v>
      </c>
      <c r="C174" s="310">
        <v>62.253300000000003</v>
      </c>
      <c r="D174" s="311">
        <v>-490.17571592336498</v>
      </c>
      <c r="E174" s="317">
        <v>0.11269013430700001</v>
      </c>
      <c r="F174" s="310">
        <v>68.435900000000004</v>
      </c>
      <c r="G174" s="311">
        <v>39.920941666666003</v>
      </c>
      <c r="H174" s="313">
        <v>6.3013000000000003</v>
      </c>
      <c r="I174" s="310">
        <v>41.637099999999997</v>
      </c>
      <c r="J174" s="311">
        <v>1.7161583333329999</v>
      </c>
      <c r="K174" s="318">
        <v>0.60841020575399996</v>
      </c>
    </row>
    <row r="175" spans="1:11" ht="14.4" customHeight="1" thickBot="1" x14ac:dyDescent="0.35">
      <c r="A175" s="327" t="s">
        <v>372</v>
      </c>
      <c r="B175" s="305">
        <v>552.429015923365</v>
      </c>
      <c r="C175" s="305">
        <v>62.253300000000003</v>
      </c>
      <c r="D175" s="306">
        <v>-490.17571592336498</v>
      </c>
      <c r="E175" s="307">
        <v>0.11269013430700001</v>
      </c>
      <c r="F175" s="305">
        <v>68.435900000000004</v>
      </c>
      <c r="G175" s="306">
        <v>39.920941666666003</v>
      </c>
      <c r="H175" s="308">
        <v>6.3013000000000003</v>
      </c>
      <c r="I175" s="305">
        <v>41.637099999999997</v>
      </c>
      <c r="J175" s="306">
        <v>1.7161583333329999</v>
      </c>
      <c r="K175" s="309">
        <v>0.60841020575399996</v>
      </c>
    </row>
    <row r="176" spans="1:11" ht="14.4" customHeight="1" thickBot="1" x14ac:dyDescent="0.35">
      <c r="A176" s="326" t="s">
        <v>373</v>
      </c>
      <c r="B176" s="310">
        <v>4.9406564584124654E-324</v>
      </c>
      <c r="C176" s="310">
        <v>4.9406564584124654E-324</v>
      </c>
      <c r="D176" s="311">
        <v>0</v>
      </c>
      <c r="E176" s="317">
        <v>1</v>
      </c>
      <c r="F176" s="310">
        <v>4.9406564584124654E-324</v>
      </c>
      <c r="G176" s="311">
        <v>0</v>
      </c>
      <c r="H176" s="313">
        <v>4.9406564584124654E-324</v>
      </c>
      <c r="I176" s="310">
        <v>1.7000000000000001E-2</v>
      </c>
      <c r="J176" s="311">
        <v>1.7000000000000001E-2</v>
      </c>
      <c r="K176" s="314" t="s">
        <v>212</v>
      </c>
    </row>
    <row r="177" spans="1:11" ht="14.4" customHeight="1" thickBot="1" x14ac:dyDescent="0.35">
      <c r="A177" s="327" t="s">
        <v>374</v>
      </c>
      <c r="B177" s="305">
        <v>4.9406564584124654E-324</v>
      </c>
      <c r="C177" s="305">
        <v>4.9406564584124654E-324</v>
      </c>
      <c r="D177" s="306">
        <v>0</v>
      </c>
      <c r="E177" s="307">
        <v>1</v>
      </c>
      <c r="F177" s="305">
        <v>4.9406564584124654E-324</v>
      </c>
      <c r="G177" s="306">
        <v>0</v>
      </c>
      <c r="H177" s="308">
        <v>4.9406564584124654E-324</v>
      </c>
      <c r="I177" s="305">
        <v>1.7000000000000001E-2</v>
      </c>
      <c r="J177" s="306">
        <v>1.7000000000000001E-2</v>
      </c>
      <c r="K177" s="316" t="s">
        <v>212</v>
      </c>
    </row>
    <row r="178" spans="1:11" ht="14.4" customHeight="1" thickBot="1" x14ac:dyDescent="0.35">
      <c r="A178" s="326" t="s">
        <v>375</v>
      </c>
      <c r="B178" s="310">
        <v>357.999999999995</v>
      </c>
      <c r="C178" s="310">
        <v>317.19878</v>
      </c>
      <c r="D178" s="311">
        <v>-40.801219999994998</v>
      </c>
      <c r="E178" s="317">
        <v>0.88603011173099999</v>
      </c>
      <c r="F178" s="310">
        <v>441</v>
      </c>
      <c r="G178" s="311">
        <v>257.25</v>
      </c>
      <c r="H178" s="313">
        <v>63.987430000000003</v>
      </c>
      <c r="I178" s="310">
        <v>221.60933</v>
      </c>
      <c r="J178" s="311">
        <v>-35.64067</v>
      </c>
      <c r="K178" s="318">
        <v>0.50251548752800002</v>
      </c>
    </row>
    <row r="179" spans="1:11" ht="14.4" customHeight="1" thickBot="1" x14ac:dyDescent="0.35">
      <c r="A179" s="327" t="s">
        <v>376</v>
      </c>
      <c r="B179" s="305">
        <v>357.999999999995</v>
      </c>
      <c r="C179" s="305">
        <v>317.19878</v>
      </c>
      <c r="D179" s="306">
        <v>-40.801219999994998</v>
      </c>
      <c r="E179" s="307">
        <v>0.88603011173099999</v>
      </c>
      <c r="F179" s="305">
        <v>441</v>
      </c>
      <c r="G179" s="306">
        <v>257.25</v>
      </c>
      <c r="H179" s="308">
        <v>63.987430000000003</v>
      </c>
      <c r="I179" s="305">
        <v>221.60933</v>
      </c>
      <c r="J179" s="306">
        <v>-35.64067</v>
      </c>
      <c r="K179" s="309">
        <v>0.50251548752800002</v>
      </c>
    </row>
    <row r="180" spans="1:11" ht="14.4" customHeight="1" thickBot="1" x14ac:dyDescent="0.35">
      <c r="A180" s="326" t="s">
        <v>377</v>
      </c>
      <c r="B180" s="310">
        <v>2841.99999999996</v>
      </c>
      <c r="C180" s="310">
        <v>2317.5825</v>
      </c>
      <c r="D180" s="311">
        <v>-524.41749999996398</v>
      </c>
      <c r="E180" s="317">
        <v>0.81547589725500003</v>
      </c>
      <c r="F180" s="310">
        <v>2343</v>
      </c>
      <c r="G180" s="311">
        <v>1366.75</v>
      </c>
      <c r="H180" s="313">
        <v>290.95184999999998</v>
      </c>
      <c r="I180" s="310">
        <v>1466.9913300000001</v>
      </c>
      <c r="J180" s="311">
        <v>100.24133</v>
      </c>
      <c r="K180" s="318">
        <v>0.62611665812999995</v>
      </c>
    </row>
    <row r="181" spans="1:11" ht="14.4" customHeight="1" thickBot="1" x14ac:dyDescent="0.35">
      <c r="A181" s="327" t="s">
        <v>378</v>
      </c>
      <c r="B181" s="305">
        <v>2841.99999999996</v>
      </c>
      <c r="C181" s="305">
        <v>2317.5825</v>
      </c>
      <c r="D181" s="306">
        <v>-524.41749999996398</v>
      </c>
      <c r="E181" s="307">
        <v>0.81547589725500003</v>
      </c>
      <c r="F181" s="305">
        <v>2343</v>
      </c>
      <c r="G181" s="306">
        <v>1366.75</v>
      </c>
      <c r="H181" s="308">
        <v>290.95184999999998</v>
      </c>
      <c r="I181" s="305">
        <v>1466.9913300000001</v>
      </c>
      <c r="J181" s="306">
        <v>100.24133</v>
      </c>
      <c r="K181" s="309">
        <v>0.62611665812999995</v>
      </c>
    </row>
    <row r="182" spans="1:11" ht="14.4" customHeight="1" thickBot="1" x14ac:dyDescent="0.35">
      <c r="A182" s="331"/>
      <c r="B182" s="305">
        <v>-68005.166210969095</v>
      </c>
      <c r="C182" s="305">
        <v>-69888.396789999999</v>
      </c>
      <c r="D182" s="306">
        <v>-1883.2305790309299</v>
      </c>
      <c r="E182" s="307">
        <v>1.02769246344</v>
      </c>
      <c r="F182" s="305">
        <v>-68891.723827809605</v>
      </c>
      <c r="G182" s="306">
        <v>-40186.838899555602</v>
      </c>
      <c r="H182" s="308">
        <v>-6545.9005500000003</v>
      </c>
      <c r="I182" s="305">
        <v>-46527.596810000003</v>
      </c>
      <c r="J182" s="306">
        <v>-6340.7579104444103</v>
      </c>
      <c r="K182" s="309">
        <v>0.67537280568400004</v>
      </c>
    </row>
    <row r="183" spans="1:11" ht="14.4" customHeight="1" thickBot="1" x14ac:dyDescent="0.35">
      <c r="A183" s="332" t="s">
        <v>50</v>
      </c>
      <c r="B183" s="319">
        <v>-68005.166210969095</v>
      </c>
      <c r="C183" s="319">
        <v>-69888.396789999999</v>
      </c>
      <c r="D183" s="320">
        <v>-1883.2305790308801</v>
      </c>
      <c r="E183" s="321">
        <v>-0.82132090249800005</v>
      </c>
      <c r="F183" s="319">
        <v>-68891.723827809605</v>
      </c>
      <c r="G183" s="320">
        <v>-40186.838899555602</v>
      </c>
      <c r="H183" s="319">
        <v>-6545.9005500000003</v>
      </c>
      <c r="I183" s="319">
        <v>-46527.596810000003</v>
      </c>
      <c r="J183" s="320">
        <v>-6340.7579104444003</v>
      </c>
      <c r="K183" s="322">
        <v>0.67537280568400004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25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164" customWidth="1"/>
    <col min="2" max="2" width="61.109375" style="164" customWidth="1"/>
    <col min="3" max="3" width="9.5546875" style="96" customWidth="1"/>
    <col min="4" max="4" width="9.5546875" style="165" customWidth="1"/>
    <col min="5" max="5" width="2.21875" style="165" customWidth="1"/>
    <col min="6" max="6" width="9.5546875" style="166" customWidth="1"/>
    <col min="7" max="7" width="9.5546875" style="163" customWidth="1"/>
    <col min="8" max="9" width="9.5546875" style="96" customWidth="1"/>
    <col min="10" max="10" width="0" style="96" hidden="1" customWidth="1"/>
    <col min="11" max="16384" width="8.88671875" style="96"/>
  </cols>
  <sheetData>
    <row r="1" spans="1:10" ht="18.600000000000001" customHeight="1" thickBot="1" x14ac:dyDescent="0.4">
      <c r="A1" s="287" t="s">
        <v>77</v>
      </c>
      <c r="B1" s="288"/>
      <c r="C1" s="288"/>
      <c r="D1" s="288"/>
      <c r="E1" s="288"/>
      <c r="F1" s="288"/>
      <c r="G1" s="259"/>
      <c r="H1" s="289"/>
      <c r="I1" s="289"/>
    </row>
    <row r="2" spans="1:10" ht="14.4" customHeight="1" thickBot="1" x14ac:dyDescent="0.35">
      <c r="A2" s="175" t="s">
        <v>205</v>
      </c>
      <c r="B2" s="162"/>
      <c r="C2" s="162"/>
      <c r="D2" s="162"/>
      <c r="E2" s="162"/>
      <c r="F2" s="162"/>
    </row>
    <row r="3" spans="1:10" ht="14.4" customHeight="1" thickBot="1" x14ac:dyDescent="0.35">
      <c r="A3" s="175"/>
      <c r="B3" s="162"/>
      <c r="C3" s="233">
        <v>2012</v>
      </c>
      <c r="D3" s="234">
        <v>2013</v>
      </c>
      <c r="E3" s="7"/>
      <c r="F3" s="282">
        <v>2014</v>
      </c>
      <c r="G3" s="283"/>
      <c r="H3" s="283"/>
      <c r="I3" s="284"/>
    </row>
    <row r="4" spans="1:10" ht="14.4" customHeight="1" thickBot="1" x14ac:dyDescent="0.35">
      <c r="A4" s="238" t="s">
        <v>0</v>
      </c>
      <c r="B4" s="239" t="s">
        <v>192</v>
      </c>
      <c r="C4" s="285" t="s">
        <v>55</v>
      </c>
      <c r="D4" s="286"/>
      <c r="E4" s="240"/>
      <c r="F4" s="235" t="s">
        <v>55</v>
      </c>
      <c r="G4" s="236" t="s">
        <v>56</v>
      </c>
      <c r="H4" s="236" t="s">
        <v>52</v>
      </c>
      <c r="I4" s="237" t="s">
        <v>57</v>
      </c>
    </row>
    <row r="5" spans="1:10" ht="14.4" customHeight="1" x14ac:dyDescent="0.3">
      <c r="A5" s="333" t="s">
        <v>379</v>
      </c>
      <c r="B5" s="334" t="s">
        <v>380</v>
      </c>
      <c r="C5" s="335" t="s">
        <v>381</v>
      </c>
      <c r="D5" s="335" t="s">
        <v>381</v>
      </c>
      <c r="E5" s="335"/>
      <c r="F5" s="335" t="s">
        <v>381</v>
      </c>
      <c r="G5" s="335" t="s">
        <v>381</v>
      </c>
      <c r="H5" s="335" t="s">
        <v>381</v>
      </c>
      <c r="I5" s="336" t="s">
        <v>381</v>
      </c>
      <c r="J5" s="337" t="s">
        <v>53</v>
      </c>
    </row>
    <row r="6" spans="1:10" ht="14.4" customHeight="1" x14ac:dyDescent="0.3">
      <c r="A6" s="333" t="s">
        <v>379</v>
      </c>
      <c r="B6" s="334" t="s">
        <v>215</v>
      </c>
      <c r="C6" s="335">
        <v>370.39298000000002</v>
      </c>
      <c r="D6" s="335">
        <v>391.75277999999901</v>
      </c>
      <c r="E6" s="335"/>
      <c r="F6" s="335">
        <v>394.41327999999999</v>
      </c>
      <c r="G6" s="335">
        <v>409.4265236855191</v>
      </c>
      <c r="H6" s="335">
        <v>-15.013243685519114</v>
      </c>
      <c r="I6" s="336">
        <v>0.96333104277081272</v>
      </c>
      <c r="J6" s="337" t="s">
        <v>1</v>
      </c>
    </row>
    <row r="7" spans="1:10" ht="14.4" customHeight="1" x14ac:dyDescent="0.3">
      <c r="A7" s="333" t="s">
        <v>379</v>
      </c>
      <c r="B7" s="334" t="s">
        <v>216</v>
      </c>
      <c r="C7" s="335">
        <v>12.56025</v>
      </c>
      <c r="D7" s="335">
        <v>6.1598899999999999</v>
      </c>
      <c r="E7" s="335"/>
      <c r="F7" s="335">
        <v>0</v>
      </c>
      <c r="G7" s="335">
        <v>3.3653048681711666</v>
      </c>
      <c r="H7" s="335">
        <v>-3.3653048681711666</v>
      </c>
      <c r="I7" s="336">
        <v>0</v>
      </c>
      <c r="J7" s="337" t="s">
        <v>1</v>
      </c>
    </row>
    <row r="8" spans="1:10" ht="14.4" customHeight="1" x14ac:dyDescent="0.3">
      <c r="A8" s="333" t="s">
        <v>379</v>
      </c>
      <c r="B8" s="334" t="s">
        <v>217</v>
      </c>
      <c r="C8" s="335">
        <v>0.92039000000000004</v>
      </c>
      <c r="D8" s="335">
        <v>4.2336399999990002</v>
      </c>
      <c r="E8" s="335"/>
      <c r="F8" s="335">
        <v>5.4600000000000009</v>
      </c>
      <c r="G8" s="335">
        <v>5.4392383172989165</v>
      </c>
      <c r="H8" s="335">
        <v>2.0761682701084361E-2</v>
      </c>
      <c r="I8" s="336">
        <v>1.0038170202315009</v>
      </c>
      <c r="J8" s="337" t="s">
        <v>1</v>
      </c>
    </row>
    <row r="9" spans="1:10" ht="14.4" customHeight="1" x14ac:dyDescent="0.3">
      <c r="A9" s="333" t="s">
        <v>379</v>
      </c>
      <c r="B9" s="334" t="s">
        <v>218</v>
      </c>
      <c r="C9" s="335">
        <v>86.88197000000001</v>
      </c>
      <c r="D9" s="335">
        <v>106.04237000000002</v>
      </c>
      <c r="E9" s="335"/>
      <c r="F9" s="335">
        <v>110.99650999999999</v>
      </c>
      <c r="G9" s="335">
        <v>103.15568970431549</v>
      </c>
      <c r="H9" s="335">
        <v>7.8408202956844946</v>
      </c>
      <c r="I9" s="336">
        <v>1.076009576574587</v>
      </c>
      <c r="J9" s="337" t="s">
        <v>1</v>
      </c>
    </row>
    <row r="10" spans="1:10" ht="14.4" customHeight="1" x14ac:dyDescent="0.3">
      <c r="A10" s="333" t="s">
        <v>379</v>
      </c>
      <c r="B10" s="334" t="s">
        <v>382</v>
      </c>
      <c r="C10" s="335">
        <v>470.75559000000004</v>
      </c>
      <c r="D10" s="335">
        <v>508.18867999999804</v>
      </c>
      <c r="E10" s="335"/>
      <c r="F10" s="335">
        <v>510.86978999999997</v>
      </c>
      <c r="G10" s="335">
        <v>521.38675657530473</v>
      </c>
      <c r="H10" s="335">
        <v>-10.516966575304764</v>
      </c>
      <c r="I10" s="336">
        <v>0.97982885747926396</v>
      </c>
      <c r="J10" s="337" t="s">
        <v>383</v>
      </c>
    </row>
    <row r="12" spans="1:10" ht="14.4" customHeight="1" x14ac:dyDescent="0.3">
      <c r="A12" s="333" t="s">
        <v>379</v>
      </c>
      <c r="B12" s="334" t="s">
        <v>380</v>
      </c>
      <c r="C12" s="335" t="s">
        <v>381</v>
      </c>
      <c r="D12" s="335" t="s">
        <v>381</v>
      </c>
      <c r="E12" s="335"/>
      <c r="F12" s="335" t="s">
        <v>381</v>
      </c>
      <c r="G12" s="335" t="s">
        <v>381</v>
      </c>
      <c r="H12" s="335" t="s">
        <v>381</v>
      </c>
      <c r="I12" s="336" t="s">
        <v>381</v>
      </c>
      <c r="J12" s="337" t="s">
        <v>53</v>
      </c>
    </row>
    <row r="13" spans="1:10" ht="14.4" customHeight="1" x14ac:dyDescent="0.3">
      <c r="A13" s="333" t="s">
        <v>384</v>
      </c>
      <c r="B13" s="334" t="s">
        <v>385</v>
      </c>
      <c r="C13" s="335" t="s">
        <v>381</v>
      </c>
      <c r="D13" s="335" t="s">
        <v>381</v>
      </c>
      <c r="E13" s="335"/>
      <c r="F13" s="335" t="s">
        <v>381</v>
      </c>
      <c r="G13" s="335" t="s">
        <v>381</v>
      </c>
      <c r="H13" s="335" t="s">
        <v>381</v>
      </c>
      <c r="I13" s="336" t="s">
        <v>381</v>
      </c>
      <c r="J13" s="337" t="s">
        <v>0</v>
      </c>
    </row>
    <row r="14" spans="1:10" ht="14.4" customHeight="1" x14ac:dyDescent="0.3">
      <c r="A14" s="333" t="s">
        <v>384</v>
      </c>
      <c r="B14" s="334" t="s">
        <v>215</v>
      </c>
      <c r="C14" s="335">
        <v>353.70287000000002</v>
      </c>
      <c r="D14" s="335">
        <v>379.07825999999898</v>
      </c>
      <c r="E14" s="335"/>
      <c r="F14" s="335">
        <v>383.84426999999999</v>
      </c>
      <c r="G14" s="335">
        <v>395.53941062272878</v>
      </c>
      <c r="H14" s="335">
        <v>-11.695140622728786</v>
      </c>
      <c r="I14" s="336">
        <v>0.97043242643175254</v>
      </c>
      <c r="J14" s="337" t="s">
        <v>1</v>
      </c>
    </row>
    <row r="15" spans="1:10" ht="14.4" customHeight="1" x14ac:dyDescent="0.3">
      <c r="A15" s="333" t="s">
        <v>384</v>
      </c>
      <c r="B15" s="334" t="s">
        <v>216</v>
      </c>
      <c r="C15" s="335">
        <v>12.56025</v>
      </c>
      <c r="D15" s="335">
        <v>6.1598899999999999</v>
      </c>
      <c r="E15" s="335"/>
      <c r="F15" s="335">
        <v>0</v>
      </c>
      <c r="G15" s="335">
        <v>3.3653048681711666</v>
      </c>
      <c r="H15" s="335">
        <v>-3.3653048681711666</v>
      </c>
      <c r="I15" s="336">
        <v>0</v>
      </c>
      <c r="J15" s="337" t="s">
        <v>1</v>
      </c>
    </row>
    <row r="16" spans="1:10" ht="14.4" customHeight="1" x14ac:dyDescent="0.3">
      <c r="A16" s="333" t="s">
        <v>384</v>
      </c>
      <c r="B16" s="334" t="s">
        <v>217</v>
      </c>
      <c r="C16" s="335">
        <v>0.56949000000000005</v>
      </c>
      <c r="D16" s="335">
        <v>4.2336399999990002</v>
      </c>
      <c r="E16" s="335"/>
      <c r="F16" s="335">
        <v>5.4600000000000009</v>
      </c>
      <c r="G16" s="335">
        <v>5.4392383172989165</v>
      </c>
      <c r="H16" s="335">
        <v>2.0761682701084361E-2</v>
      </c>
      <c r="I16" s="336">
        <v>1.0038170202315009</v>
      </c>
      <c r="J16" s="337" t="s">
        <v>1</v>
      </c>
    </row>
    <row r="17" spans="1:10" ht="14.4" customHeight="1" x14ac:dyDescent="0.3">
      <c r="A17" s="333" t="s">
        <v>384</v>
      </c>
      <c r="B17" s="334" t="s">
        <v>218</v>
      </c>
      <c r="C17" s="335">
        <v>86.88197000000001</v>
      </c>
      <c r="D17" s="335">
        <v>106.04237000000002</v>
      </c>
      <c r="E17" s="335"/>
      <c r="F17" s="335">
        <v>110.99650999999999</v>
      </c>
      <c r="G17" s="335">
        <v>103.15568970431549</v>
      </c>
      <c r="H17" s="335">
        <v>7.8408202956844946</v>
      </c>
      <c r="I17" s="336">
        <v>1.076009576574587</v>
      </c>
      <c r="J17" s="337" t="s">
        <v>1</v>
      </c>
    </row>
    <row r="18" spans="1:10" ht="14.4" customHeight="1" x14ac:dyDescent="0.3">
      <c r="A18" s="333" t="s">
        <v>384</v>
      </c>
      <c r="B18" s="334" t="s">
        <v>386</v>
      </c>
      <c r="C18" s="335">
        <v>453.71458000000001</v>
      </c>
      <c r="D18" s="335">
        <v>495.51415999999801</v>
      </c>
      <c r="E18" s="335"/>
      <c r="F18" s="335">
        <v>500.30077999999997</v>
      </c>
      <c r="G18" s="335">
        <v>507.49964351251435</v>
      </c>
      <c r="H18" s="335">
        <v>-7.1988635125143787</v>
      </c>
      <c r="I18" s="336">
        <v>0.98581503730191911</v>
      </c>
      <c r="J18" s="337" t="s">
        <v>387</v>
      </c>
    </row>
    <row r="19" spans="1:10" ht="14.4" customHeight="1" x14ac:dyDescent="0.3">
      <c r="A19" s="333" t="s">
        <v>381</v>
      </c>
      <c r="B19" s="334" t="s">
        <v>381</v>
      </c>
      <c r="C19" s="335" t="s">
        <v>381</v>
      </c>
      <c r="D19" s="335" t="s">
        <v>381</v>
      </c>
      <c r="E19" s="335"/>
      <c r="F19" s="335" t="s">
        <v>381</v>
      </c>
      <c r="G19" s="335" t="s">
        <v>381</v>
      </c>
      <c r="H19" s="335" t="s">
        <v>381</v>
      </c>
      <c r="I19" s="336" t="s">
        <v>381</v>
      </c>
      <c r="J19" s="337" t="s">
        <v>388</v>
      </c>
    </row>
    <row r="20" spans="1:10" ht="14.4" customHeight="1" x14ac:dyDescent="0.3">
      <c r="A20" s="333" t="s">
        <v>389</v>
      </c>
      <c r="B20" s="334" t="s">
        <v>390</v>
      </c>
      <c r="C20" s="335" t="s">
        <v>381</v>
      </c>
      <c r="D20" s="335" t="s">
        <v>381</v>
      </c>
      <c r="E20" s="335"/>
      <c r="F20" s="335" t="s">
        <v>381</v>
      </c>
      <c r="G20" s="335" t="s">
        <v>381</v>
      </c>
      <c r="H20" s="335" t="s">
        <v>381</v>
      </c>
      <c r="I20" s="336" t="s">
        <v>381</v>
      </c>
      <c r="J20" s="337" t="s">
        <v>0</v>
      </c>
    </row>
    <row r="21" spans="1:10" ht="14.4" customHeight="1" x14ac:dyDescent="0.3">
      <c r="A21" s="333" t="s">
        <v>389</v>
      </c>
      <c r="B21" s="334" t="s">
        <v>215</v>
      </c>
      <c r="C21" s="335">
        <v>16.690110000000001</v>
      </c>
      <c r="D21" s="335">
        <v>12.674520000000001</v>
      </c>
      <c r="E21" s="335"/>
      <c r="F21" s="335">
        <v>10.569009999999999</v>
      </c>
      <c r="G21" s="335">
        <v>13.887113062790332</v>
      </c>
      <c r="H21" s="335">
        <v>-3.3181030627903336</v>
      </c>
      <c r="I21" s="336">
        <v>0.76106602950609026</v>
      </c>
      <c r="J21" s="337" t="s">
        <v>1</v>
      </c>
    </row>
    <row r="22" spans="1:10" ht="14.4" customHeight="1" x14ac:dyDescent="0.3">
      <c r="A22" s="333" t="s">
        <v>389</v>
      </c>
      <c r="B22" s="334" t="s">
        <v>217</v>
      </c>
      <c r="C22" s="335">
        <v>0.35089999999999999</v>
      </c>
      <c r="D22" s="335" t="s">
        <v>381</v>
      </c>
      <c r="E22" s="335"/>
      <c r="F22" s="335" t="s">
        <v>381</v>
      </c>
      <c r="G22" s="335" t="s">
        <v>381</v>
      </c>
      <c r="H22" s="335" t="s">
        <v>381</v>
      </c>
      <c r="I22" s="336" t="s">
        <v>381</v>
      </c>
      <c r="J22" s="337" t="s">
        <v>1</v>
      </c>
    </row>
    <row r="23" spans="1:10" ht="14.4" customHeight="1" x14ac:dyDescent="0.3">
      <c r="A23" s="333" t="s">
        <v>389</v>
      </c>
      <c r="B23" s="334" t="s">
        <v>391</v>
      </c>
      <c r="C23" s="335">
        <v>17.04101</v>
      </c>
      <c r="D23" s="335">
        <v>12.674520000000001</v>
      </c>
      <c r="E23" s="335"/>
      <c r="F23" s="335">
        <v>10.569009999999999</v>
      </c>
      <c r="G23" s="335">
        <v>13.887113062790332</v>
      </c>
      <c r="H23" s="335">
        <v>-3.3181030627903336</v>
      </c>
      <c r="I23" s="336">
        <v>0.76106602950609026</v>
      </c>
      <c r="J23" s="337" t="s">
        <v>387</v>
      </c>
    </row>
    <row r="24" spans="1:10" ht="14.4" customHeight="1" x14ac:dyDescent="0.3">
      <c r="A24" s="333" t="s">
        <v>381</v>
      </c>
      <c r="B24" s="334" t="s">
        <v>381</v>
      </c>
      <c r="C24" s="335" t="s">
        <v>381</v>
      </c>
      <c r="D24" s="335" t="s">
        <v>381</v>
      </c>
      <c r="E24" s="335"/>
      <c r="F24" s="335" t="s">
        <v>381</v>
      </c>
      <c r="G24" s="335" t="s">
        <v>381</v>
      </c>
      <c r="H24" s="335" t="s">
        <v>381</v>
      </c>
      <c r="I24" s="336" t="s">
        <v>381</v>
      </c>
      <c r="J24" s="337" t="s">
        <v>388</v>
      </c>
    </row>
    <row r="25" spans="1:10" ht="14.4" customHeight="1" x14ac:dyDescent="0.3">
      <c r="A25" s="333" t="s">
        <v>379</v>
      </c>
      <c r="B25" s="334" t="s">
        <v>382</v>
      </c>
      <c r="C25" s="335">
        <v>470.75559000000004</v>
      </c>
      <c r="D25" s="335">
        <v>508.18867999999804</v>
      </c>
      <c r="E25" s="335"/>
      <c r="F25" s="335">
        <v>510.86978999999997</v>
      </c>
      <c r="G25" s="335">
        <v>521.38675657530473</v>
      </c>
      <c r="H25" s="335">
        <v>-10.516966575304764</v>
      </c>
      <c r="I25" s="336">
        <v>0.97982885747926396</v>
      </c>
      <c r="J25" s="337" t="s">
        <v>383</v>
      </c>
    </row>
  </sheetData>
  <mergeCells count="3">
    <mergeCell ref="F3:I3"/>
    <mergeCell ref="C4:D4"/>
    <mergeCell ref="A1:I1"/>
  </mergeCells>
  <conditionalFormatting sqref="F11 F26:F65537">
    <cfRule type="cellIs" dxfId="34" priority="18" stopIfTrue="1" operator="greaterThan">
      <formula>1</formula>
    </cfRule>
  </conditionalFormatting>
  <conditionalFormatting sqref="H5:H10">
    <cfRule type="expression" dxfId="33" priority="14">
      <formula>$H5&gt;0</formula>
    </cfRule>
  </conditionalFormatting>
  <conditionalFormatting sqref="I5:I10">
    <cfRule type="expression" dxfId="32" priority="15">
      <formula>$I5&gt;1</formula>
    </cfRule>
  </conditionalFormatting>
  <conditionalFormatting sqref="B5:B10">
    <cfRule type="expression" dxfId="31" priority="11">
      <formula>OR($J5="NS",$J5="SumaNS",$J5="Účet")</formula>
    </cfRule>
  </conditionalFormatting>
  <conditionalFormatting sqref="B5:D10 F5:I10">
    <cfRule type="expression" dxfId="30" priority="17">
      <formula>AND($J5&lt;&gt;"",$J5&lt;&gt;"mezeraKL")</formula>
    </cfRule>
  </conditionalFormatting>
  <conditionalFormatting sqref="B5:D10 F5:I10">
    <cfRule type="expression" dxfId="29" priority="12">
      <formula>OR($J5="KL",$J5="SumaKL")</formula>
    </cfRule>
    <cfRule type="expression" priority="16" stopIfTrue="1">
      <formula>OR($J5="mezeraNS",$J5="mezeraKL")</formula>
    </cfRule>
  </conditionalFormatting>
  <conditionalFormatting sqref="F5:I10 B5:D10">
    <cfRule type="expression" dxfId="28" priority="13">
      <formula>OR($J5="SumaNS",$J5="NS")</formula>
    </cfRule>
  </conditionalFormatting>
  <conditionalFormatting sqref="A5:A10">
    <cfRule type="expression" dxfId="27" priority="9">
      <formula>AND($J5&lt;&gt;"mezeraKL",$J5&lt;&gt;"")</formula>
    </cfRule>
  </conditionalFormatting>
  <conditionalFormatting sqref="A5:A10">
    <cfRule type="expression" dxfId="26" priority="10">
      <formula>AND($J5&lt;&gt;"",$J5&lt;&gt;"mezeraKL")</formula>
    </cfRule>
  </conditionalFormatting>
  <conditionalFormatting sqref="H12:H25">
    <cfRule type="expression" dxfId="25" priority="5">
      <formula>$H12&gt;0</formula>
    </cfRule>
  </conditionalFormatting>
  <conditionalFormatting sqref="A12:A25">
    <cfRule type="expression" dxfId="24" priority="2">
      <formula>AND($J12&lt;&gt;"mezeraKL",$J12&lt;&gt;"")</formula>
    </cfRule>
  </conditionalFormatting>
  <conditionalFormatting sqref="I12:I25">
    <cfRule type="expression" dxfId="23" priority="6">
      <formula>$I12&gt;1</formula>
    </cfRule>
  </conditionalFormatting>
  <conditionalFormatting sqref="B12:B25">
    <cfRule type="expression" dxfId="22" priority="1">
      <formula>OR($J12="NS",$J12="SumaNS",$J12="Účet")</formula>
    </cfRule>
  </conditionalFormatting>
  <conditionalFormatting sqref="A12:D25 F12:I25">
    <cfRule type="expression" dxfId="21" priority="8">
      <formula>AND($J12&lt;&gt;"",$J12&lt;&gt;"mezeraKL")</formula>
    </cfRule>
  </conditionalFormatting>
  <conditionalFormatting sqref="B12:D25 F12:I25">
    <cfRule type="expression" dxfId="20" priority="3">
      <formula>OR($J12="KL",$J12="SumaKL")</formula>
    </cfRule>
    <cfRule type="expression" priority="7" stopIfTrue="1">
      <formula>OR($J12="mezeraNS",$J12="mezeraKL")</formula>
    </cfRule>
  </conditionalFormatting>
  <conditionalFormatting sqref="B12:D25 F12:I25">
    <cfRule type="expression" dxfId="19" priority="4">
      <formula>OR($J12="SumaNS",$J12="NS")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43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96" hidden="1" customWidth="1" outlineLevel="1"/>
    <col min="2" max="2" width="28.33203125" style="96" hidden="1" customWidth="1" outlineLevel="1"/>
    <col min="3" max="3" width="5.33203125" style="165" bestFit="1" customWidth="1" collapsed="1"/>
    <col min="4" max="4" width="18.77734375" style="169" customWidth="1"/>
    <col min="5" max="5" width="9" style="165" bestFit="1" customWidth="1"/>
    <col min="6" max="6" width="18.77734375" style="169" customWidth="1"/>
    <col min="7" max="7" width="5" style="165" customWidth="1"/>
    <col min="8" max="8" width="12.44140625" style="165" hidden="1" customWidth="1" outlineLevel="1"/>
    <col min="9" max="9" width="8.5546875" style="165" hidden="1" customWidth="1" outlineLevel="1"/>
    <col min="10" max="10" width="25.77734375" style="165" customWidth="1" collapsed="1"/>
    <col min="11" max="11" width="8.77734375" style="165" customWidth="1"/>
    <col min="12" max="13" width="7.77734375" style="163" customWidth="1"/>
    <col min="14" max="14" width="11.109375" style="163" customWidth="1"/>
    <col min="15" max="16384" width="8.88671875" style="96"/>
  </cols>
  <sheetData>
    <row r="1" spans="1:14" ht="18.600000000000001" customHeight="1" thickBot="1" x14ac:dyDescent="0.4">
      <c r="A1" s="294" t="s">
        <v>94</v>
      </c>
      <c r="B1" s="259"/>
      <c r="C1" s="259"/>
      <c r="D1" s="259"/>
      <c r="E1" s="259"/>
      <c r="F1" s="259"/>
      <c r="G1" s="259"/>
      <c r="H1" s="259"/>
      <c r="I1" s="259"/>
      <c r="J1" s="259"/>
      <c r="K1" s="259"/>
      <c r="L1" s="259"/>
      <c r="M1" s="259"/>
      <c r="N1" s="259"/>
    </row>
    <row r="2" spans="1:14" ht="14.4" customHeight="1" thickBot="1" x14ac:dyDescent="0.35">
      <c r="A2" s="175" t="s">
        <v>205</v>
      </c>
      <c r="B2" s="57"/>
      <c r="C2" s="167"/>
      <c r="D2" s="167"/>
      <c r="E2" s="167"/>
      <c r="F2" s="167"/>
      <c r="G2" s="167"/>
      <c r="H2" s="167"/>
      <c r="I2" s="167"/>
      <c r="J2" s="167"/>
      <c r="K2" s="167"/>
      <c r="L2" s="168"/>
      <c r="M2" s="168"/>
      <c r="N2" s="168"/>
    </row>
    <row r="3" spans="1:14" ht="14.4" customHeight="1" thickBot="1" x14ac:dyDescent="0.35">
      <c r="A3" s="57"/>
      <c r="B3" s="57"/>
      <c r="C3" s="290"/>
      <c r="D3" s="291"/>
      <c r="E3" s="291"/>
      <c r="F3" s="291"/>
      <c r="G3" s="291"/>
      <c r="H3" s="291"/>
      <c r="I3" s="291"/>
      <c r="J3" s="292" t="s">
        <v>75</v>
      </c>
      <c r="K3" s="293"/>
      <c r="L3" s="71">
        <f>IF(M3&lt;&gt;0,N3/M3,0)</f>
        <v>168.87253208696194</v>
      </c>
      <c r="M3" s="71">
        <f>SUBTOTAL(9,M5:M1048576)</f>
        <v>2367.9</v>
      </c>
      <c r="N3" s="72">
        <f>SUBTOTAL(9,N5:N1048576)</f>
        <v>399873.26872871717</v>
      </c>
    </row>
    <row r="4" spans="1:14" s="164" customFormat="1" ht="14.4" customHeight="1" thickBot="1" x14ac:dyDescent="0.35">
      <c r="A4" s="338" t="s">
        <v>3</v>
      </c>
      <c r="B4" s="339" t="s">
        <v>4</v>
      </c>
      <c r="C4" s="339" t="s">
        <v>0</v>
      </c>
      <c r="D4" s="339" t="s">
        <v>5</v>
      </c>
      <c r="E4" s="339" t="s">
        <v>6</v>
      </c>
      <c r="F4" s="339" t="s">
        <v>1</v>
      </c>
      <c r="G4" s="339" t="s">
        <v>7</v>
      </c>
      <c r="H4" s="339" t="s">
        <v>8</v>
      </c>
      <c r="I4" s="339" t="s">
        <v>9</v>
      </c>
      <c r="J4" s="340" t="s">
        <v>10</v>
      </c>
      <c r="K4" s="340" t="s">
        <v>11</v>
      </c>
      <c r="L4" s="341" t="s">
        <v>81</v>
      </c>
      <c r="M4" s="341" t="s">
        <v>12</v>
      </c>
      <c r="N4" s="342" t="s">
        <v>89</v>
      </c>
    </row>
    <row r="5" spans="1:14" ht="14.4" customHeight="1" x14ac:dyDescent="0.3">
      <c r="A5" s="343" t="s">
        <v>379</v>
      </c>
      <c r="B5" s="344" t="s">
        <v>500</v>
      </c>
      <c r="C5" s="345" t="s">
        <v>384</v>
      </c>
      <c r="D5" s="346" t="s">
        <v>501</v>
      </c>
      <c r="E5" s="345" t="s">
        <v>392</v>
      </c>
      <c r="F5" s="346" t="s">
        <v>504</v>
      </c>
      <c r="G5" s="345" t="s">
        <v>393</v>
      </c>
      <c r="H5" s="345" t="s">
        <v>394</v>
      </c>
      <c r="I5" s="345" t="s">
        <v>395</v>
      </c>
      <c r="J5" s="345" t="s">
        <v>396</v>
      </c>
      <c r="K5" s="345" t="s">
        <v>397</v>
      </c>
      <c r="L5" s="347">
        <v>86.709911152737348</v>
      </c>
      <c r="M5" s="347">
        <v>18</v>
      </c>
      <c r="N5" s="348">
        <v>1560.7784007492724</v>
      </c>
    </row>
    <row r="6" spans="1:14" ht="14.4" customHeight="1" x14ac:dyDescent="0.3">
      <c r="A6" s="349" t="s">
        <v>379</v>
      </c>
      <c r="B6" s="350" t="s">
        <v>500</v>
      </c>
      <c r="C6" s="351" t="s">
        <v>384</v>
      </c>
      <c r="D6" s="352" t="s">
        <v>501</v>
      </c>
      <c r="E6" s="351" t="s">
        <v>392</v>
      </c>
      <c r="F6" s="352" t="s">
        <v>504</v>
      </c>
      <c r="G6" s="351" t="s">
        <v>393</v>
      </c>
      <c r="H6" s="351" t="s">
        <v>398</v>
      </c>
      <c r="I6" s="351" t="s">
        <v>399</v>
      </c>
      <c r="J6" s="351" t="s">
        <v>400</v>
      </c>
      <c r="K6" s="351" t="s">
        <v>401</v>
      </c>
      <c r="L6" s="353">
        <v>170.2101327896786</v>
      </c>
      <c r="M6" s="353">
        <v>44</v>
      </c>
      <c r="N6" s="354">
        <v>7489.2458427458587</v>
      </c>
    </row>
    <row r="7" spans="1:14" ht="14.4" customHeight="1" x14ac:dyDescent="0.3">
      <c r="A7" s="349" t="s">
        <v>379</v>
      </c>
      <c r="B7" s="350" t="s">
        <v>500</v>
      </c>
      <c r="C7" s="351" t="s">
        <v>384</v>
      </c>
      <c r="D7" s="352" t="s">
        <v>501</v>
      </c>
      <c r="E7" s="351" t="s">
        <v>392</v>
      </c>
      <c r="F7" s="352" t="s">
        <v>504</v>
      </c>
      <c r="G7" s="351" t="s">
        <v>393</v>
      </c>
      <c r="H7" s="351" t="s">
        <v>402</v>
      </c>
      <c r="I7" s="351" t="s">
        <v>403</v>
      </c>
      <c r="J7" s="351" t="s">
        <v>404</v>
      </c>
      <c r="K7" s="351" t="s">
        <v>405</v>
      </c>
      <c r="L7" s="353">
        <v>58.97</v>
      </c>
      <c r="M7" s="353">
        <v>6</v>
      </c>
      <c r="N7" s="354">
        <v>353.82</v>
      </c>
    </row>
    <row r="8" spans="1:14" ht="14.4" customHeight="1" x14ac:dyDescent="0.3">
      <c r="A8" s="349" t="s">
        <v>379</v>
      </c>
      <c r="B8" s="350" t="s">
        <v>500</v>
      </c>
      <c r="C8" s="351" t="s">
        <v>384</v>
      </c>
      <c r="D8" s="352" t="s">
        <v>501</v>
      </c>
      <c r="E8" s="351" t="s">
        <v>392</v>
      </c>
      <c r="F8" s="352" t="s">
        <v>504</v>
      </c>
      <c r="G8" s="351" t="s">
        <v>393</v>
      </c>
      <c r="H8" s="351" t="s">
        <v>406</v>
      </c>
      <c r="I8" s="351" t="s">
        <v>407</v>
      </c>
      <c r="J8" s="351" t="s">
        <v>408</v>
      </c>
      <c r="K8" s="351" t="s">
        <v>409</v>
      </c>
      <c r="L8" s="353">
        <v>75.132552303895011</v>
      </c>
      <c r="M8" s="353">
        <v>50</v>
      </c>
      <c r="N8" s="354">
        <v>3756.6276151947509</v>
      </c>
    </row>
    <row r="9" spans="1:14" ht="14.4" customHeight="1" x14ac:dyDescent="0.3">
      <c r="A9" s="349" t="s">
        <v>379</v>
      </c>
      <c r="B9" s="350" t="s">
        <v>500</v>
      </c>
      <c r="C9" s="351" t="s">
        <v>384</v>
      </c>
      <c r="D9" s="352" t="s">
        <v>501</v>
      </c>
      <c r="E9" s="351" t="s">
        <v>392</v>
      </c>
      <c r="F9" s="352" t="s">
        <v>504</v>
      </c>
      <c r="G9" s="351" t="s">
        <v>393</v>
      </c>
      <c r="H9" s="351" t="s">
        <v>410</v>
      </c>
      <c r="I9" s="351" t="s">
        <v>117</v>
      </c>
      <c r="J9" s="351" t="s">
        <v>411</v>
      </c>
      <c r="K9" s="351"/>
      <c r="L9" s="353">
        <v>643.27018432068621</v>
      </c>
      <c r="M9" s="353">
        <v>34</v>
      </c>
      <c r="N9" s="354">
        <v>21871.186266903333</v>
      </c>
    </row>
    <row r="10" spans="1:14" ht="14.4" customHeight="1" x14ac:dyDescent="0.3">
      <c r="A10" s="349" t="s">
        <v>379</v>
      </c>
      <c r="B10" s="350" t="s">
        <v>500</v>
      </c>
      <c r="C10" s="351" t="s">
        <v>384</v>
      </c>
      <c r="D10" s="352" t="s">
        <v>501</v>
      </c>
      <c r="E10" s="351" t="s">
        <v>392</v>
      </c>
      <c r="F10" s="352" t="s">
        <v>504</v>
      </c>
      <c r="G10" s="351" t="s">
        <v>393</v>
      </c>
      <c r="H10" s="351" t="s">
        <v>412</v>
      </c>
      <c r="I10" s="351" t="s">
        <v>413</v>
      </c>
      <c r="J10" s="351" t="s">
        <v>414</v>
      </c>
      <c r="K10" s="351"/>
      <c r="L10" s="353">
        <v>218.178</v>
      </c>
      <c r="M10" s="353">
        <v>2</v>
      </c>
      <c r="N10" s="354">
        <v>436.35599999999999</v>
      </c>
    </row>
    <row r="11" spans="1:14" ht="14.4" customHeight="1" x14ac:dyDescent="0.3">
      <c r="A11" s="349" t="s">
        <v>379</v>
      </c>
      <c r="B11" s="350" t="s">
        <v>500</v>
      </c>
      <c r="C11" s="351" t="s">
        <v>384</v>
      </c>
      <c r="D11" s="352" t="s">
        <v>501</v>
      </c>
      <c r="E11" s="351" t="s">
        <v>392</v>
      </c>
      <c r="F11" s="352" t="s">
        <v>504</v>
      </c>
      <c r="G11" s="351" t="s">
        <v>393</v>
      </c>
      <c r="H11" s="351" t="s">
        <v>415</v>
      </c>
      <c r="I11" s="351" t="s">
        <v>416</v>
      </c>
      <c r="J11" s="351" t="s">
        <v>417</v>
      </c>
      <c r="K11" s="351"/>
      <c r="L11" s="353">
        <v>527.84989130212</v>
      </c>
      <c r="M11" s="353">
        <v>15</v>
      </c>
      <c r="N11" s="354">
        <v>7917.7483695317997</v>
      </c>
    </row>
    <row r="12" spans="1:14" ht="14.4" customHeight="1" x14ac:dyDescent="0.3">
      <c r="A12" s="349" t="s">
        <v>379</v>
      </c>
      <c r="B12" s="350" t="s">
        <v>500</v>
      </c>
      <c r="C12" s="351" t="s">
        <v>384</v>
      </c>
      <c r="D12" s="352" t="s">
        <v>501</v>
      </c>
      <c r="E12" s="351" t="s">
        <v>392</v>
      </c>
      <c r="F12" s="352" t="s">
        <v>504</v>
      </c>
      <c r="G12" s="351" t="s">
        <v>393</v>
      </c>
      <c r="H12" s="351" t="s">
        <v>418</v>
      </c>
      <c r="I12" s="351" t="s">
        <v>419</v>
      </c>
      <c r="J12" s="351" t="s">
        <v>420</v>
      </c>
      <c r="K12" s="351" t="s">
        <v>421</v>
      </c>
      <c r="L12" s="353">
        <v>23.078049171772179</v>
      </c>
      <c r="M12" s="353">
        <v>12</v>
      </c>
      <c r="N12" s="354">
        <v>276.93659006126614</v>
      </c>
    </row>
    <row r="13" spans="1:14" ht="14.4" customHeight="1" x14ac:dyDescent="0.3">
      <c r="A13" s="349" t="s">
        <v>379</v>
      </c>
      <c r="B13" s="350" t="s">
        <v>500</v>
      </c>
      <c r="C13" s="351" t="s">
        <v>384</v>
      </c>
      <c r="D13" s="352" t="s">
        <v>501</v>
      </c>
      <c r="E13" s="351" t="s">
        <v>392</v>
      </c>
      <c r="F13" s="352" t="s">
        <v>504</v>
      </c>
      <c r="G13" s="351" t="s">
        <v>393</v>
      </c>
      <c r="H13" s="351" t="s">
        <v>422</v>
      </c>
      <c r="I13" s="351" t="s">
        <v>117</v>
      </c>
      <c r="J13" s="351" t="s">
        <v>423</v>
      </c>
      <c r="K13" s="351"/>
      <c r="L13" s="353">
        <v>102.47738750026481</v>
      </c>
      <c r="M13" s="353">
        <v>79</v>
      </c>
      <c r="N13" s="354">
        <v>8095.7136125209199</v>
      </c>
    </row>
    <row r="14" spans="1:14" ht="14.4" customHeight="1" x14ac:dyDescent="0.3">
      <c r="A14" s="349" t="s">
        <v>379</v>
      </c>
      <c r="B14" s="350" t="s">
        <v>500</v>
      </c>
      <c r="C14" s="351" t="s">
        <v>384</v>
      </c>
      <c r="D14" s="352" t="s">
        <v>501</v>
      </c>
      <c r="E14" s="351" t="s">
        <v>392</v>
      </c>
      <c r="F14" s="352" t="s">
        <v>504</v>
      </c>
      <c r="G14" s="351" t="s">
        <v>393</v>
      </c>
      <c r="H14" s="351" t="s">
        <v>424</v>
      </c>
      <c r="I14" s="351" t="s">
        <v>425</v>
      </c>
      <c r="J14" s="351" t="s">
        <v>426</v>
      </c>
      <c r="K14" s="351" t="s">
        <v>427</v>
      </c>
      <c r="L14" s="353">
        <v>109.07431413314532</v>
      </c>
      <c r="M14" s="353">
        <v>14</v>
      </c>
      <c r="N14" s="354">
        <v>1527.0403978640345</v>
      </c>
    </row>
    <row r="15" spans="1:14" ht="14.4" customHeight="1" x14ac:dyDescent="0.3">
      <c r="A15" s="349" t="s">
        <v>379</v>
      </c>
      <c r="B15" s="350" t="s">
        <v>500</v>
      </c>
      <c r="C15" s="351" t="s">
        <v>384</v>
      </c>
      <c r="D15" s="352" t="s">
        <v>501</v>
      </c>
      <c r="E15" s="351" t="s">
        <v>392</v>
      </c>
      <c r="F15" s="352" t="s">
        <v>504</v>
      </c>
      <c r="G15" s="351" t="s">
        <v>393</v>
      </c>
      <c r="H15" s="351" t="s">
        <v>428</v>
      </c>
      <c r="I15" s="351" t="s">
        <v>117</v>
      </c>
      <c r="J15" s="351" t="s">
        <v>429</v>
      </c>
      <c r="K15" s="351" t="s">
        <v>430</v>
      </c>
      <c r="L15" s="353">
        <v>23.7</v>
      </c>
      <c r="M15" s="353">
        <v>36</v>
      </c>
      <c r="N15" s="354">
        <v>853.19999999999993</v>
      </c>
    </row>
    <row r="16" spans="1:14" ht="14.4" customHeight="1" x14ac:dyDescent="0.3">
      <c r="A16" s="349" t="s">
        <v>379</v>
      </c>
      <c r="B16" s="350" t="s">
        <v>500</v>
      </c>
      <c r="C16" s="351" t="s">
        <v>384</v>
      </c>
      <c r="D16" s="352" t="s">
        <v>501</v>
      </c>
      <c r="E16" s="351" t="s">
        <v>392</v>
      </c>
      <c r="F16" s="352" t="s">
        <v>504</v>
      </c>
      <c r="G16" s="351" t="s">
        <v>393</v>
      </c>
      <c r="H16" s="351" t="s">
        <v>431</v>
      </c>
      <c r="I16" s="351" t="s">
        <v>431</v>
      </c>
      <c r="J16" s="351" t="s">
        <v>432</v>
      </c>
      <c r="K16" s="351" t="s">
        <v>433</v>
      </c>
      <c r="L16" s="353">
        <v>237.1</v>
      </c>
      <c r="M16" s="353">
        <v>2</v>
      </c>
      <c r="N16" s="354">
        <v>474.2</v>
      </c>
    </row>
    <row r="17" spans="1:14" ht="14.4" customHeight="1" x14ac:dyDescent="0.3">
      <c r="A17" s="349" t="s">
        <v>379</v>
      </c>
      <c r="B17" s="350" t="s">
        <v>500</v>
      </c>
      <c r="C17" s="351" t="s">
        <v>384</v>
      </c>
      <c r="D17" s="352" t="s">
        <v>501</v>
      </c>
      <c r="E17" s="351" t="s">
        <v>392</v>
      </c>
      <c r="F17" s="352" t="s">
        <v>504</v>
      </c>
      <c r="G17" s="351" t="s">
        <v>393</v>
      </c>
      <c r="H17" s="351" t="s">
        <v>434</v>
      </c>
      <c r="I17" s="351" t="s">
        <v>435</v>
      </c>
      <c r="J17" s="351" t="s">
        <v>436</v>
      </c>
      <c r="K17" s="351" t="s">
        <v>437</v>
      </c>
      <c r="L17" s="353">
        <v>53.12</v>
      </c>
      <c r="M17" s="353">
        <v>2</v>
      </c>
      <c r="N17" s="354">
        <v>106.24</v>
      </c>
    </row>
    <row r="18" spans="1:14" ht="14.4" customHeight="1" x14ac:dyDescent="0.3">
      <c r="A18" s="349" t="s">
        <v>379</v>
      </c>
      <c r="B18" s="350" t="s">
        <v>500</v>
      </c>
      <c r="C18" s="351" t="s">
        <v>384</v>
      </c>
      <c r="D18" s="352" t="s">
        <v>501</v>
      </c>
      <c r="E18" s="351" t="s">
        <v>392</v>
      </c>
      <c r="F18" s="352" t="s">
        <v>504</v>
      </c>
      <c r="G18" s="351" t="s">
        <v>393</v>
      </c>
      <c r="H18" s="351" t="s">
        <v>438</v>
      </c>
      <c r="I18" s="351" t="s">
        <v>439</v>
      </c>
      <c r="J18" s="351" t="s">
        <v>440</v>
      </c>
      <c r="K18" s="351" t="s">
        <v>441</v>
      </c>
      <c r="L18" s="353">
        <v>48.329840683515421</v>
      </c>
      <c r="M18" s="353">
        <v>20</v>
      </c>
      <c r="N18" s="354">
        <v>966.59681367030839</v>
      </c>
    </row>
    <row r="19" spans="1:14" ht="14.4" customHeight="1" x14ac:dyDescent="0.3">
      <c r="A19" s="349" t="s">
        <v>379</v>
      </c>
      <c r="B19" s="350" t="s">
        <v>500</v>
      </c>
      <c r="C19" s="351" t="s">
        <v>384</v>
      </c>
      <c r="D19" s="352" t="s">
        <v>501</v>
      </c>
      <c r="E19" s="351" t="s">
        <v>392</v>
      </c>
      <c r="F19" s="352" t="s">
        <v>504</v>
      </c>
      <c r="G19" s="351" t="s">
        <v>393</v>
      </c>
      <c r="H19" s="351" t="s">
        <v>442</v>
      </c>
      <c r="I19" s="351" t="s">
        <v>117</v>
      </c>
      <c r="J19" s="351" t="s">
        <v>443</v>
      </c>
      <c r="K19" s="351" t="s">
        <v>444</v>
      </c>
      <c r="L19" s="353">
        <v>96.451731355517708</v>
      </c>
      <c r="M19" s="353">
        <v>60</v>
      </c>
      <c r="N19" s="354">
        <v>5787.1038813310624</v>
      </c>
    </row>
    <row r="20" spans="1:14" ht="14.4" customHeight="1" x14ac:dyDescent="0.3">
      <c r="A20" s="349" t="s">
        <v>379</v>
      </c>
      <c r="B20" s="350" t="s">
        <v>500</v>
      </c>
      <c r="C20" s="351" t="s">
        <v>384</v>
      </c>
      <c r="D20" s="352" t="s">
        <v>501</v>
      </c>
      <c r="E20" s="351" t="s">
        <v>392</v>
      </c>
      <c r="F20" s="352" t="s">
        <v>504</v>
      </c>
      <c r="G20" s="351" t="s">
        <v>393</v>
      </c>
      <c r="H20" s="351" t="s">
        <v>445</v>
      </c>
      <c r="I20" s="351" t="s">
        <v>446</v>
      </c>
      <c r="J20" s="351" t="s">
        <v>447</v>
      </c>
      <c r="K20" s="351" t="s">
        <v>448</v>
      </c>
      <c r="L20" s="353">
        <v>210.45</v>
      </c>
      <c r="M20" s="353">
        <v>503.90000000000003</v>
      </c>
      <c r="N20" s="354">
        <v>106045.755</v>
      </c>
    </row>
    <row r="21" spans="1:14" ht="14.4" customHeight="1" x14ac:dyDescent="0.3">
      <c r="A21" s="349" t="s">
        <v>379</v>
      </c>
      <c r="B21" s="350" t="s">
        <v>500</v>
      </c>
      <c r="C21" s="351" t="s">
        <v>384</v>
      </c>
      <c r="D21" s="352" t="s">
        <v>501</v>
      </c>
      <c r="E21" s="351" t="s">
        <v>392</v>
      </c>
      <c r="F21" s="352" t="s">
        <v>504</v>
      </c>
      <c r="G21" s="351" t="s">
        <v>393</v>
      </c>
      <c r="H21" s="351" t="s">
        <v>449</v>
      </c>
      <c r="I21" s="351" t="s">
        <v>450</v>
      </c>
      <c r="J21" s="351" t="s">
        <v>451</v>
      </c>
      <c r="K21" s="351"/>
      <c r="L21" s="353">
        <v>264.47706608630801</v>
      </c>
      <c r="M21" s="353">
        <v>92</v>
      </c>
      <c r="N21" s="354">
        <v>24331.890079940338</v>
      </c>
    </row>
    <row r="22" spans="1:14" ht="14.4" customHeight="1" x14ac:dyDescent="0.3">
      <c r="A22" s="349" t="s">
        <v>379</v>
      </c>
      <c r="B22" s="350" t="s">
        <v>500</v>
      </c>
      <c r="C22" s="351" t="s">
        <v>384</v>
      </c>
      <c r="D22" s="352" t="s">
        <v>501</v>
      </c>
      <c r="E22" s="351" t="s">
        <v>392</v>
      </c>
      <c r="F22" s="352" t="s">
        <v>504</v>
      </c>
      <c r="G22" s="351" t="s">
        <v>393</v>
      </c>
      <c r="H22" s="351" t="s">
        <v>452</v>
      </c>
      <c r="I22" s="351" t="s">
        <v>453</v>
      </c>
      <c r="J22" s="351" t="s">
        <v>454</v>
      </c>
      <c r="K22" s="351" t="s">
        <v>455</v>
      </c>
      <c r="L22" s="353">
        <v>291.66363978879048</v>
      </c>
      <c r="M22" s="353">
        <v>39</v>
      </c>
      <c r="N22" s="354">
        <v>11374.881951762829</v>
      </c>
    </row>
    <row r="23" spans="1:14" ht="14.4" customHeight="1" x14ac:dyDescent="0.3">
      <c r="A23" s="349" t="s">
        <v>379</v>
      </c>
      <c r="B23" s="350" t="s">
        <v>500</v>
      </c>
      <c r="C23" s="351" t="s">
        <v>384</v>
      </c>
      <c r="D23" s="352" t="s">
        <v>501</v>
      </c>
      <c r="E23" s="351" t="s">
        <v>392</v>
      </c>
      <c r="F23" s="352" t="s">
        <v>504</v>
      </c>
      <c r="G23" s="351" t="s">
        <v>393</v>
      </c>
      <c r="H23" s="351" t="s">
        <v>456</v>
      </c>
      <c r="I23" s="351" t="s">
        <v>457</v>
      </c>
      <c r="J23" s="351" t="s">
        <v>458</v>
      </c>
      <c r="K23" s="351"/>
      <c r="L23" s="353">
        <v>150.58085598625519</v>
      </c>
      <c r="M23" s="353">
        <v>11</v>
      </c>
      <c r="N23" s="354">
        <v>1656.3894158488069</v>
      </c>
    </row>
    <row r="24" spans="1:14" ht="14.4" customHeight="1" x14ac:dyDescent="0.3">
      <c r="A24" s="349" t="s">
        <v>379</v>
      </c>
      <c r="B24" s="350" t="s">
        <v>500</v>
      </c>
      <c r="C24" s="351" t="s">
        <v>384</v>
      </c>
      <c r="D24" s="352" t="s">
        <v>501</v>
      </c>
      <c r="E24" s="351" t="s">
        <v>392</v>
      </c>
      <c r="F24" s="352" t="s">
        <v>504</v>
      </c>
      <c r="G24" s="351" t="s">
        <v>393</v>
      </c>
      <c r="H24" s="351" t="s">
        <v>459</v>
      </c>
      <c r="I24" s="351" t="s">
        <v>117</v>
      </c>
      <c r="J24" s="351" t="s">
        <v>460</v>
      </c>
      <c r="K24" s="351"/>
      <c r="L24" s="353">
        <v>512.00778329220623</v>
      </c>
      <c r="M24" s="353">
        <v>144</v>
      </c>
      <c r="N24" s="354">
        <v>73729.120794077695</v>
      </c>
    </row>
    <row r="25" spans="1:14" ht="14.4" customHeight="1" x14ac:dyDescent="0.3">
      <c r="A25" s="349" t="s">
        <v>379</v>
      </c>
      <c r="B25" s="350" t="s">
        <v>500</v>
      </c>
      <c r="C25" s="351" t="s">
        <v>384</v>
      </c>
      <c r="D25" s="352" t="s">
        <v>501</v>
      </c>
      <c r="E25" s="351" t="s">
        <v>392</v>
      </c>
      <c r="F25" s="352" t="s">
        <v>504</v>
      </c>
      <c r="G25" s="351" t="s">
        <v>393</v>
      </c>
      <c r="H25" s="351" t="s">
        <v>461</v>
      </c>
      <c r="I25" s="351" t="s">
        <v>117</v>
      </c>
      <c r="J25" s="351" t="s">
        <v>462</v>
      </c>
      <c r="K25" s="351"/>
      <c r="L25" s="353">
        <v>59.973501046660068</v>
      </c>
      <c r="M25" s="353">
        <v>47</v>
      </c>
      <c r="N25" s="354">
        <v>2818.7545491930232</v>
      </c>
    </row>
    <row r="26" spans="1:14" ht="14.4" customHeight="1" x14ac:dyDescent="0.3">
      <c r="A26" s="349" t="s">
        <v>379</v>
      </c>
      <c r="B26" s="350" t="s">
        <v>500</v>
      </c>
      <c r="C26" s="351" t="s">
        <v>384</v>
      </c>
      <c r="D26" s="352" t="s">
        <v>501</v>
      </c>
      <c r="E26" s="351" t="s">
        <v>392</v>
      </c>
      <c r="F26" s="352" t="s">
        <v>504</v>
      </c>
      <c r="G26" s="351" t="s">
        <v>393</v>
      </c>
      <c r="H26" s="351" t="s">
        <v>463</v>
      </c>
      <c r="I26" s="351" t="s">
        <v>117</v>
      </c>
      <c r="J26" s="351" t="s">
        <v>464</v>
      </c>
      <c r="K26" s="351"/>
      <c r="L26" s="353">
        <v>78.479987074694762</v>
      </c>
      <c r="M26" s="353">
        <v>3</v>
      </c>
      <c r="N26" s="354">
        <v>235.4399612240843</v>
      </c>
    </row>
    <row r="27" spans="1:14" ht="14.4" customHeight="1" x14ac:dyDescent="0.3">
      <c r="A27" s="349" t="s">
        <v>379</v>
      </c>
      <c r="B27" s="350" t="s">
        <v>500</v>
      </c>
      <c r="C27" s="351" t="s">
        <v>384</v>
      </c>
      <c r="D27" s="352" t="s">
        <v>501</v>
      </c>
      <c r="E27" s="351" t="s">
        <v>392</v>
      </c>
      <c r="F27" s="352" t="s">
        <v>504</v>
      </c>
      <c r="G27" s="351" t="s">
        <v>393</v>
      </c>
      <c r="H27" s="351" t="s">
        <v>465</v>
      </c>
      <c r="I27" s="351" t="s">
        <v>117</v>
      </c>
      <c r="J27" s="351" t="s">
        <v>466</v>
      </c>
      <c r="K27" s="351" t="s">
        <v>467</v>
      </c>
      <c r="L27" s="353">
        <v>83.309999999999974</v>
      </c>
      <c r="M27" s="353">
        <v>956</v>
      </c>
      <c r="N27" s="354">
        <v>79644.359999999971</v>
      </c>
    </row>
    <row r="28" spans="1:14" ht="14.4" customHeight="1" x14ac:dyDescent="0.3">
      <c r="A28" s="349" t="s">
        <v>379</v>
      </c>
      <c r="B28" s="350" t="s">
        <v>500</v>
      </c>
      <c r="C28" s="351" t="s">
        <v>384</v>
      </c>
      <c r="D28" s="352" t="s">
        <v>501</v>
      </c>
      <c r="E28" s="351" t="s">
        <v>392</v>
      </c>
      <c r="F28" s="352" t="s">
        <v>504</v>
      </c>
      <c r="G28" s="351" t="s">
        <v>393</v>
      </c>
      <c r="H28" s="351" t="s">
        <v>468</v>
      </c>
      <c r="I28" s="351" t="s">
        <v>117</v>
      </c>
      <c r="J28" s="351" t="s">
        <v>469</v>
      </c>
      <c r="K28" s="351"/>
      <c r="L28" s="353">
        <v>77.128791243877615</v>
      </c>
      <c r="M28" s="353">
        <v>10</v>
      </c>
      <c r="N28" s="354">
        <v>771.28791243877617</v>
      </c>
    </row>
    <row r="29" spans="1:14" ht="14.4" customHeight="1" x14ac:dyDescent="0.3">
      <c r="A29" s="349" t="s">
        <v>379</v>
      </c>
      <c r="B29" s="350" t="s">
        <v>500</v>
      </c>
      <c r="C29" s="351" t="s">
        <v>384</v>
      </c>
      <c r="D29" s="352" t="s">
        <v>501</v>
      </c>
      <c r="E29" s="351" t="s">
        <v>392</v>
      </c>
      <c r="F29" s="352" t="s">
        <v>504</v>
      </c>
      <c r="G29" s="351" t="s">
        <v>393</v>
      </c>
      <c r="H29" s="351" t="s">
        <v>470</v>
      </c>
      <c r="I29" s="351" t="s">
        <v>471</v>
      </c>
      <c r="J29" s="351" t="s">
        <v>472</v>
      </c>
      <c r="K29" s="351" t="s">
        <v>473</v>
      </c>
      <c r="L29" s="353">
        <v>525.75963831249567</v>
      </c>
      <c r="M29" s="353">
        <v>6</v>
      </c>
      <c r="N29" s="354">
        <v>3154.5578298749742</v>
      </c>
    </row>
    <row r="30" spans="1:14" ht="14.4" customHeight="1" x14ac:dyDescent="0.3">
      <c r="A30" s="349" t="s">
        <v>379</v>
      </c>
      <c r="B30" s="350" t="s">
        <v>500</v>
      </c>
      <c r="C30" s="351" t="s">
        <v>384</v>
      </c>
      <c r="D30" s="352" t="s">
        <v>501</v>
      </c>
      <c r="E30" s="351" t="s">
        <v>392</v>
      </c>
      <c r="F30" s="352" t="s">
        <v>504</v>
      </c>
      <c r="G30" s="351" t="s">
        <v>393</v>
      </c>
      <c r="H30" s="351" t="s">
        <v>474</v>
      </c>
      <c r="I30" s="351" t="s">
        <v>117</v>
      </c>
      <c r="J30" s="351" t="s">
        <v>475</v>
      </c>
      <c r="K30" s="351" t="s">
        <v>476</v>
      </c>
      <c r="L30" s="353">
        <v>42.166114712747003</v>
      </c>
      <c r="M30" s="353">
        <v>5</v>
      </c>
      <c r="N30" s="354">
        <v>210.83057356373502</v>
      </c>
    </row>
    <row r="31" spans="1:14" ht="14.4" customHeight="1" x14ac:dyDescent="0.3">
      <c r="A31" s="349" t="s">
        <v>379</v>
      </c>
      <c r="B31" s="350" t="s">
        <v>500</v>
      </c>
      <c r="C31" s="351" t="s">
        <v>384</v>
      </c>
      <c r="D31" s="352" t="s">
        <v>501</v>
      </c>
      <c r="E31" s="351" t="s">
        <v>392</v>
      </c>
      <c r="F31" s="352" t="s">
        <v>504</v>
      </c>
      <c r="G31" s="351" t="s">
        <v>393</v>
      </c>
      <c r="H31" s="351" t="s">
        <v>477</v>
      </c>
      <c r="I31" s="351" t="s">
        <v>117</v>
      </c>
      <c r="J31" s="351" t="s">
        <v>478</v>
      </c>
      <c r="K31" s="351"/>
      <c r="L31" s="353">
        <v>908.92997561634934</v>
      </c>
      <c r="M31" s="353">
        <v>19</v>
      </c>
      <c r="N31" s="354">
        <v>17269.669536710637</v>
      </c>
    </row>
    <row r="32" spans="1:14" ht="14.4" customHeight="1" x14ac:dyDescent="0.3">
      <c r="A32" s="349" t="s">
        <v>379</v>
      </c>
      <c r="B32" s="350" t="s">
        <v>500</v>
      </c>
      <c r="C32" s="351" t="s">
        <v>384</v>
      </c>
      <c r="D32" s="352" t="s">
        <v>501</v>
      </c>
      <c r="E32" s="351" t="s">
        <v>392</v>
      </c>
      <c r="F32" s="352" t="s">
        <v>504</v>
      </c>
      <c r="G32" s="351" t="s">
        <v>393</v>
      </c>
      <c r="H32" s="351" t="s">
        <v>479</v>
      </c>
      <c r="I32" s="351" t="s">
        <v>479</v>
      </c>
      <c r="J32" s="351" t="s">
        <v>404</v>
      </c>
      <c r="K32" s="351" t="s">
        <v>480</v>
      </c>
      <c r="L32" s="353">
        <v>60.006248361738493</v>
      </c>
      <c r="M32" s="353">
        <v>14</v>
      </c>
      <c r="N32" s="354">
        <v>840.08747706433894</v>
      </c>
    </row>
    <row r="33" spans="1:14" ht="14.4" customHeight="1" x14ac:dyDescent="0.3">
      <c r="A33" s="349" t="s">
        <v>379</v>
      </c>
      <c r="B33" s="350" t="s">
        <v>500</v>
      </c>
      <c r="C33" s="351" t="s">
        <v>384</v>
      </c>
      <c r="D33" s="352" t="s">
        <v>501</v>
      </c>
      <c r="E33" s="351" t="s">
        <v>481</v>
      </c>
      <c r="F33" s="352" t="s">
        <v>505</v>
      </c>
      <c r="G33" s="351" t="s">
        <v>393</v>
      </c>
      <c r="H33" s="351" t="s">
        <v>482</v>
      </c>
      <c r="I33" s="351" t="s">
        <v>483</v>
      </c>
      <c r="J33" s="351" t="s">
        <v>484</v>
      </c>
      <c r="K33" s="351" t="s">
        <v>485</v>
      </c>
      <c r="L33" s="353">
        <v>39.430000000000007</v>
      </c>
      <c r="M33" s="353">
        <v>2</v>
      </c>
      <c r="N33" s="354">
        <v>78.860000000000014</v>
      </c>
    </row>
    <row r="34" spans="1:14" ht="14.4" customHeight="1" x14ac:dyDescent="0.3">
      <c r="A34" s="349" t="s">
        <v>379</v>
      </c>
      <c r="B34" s="350" t="s">
        <v>500</v>
      </c>
      <c r="C34" s="351" t="s">
        <v>384</v>
      </c>
      <c r="D34" s="352" t="s">
        <v>501</v>
      </c>
      <c r="E34" s="351" t="s">
        <v>481</v>
      </c>
      <c r="F34" s="352" t="s">
        <v>505</v>
      </c>
      <c r="G34" s="351" t="s">
        <v>393</v>
      </c>
      <c r="H34" s="351" t="s">
        <v>486</v>
      </c>
      <c r="I34" s="351" t="s">
        <v>487</v>
      </c>
      <c r="J34" s="351" t="s">
        <v>488</v>
      </c>
      <c r="K34" s="351" t="s">
        <v>489</v>
      </c>
      <c r="L34" s="353">
        <v>67.264251035654013</v>
      </c>
      <c r="M34" s="353">
        <v>80</v>
      </c>
      <c r="N34" s="354">
        <v>5381.140082852321</v>
      </c>
    </row>
    <row r="35" spans="1:14" ht="14.4" customHeight="1" x14ac:dyDescent="0.3">
      <c r="A35" s="349" t="s">
        <v>379</v>
      </c>
      <c r="B35" s="350" t="s">
        <v>500</v>
      </c>
      <c r="C35" s="351" t="s">
        <v>389</v>
      </c>
      <c r="D35" s="352" t="s">
        <v>502</v>
      </c>
      <c r="E35" s="351" t="s">
        <v>392</v>
      </c>
      <c r="F35" s="352" t="s">
        <v>504</v>
      </c>
      <c r="G35" s="351" t="s">
        <v>393</v>
      </c>
      <c r="H35" s="351" t="s">
        <v>402</v>
      </c>
      <c r="I35" s="351" t="s">
        <v>403</v>
      </c>
      <c r="J35" s="351" t="s">
        <v>404</v>
      </c>
      <c r="K35" s="351" t="s">
        <v>405</v>
      </c>
      <c r="L35" s="353">
        <v>60.84</v>
      </c>
      <c r="M35" s="353">
        <v>3</v>
      </c>
      <c r="N35" s="354">
        <v>182.52</v>
      </c>
    </row>
    <row r="36" spans="1:14" ht="14.4" customHeight="1" x14ac:dyDescent="0.3">
      <c r="A36" s="349" t="s">
        <v>379</v>
      </c>
      <c r="B36" s="350" t="s">
        <v>500</v>
      </c>
      <c r="C36" s="351" t="s">
        <v>389</v>
      </c>
      <c r="D36" s="352" t="s">
        <v>502</v>
      </c>
      <c r="E36" s="351" t="s">
        <v>392</v>
      </c>
      <c r="F36" s="352" t="s">
        <v>504</v>
      </c>
      <c r="G36" s="351" t="s">
        <v>393</v>
      </c>
      <c r="H36" s="351" t="s">
        <v>490</v>
      </c>
      <c r="I36" s="351" t="s">
        <v>491</v>
      </c>
      <c r="J36" s="351" t="s">
        <v>492</v>
      </c>
      <c r="K36" s="351" t="s">
        <v>493</v>
      </c>
      <c r="L36" s="353">
        <v>392.89057071841177</v>
      </c>
      <c r="M36" s="353">
        <v>5</v>
      </c>
      <c r="N36" s="354">
        <v>1964.4528535920588</v>
      </c>
    </row>
    <row r="37" spans="1:14" ht="14.4" customHeight="1" x14ac:dyDescent="0.3">
      <c r="A37" s="349" t="s">
        <v>379</v>
      </c>
      <c r="B37" s="350" t="s">
        <v>500</v>
      </c>
      <c r="C37" s="351" t="s">
        <v>389</v>
      </c>
      <c r="D37" s="352" t="s">
        <v>502</v>
      </c>
      <c r="E37" s="351" t="s">
        <v>392</v>
      </c>
      <c r="F37" s="352" t="s">
        <v>504</v>
      </c>
      <c r="G37" s="351" t="s">
        <v>393</v>
      </c>
      <c r="H37" s="351" t="s">
        <v>410</v>
      </c>
      <c r="I37" s="351" t="s">
        <v>117</v>
      </c>
      <c r="J37" s="351" t="s">
        <v>411</v>
      </c>
      <c r="K37" s="351"/>
      <c r="L37" s="353">
        <v>639.01153529378405</v>
      </c>
      <c r="M37" s="353">
        <v>2</v>
      </c>
      <c r="N37" s="354">
        <v>1278.0230705875681</v>
      </c>
    </row>
    <row r="38" spans="1:14" ht="14.4" customHeight="1" x14ac:dyDescent="0.3">
      <c r="A38" s="349" t="s">
        <v>379</v>
      </c>
      <c r="B38" s="350" t="s">
        <v>500</v>
      </c>
      <c r="C38" s="351" t="s">
        <v>389</v>
      </c>
      <c r="D38" s="352" t="s">
        <v>502</v>
      </c>
      <c r="E38" s="351" t="s">
        <v>392</v>
      </c>
      <c r="F38" s="352" t="s">
        <v>504</v>
      </c>
      <c r="G38" s="351" t="s">
        <v>393</v>
      </c>
      <c r="H38" s="351" t="s">
        <v>494</v>
      </c>
      <c r="I38" s="351" t="s">
        <v>495</v>
      </c>
      <c r="J38" s="351" t="s">
        <v>447</v>
      </c>
      <c r="K38" s="351" t="s">
        <v>496</v>
      </c>
      <c r="L38" s="353">
        <v>327.06</v>
      </c>
      <c r="M38" s="353">
        <v>6</v>
      </c>
      <c r="N38" s="354">
        <v>1962.3600000000001</v>
      </c>
    </row>
    <row r="39" spans="1:14" ht="14.4" customHeight="1" x14ac:dyDescent="0.3">
      <c r="A39" s="349" t="s">
        <v>379</v>
      </c>
      <c r="B39" s="350" t="s">
        <v>500</v>
      </c>
      <c r="C39" s="351" t="s">
        <v>389</v>
      </c>
      <c r="D39" s="352" t="s">
        <v>502</v>
      </c>
      <c r="E39" s="351" t="s">
        <v>392</v>
      </c>
      <c r="F39" s="352" t="s">
        <v>504</v>
      </c>
      <c r="G39" s="351" t="s">
        <v>393</v>
      </c>
      <c r="H39" s="351" t="s">
        <v>445</v>
      </c>
      <c r="I39" s="351" t="s">
        <v>446</v>
      </c>
      <c r="J39" s="351" t="s">
        <v>447</v>
      </c>
      <c r="K39" s="351" t="s">
        <v>448</v>
      </c>
      <c r="L39" s="353">
        <v>210.45000000000005</v>
      </c>
      <c r="M39" s="353">
        <v>6</v>
      </c>
      <c r="N39" s="354">
        <v>1262.7000000000003</v>
      </c>
    </row>
    <row r="40" spans="1:14" ht="14.4" customHeight="1" x14ac:dyDescent="0.3">
      <c r="A40" s="349" t="s">
        <v>379</v>
      </c>
      <c r="B40" s="350" t="s">
        <v>500</v>
      </c>
      <c r="C40" s="351" t="s">
        <v>389</v>
      </c>
      <c r="D40" s="352" t="s">
        <v>502</v>
      </c>
      <c r="E40" s="351" t="s">
        <v>392</v>
      </c>
      <c r="F40" s="352" t="s">
        <v>504</v>
      </c>
      <c r="G40" s="351" t="s">
        <v>393</v>
      </c>
      <c r="H40" s="351" t="s">
        <v>452</v>
      </c>
      <c r="I40" s="351" t="s">
        <v>453</v>
      </c>
      <c r="J40" s="351" t="s">
        <v>454</v>
      </c>
      <c r="K40" s="351" t="s">
        <v>455</v>
      </c>
      <c r="L40" s="353">
        <v>291.8866666666666</v>
      </c>
      <c r="M40" s="353">
        <v>3</v>
      </c>
      <c r="N40" s="354">
        <v>875.65999999999985</v>
      </c>
    </row>
    <row r="41" spans="1:14" ht="14.4" customHeight="1" x14ac:dyDescent="0.3">
      <c r="A41" s="349" t="s">
        <v>379</v>
      </c>
      <c r="B41" s="350" t="s">
        <v>500</v>
      </c>
      <c r="C41" s="351" t="s">
        <v>389</v>
      </c>
      <c r="D41" s="352" t="s">
        <v>502</v>
      </c>
      <c r="E41" s="351" t="s">
        <v>392</v>
      </c>
      <c r="F41" s="352" t="s">
        <v>504</v>
      </c>
      <c r="G41" s="351" t="s">
        <v>393</v>
      </c>
      <c r="H41" s="351" t="s">
        <v>459</v>
      </c>
      <c r="I41" s="351" t="s">
        <v>117</v>
      </c>
      <c r="J41" s="351" t="s">
        <v>460</v>
      </c>
      <c r="K41" s="351"/>
      <c r="L41" s="353">
        <v>510.2822347174465</v>
      </c>
      <c r="M41" s="353">
        <v>4</v>
      </c>
      <c r="N41" s="354">
        <v>2041.128938869786</v>
      </c>
    </row>
    <row r="42" spans="1:14" ht="14.4" customHeight="1" x14ac:dyDescent="0.3">
      <c r="A42" s="349" t="s">
        <v>379</v>
      </c>
      <c r="B42" s="350" t="s">
        <v>500</v>
      </c>
      <c r="C42" s="351" t="s">
        <v>389</v>
      </c>
      <c r="D42" s="352" t="s">
        <v>502</v>
      </c>
      <c r="E42" s="351" t="s">
        <v>392</v>
      </c>
      <c r="F42" s="352" t="s">
        <v>504</v>
      </c>
      <c r="G42" s="351" t="s">
        <v>393</v>
      </c>
      <c r="H42" s="351" t="s">
        <v>477</v>
      </c>
      <c r="I42" s="351" t="s">
        <v>117</v>
      </c>
      <c r="J42" s="351" t="s">
        <v>478</v>
      </c>
      <c r="K42" s="351"/>
      <c r="L42" s="353">
        <v>1002.1585794041666</v>
      </c>
      <c r="M42" s="353">
        <v>1</v>
      </c>
      <c r="N42" s="354">
        <v>1002.1585794041666</v>
      </c>
    </row>
    <row r="43" spans="1:14" ht="14.4" customHeight="1" thickBot="1" x14ac:dyDescent="0.35">
      <c r="A43" s="355" t="s">
        <v>379</v>
      </c>
      <c r="B43" s="356" t="s">
        <v>500</v>
      </c>
      <c r="C43" s="357" t="s">
        <v>497</v>
      </c>
      <c r="D43" s="358" t="s">
        <v>503</v>
      </c>
      <c r="E43" s="357" t="s">
        <v>392</v>
      </c>
      <c r="F43" s="358" t="s">
        <v>504</v>
      </c>
      <c r="G43" s="357" t="s">
        <v>393</v>
      </c>
      <c r="H43" s="357" t="s">
        <v>498</v>
      </c>
      <c r="I43" s="357" t="s">
        <v>117</v>
      </c>
      <c r="J43" s="357" t="s">
        <v>499</v>
      </c>
      <c r="K43" s="357" t="s">
        <v>430</v>
      </c>
      <c r="L43" s="359">
        <v>24.037194261613511</v>
      </c>
      <c r="M43" s="359">
        <v>12</v>
      </c>
      <c r="N43" s="360">
        <v>288.44633113936214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8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253" customWidth="1"/>
    <col min="2" max="2" width="5.44140625" style="163" bestFit="1" customWidth="1"/>
    <col min="3" max="3" width="6.109375" style="163" bestFit="1" customWidth="1"/>
    <col min="4" max="4" width="7.44140625" style="163" bestFit="1" customWidth="1"/>
    <col min="5" max="5" width="6.21875" style="163" bestFit="1" customWidth="1"/>
    <col min="6" max="6" width="6.33203125" style="166" bestFit="1" customWidth="1"/>
    <col min="7" max="7" width="6.109375" style="166" bestFit="1" customWidth="1"/>
    <col min="8" max="8" width="7.44140625" style="166" bestFit="1" customWidth="1"/>
    <col min="9" max="9" width="6.21875" style="166" bestFit="1" customWidth="1"/>
    <col min="10" max="10" width="5.44140625" style="163" bestFit="1" customWidth="1"/>
    <col min="11" max="11" width="6.109375" style="163" bestFit="1" customWidth="1"/>
    <col min="12" max="12" width="7.44140625" style="163" bestFit="1" customWidth="1"/>
    <col min="13" max="13" width="6.21875" style="163" bestFit="1" customWidth="1"/>
    <col min="14" max="14" width="5.33203125" style="166" bestFit="1" customWidth="1"/>
    <col min="15" max="15" width="6.109375" style="166" bestFit="1" customWidth="1"/>
    <col min="16" max="16" width="7.44140625" style="166" bestFit="1" customWidth="1"/>
    <col min="17" max="17" width="6.21875" style="166" bestFit="1" customWidth="1"/>
    <col min="18" max="16384" width="8.88671875" style="96"/>
  </cols>
  <sheetData>
    <row r="1" spans="1:17" ht="18.600000000000001" customHeight="1" thickBot="1" x14ac:dyDescent="0.4">
      <c r="A1" s="295" t="s">
        <v>193</v>
      </c>
      <c r="B1" s="295"/>
      <c r="C1" s="295"/>
      <c r="D1" s="295"/>
      <c r="E1" s="295"/>
      <c r="F1" s="259"/>
      <c r="G1" s="259"/>
      <c r="H1" s="259"/>
      <c r="I1" s="259"/>
      <c r="J1" s="289"/>
      <c r="K1" s="289"/>
      <c r="L1" s="289"/>
      <c r="M1" s="289"/>
      <c r="N1" s="289"/>
      <c r="O1" s="289"/>
      <c r="P1" s="289"/>
      <c r="Q1" s="289"/>
    </row>
    <row r="2" spans="1:17" ht="14.4" customHeight="1" thickBot="1" x14ac:dyDescent="0.35">
      <c r="A2" s="175" t="s">
        <v>205</v>
      </c>
      <c r="B2" s="170"/>
      <c r="C2" s="170"/>
      <c r="D2" s="170"/>
      <c r="E2" s="170"/>
    </row>
    <row r="3" spans="1:17" ht="14.4" customHeight="1" thickBot="1" x14ac:dyDescent="0.35">
      <c r="A3" s="242" t="s">
        <v>2</v>
      </c>
      <c r="B3" s="246">
        <f>SUM(B6:B1048576)</f>
        <v>403</v>
      </c>
      <c r="C3" s="247">
        <f>SUM(C6:C1048576)</f>
        <v>0</v>
      </c>
      <c r="D3" s="247">
        <f>SUM(D6:D1048576)</f>
        <v>0</v>
      </c>
      <c r="E3" s="248">
        <f>SUM(E6:E1048576)</f>
        <v>0</v>
      </c>
      <c r="F3" s="245">
        <f>IF(SUM($B3:$E3)=0,"",B3/SUM($B3:$E3))</f>
        <v>1</v>
      </c>
      <c r="G3" s="243">
        <f t="shared" ref="G3:I3" si="0">IF(SUM($B3:$E3)=0,"",C3/SUM($B3:$E3))</f>
        <v>0</v>
      </c>
      <c r="H3" s="243">
        <f t="shared" si="0"/>
        <v>0</v>
      </c>
      <c r="I3" s="244">
        <f t="shared" si="0"/>
        <v>0</v>
      </c>
      <c r="J3" s="247">
        <f>SUM(J6:J1048576)</f>
        <v>101</v>
      </c>
      <c r="K3" s="247">
        <f>SUM(K6:K1048576)</f>
        <v>0</v>
      </c>
      <c r="L3" s="247">
        <f>SUM(L6:L1048576)</f>
        <v>0</v>
      </c>
      <c r="M3" s="248">
        <f>SUM(M6:M1048576)</f>
        <v>0</v>
      </c>
      <c r="N3" s="245">
        <f>IF(SUM($J3:$M3)=0,"",J3/SUM($J3:$M3))</f>
        <v>1</v>
      </c>
      <c r="O3" s="243">
        <f t="shared" ref="O3:Q3" si="1">IF(SUM($J3:$M3)=0,"",K3/SUM($J3:$M3))</f>
        <v>0</v>
      </c>
      <c r="P3" s="243">
        <f t="shared" si="1"/>
        <v>0</v>
      </c>
      <c r="Q3" s="244">
        <f t="shared" si="1"/>
        <v>0</v>
      </c>
    </row>
    <row r="4" spans="1:17" ht="14.4" customHeight="1" thickBot="1" x14ac:dyDescent="0.35">
      <c r="A4" s="241"/>
      <c r="B4" s="299" t="s">
        <v>195</v>
      </c>
      <c r="C4" s="300"/>
      <c r="D4" s="300"/>
      <c r="E4" s="301"/>
      <c r="F4" s="296" t="s">
        <v>200</v>
      </c>
      <c r="G4" s="297"/>
      <c r="H4" s="297"/>
      <c r="I4" s="298"/>
      <c r="J4" s="299" t="s">
        <v>201</v>
      </c>
      <c r="K4" s="300"/>
      <c r="L4" s="300"/>
      <c r="M4" s="301"/>
      <c r="N4" s="296" t="s">
        <v>202</v>
      </c>
      <c r="O4" s="297"/>
      <c r="P4" s="297"/>
      <c r="Q4" s="298"/>
    </row>
    <row r="5" spans="1:17" ht="14.4" customHeight="1" thickBot="1" x14ac:dyDescent="0.35">
      <c r="A5" s="361" t="s">
        <v>194</v>
      </c>
      <c r="B5" s="362" t="s">
        <v>196</v>
      </c>
      <c r="C5" s="362" t="s">
        <v>197</v>
      </c>
      <c r="D5" s="362" t="s">
        <v>198</v>
      </c>
      <c r="E5" s="363" t="s">
        <v>199</v>
      </c>
      <c r="F5" s="364" t="s">
        <v>196</v>
      </c>
      <c r="G5" s="365" t="s">
        <v>197</v>
      </c>
      <c r="H5" s="365" t="s">
        <v>198</v>
      </c>
      <c r="I5" s="366" t="s">
        <v>199</v>
      </c>
      <c r="J5" s="362" t="s">
        <v>196</v>
      </c>
      <c r="K5" s="362" t="s">
        <v>197</v>
      </c>
      <c r="L5" s="362" t="s">
        <v>198</v>
      </c>
      <c r="M5" s="363" t="s">
        <v>199</v>
      </c>
      <c r="N5" s="364" t="s">
        <v>196</v>
      </c>
      <c r="O5" s="365" t="s">
        <v>197</v>
      </c>
      <c r="P5" s="365" t="s">
        <v>198</v>
      </c>
      <c r="Q5" s="366" t="s">
        <v>199</v>
      </c>
    </row>
    <row r="6" spans="1:17" ht="14.4" customHeight="1" x14ac:dyDescent="0.3">
      <c r="A6" s="373" t="s">
        <v>506</v>
      </c>
      <c r="B6" s="379"/>
      <c r="C6" s="347"/>
      <c r="D6" s="347"/>
      <c r="E6" s="348"/>
      <c r="F6" s="376"/>
      <c r="G6" s="367"/>
      <c r="H6" s="367"/>
      <c r="I6" s="382"/>
      <c r="J6" s="379"/>
      <c r="K6" s="347"/>
      <c r="L6" s="347"/>
      <c r="M6" s="348"/>
      <c r="N6" s="376"/>
      <c r="O6" s="367"/>
      <c r="P6" s="367"/>
      <c r="Q6" s="368"/>
    </row>
    <row r="7" spans="1:17" ht="14.4" customHeight="1" x14ac:dyDescent="0.3">
      <c r="A7" s="374" t="s">
        <v>507</v>
      </c>
      <c r="B7" s="380">
        <v>384</v>
      </c>
      <c r="C7" s="353"/>
      <c r="D7" s="353"/>
      <c r="E7" s="354"/>
      <c r="F7" s="377">
        <v>1</v>
      </c>
      <c r="G7" s="369">
        <v>0</v>
      </c>
      <c r="H7" s="369">
        <v>0</v>
      </c>
      <c r="I7" s="383">
        <v>0</v>
      </c>
      <c r="J7" s="380">
        <v>87</v>
      </c>
      <c r="K7" s="353"/>
      <c r="L7" s="353"/>
      <c r="M7" s="354"/>
      <c r="N7" s="377">
        <v>1</v>
      </c>
      <c r="O7" s="369">
        <v>0</v>
      </c>
      <c r="P7" s="369">
        <v>0</v>
      </c>
      <c r="Q7" s="370">
        <v>0</v>
      </c>
    </row>
    <row r="8" spans="1:17" ht="14.4" customHeight="1" thickBot="1" x14ac:dyDescent="0.35">
      <c r="A8" s="375" t="s">
        <v>508</v>
      </c>
      <c r="B8" s="381">
        <v>19</v>
      </c>
      <c r="C8" s="359"/>
      <c r="D8" s="359"/>
      <c r="E8" s="360"/>
      <c r="F8" s="378">
        <v>1</v>
      </c>
      <c r="G8" s="371">
        <v>0</v>
      </c>
      <c r="H8" s="371">
        <v>0</v>
      </c>
      <c r="I8" s="384">
        <v>0</v>
      </c>
      <c r="J8" s="381">
        <v>14</v>
      </c>
      <c r="K8" s="359"/>
      <c r="L8" s="359"/>
      <c r="M8" s="360"/>
      <c r="N8" s="378">
        <v>1</v>
      </c>
      <c r="O8" s="371">
        <v>0</v>
      </c>
      <c r="P8" s="371">
        <v>0</v>
      </c>
      <c r="Q8" s="372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18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52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164" customWidth="1"/>
    <col min="2" max="2" width="61.109375" style="164" customWidth="1"/>
    <col min="3" max="3" width="9.5546875" style="96" customWidth="1"/>
    <col min="4" max="4" width="9.5546875" style="165" customWidth="1"/>
    <col min="5" max="5" width="2.21875" style="165" customWidth="1"/>
    <col min="6" max="6" width="9.5546875" style="166" customWidth="1"/>
    <col min="7" max="7" width="9.5546875" style="163" customWidth="1"/>
    <col min="8" max="9" width="9.5546875" style="96" customWidth="1"/>
    <col min="10" max="10" width="0" style="96" hidden="1" customWidth="1"/>
    <col min="11" max="16384" width="8.88671875" style="96"/>
  </cols>
  <sheetData>
    <row r="1" spans="1:10" ht="18.600000000000001" customHeight="1" thickBot="1" x14ac:dyDescent="0.4">
      <c r="A1" s="287" t="s">
        <v>78</v>
      </c>
      <c r="B1" s="288"/>
      <c r="C1" s="288"/>
      <c r="D1" s="288"/>
      <c r="E1" s="288"/>
      <c r="F1" s="288"/>
      <c r="G1" s="259"/>
      <c r="H1" s="289"/>
      <c r="I1" s="289"/>
    </row>
    <row r="2" spans="1:10" ht="14.4" customHeight="1" thickBot="1" x14ac:dyDescent="0.35">
      <c r="A2" s="175" t="s">
        <v>205</v>
      </c>
      <c r="B2" s="162"/>
      <c r="C2" s="162"/>
      <c r="D2" s="162"/>
      <c r="E2" s="162"/>
      <c r="F2" s="162"/>
    </row>
    <row r="3" spans="1:10" ht="14.4" customHeight="1" thickBot="1" x14ac:dyDescent="0.35">
      <c r="A3" s="175"/>
      <c r="B3" s="162"/>
      <c r="C3" s="233">
        <v>2012</v>
      </c>
      <c r="D3" s="234">
        <v>2013</v>
      </c>
      <c r="E3" s="7"/>
      <c r="F3" s="282">
        <v>2014</v>
      </c>
      <c r="G3" s="283"/>
      <c r="H3" s="283"/>
      <c r="I3" s="284"/>
    </row>
    <row r="4" spans="1:10" ht="14.4" customHeight="1" thickBot="1" x14ac:dyDescent="0.35">
      <c r="A4" s="238" t="s">
        <v>0</v>
      </c>
      <c r="B4" s="239" t="s">
        <v>192</v>
      </c>
      <c r="C4" s="285" t="s">
        <v>55</v>
      </c>
      <c r="D4" s="286"/>
      <c r="E4" s="240"/>
      <c r="F4" s="235" t="s">
        <v>55</v>
      </c>
      <c r="G4" s="236" t="s">
        <v>56</v>
      </c>
      <c r="H4" s="236" t="s">
        <v>52</v>
      </c>
      <c r="I4" s="237" t="s">
        <v>57</v>
      </c>
    </row>
    <row r="5" spans="1:10" ht="14.4" customHeight="1" x14ac:dyDescent="0.3">
      <c r="A5" s="333" t="s">
        <v>379</v>
      </c>
      <c r="B5" s="334" t="s">
        <v>380</v>
      </c>
      <c r="C5" s="335" t="s">
        <v>381</v>
      </c>
      <c r="D5" s="335" t="s">
        <v>381</v>
      </c>
      <c r="E5" s="335"/>
      <c r="F5" s="335" t="s">
        <v>381</v>
      </c>
      <c r="G5" s="335" t="s">
        <v>381</v>
      </c>
      <c r="H5" s="335" t="s">
        <v>381</v>
      </c>
      <c r="I5" s="336" t="s">
        <v>381</v>
      </c>
      <c r="J5" s="337" t="s">
        <v>53</v>
      </c>
    </row>
    <row r="6" spans="1:10" ht="14.4" customHeight="1" x14ac:dyDescent="0.3">
      <c r="A6" s="333" t="s">
        <v>379</v>
      </c>
      <c r="B6" s="334" t="s">
        <v>220</v>
      </c>
      <c r="C6" s="335">
        <v>0</v>
      </c>
      <c r="D6" s="335">
        <v>1.85178</v>
      </c>
      <c r="E6" s="335"/>
      <c r="F6" s="335">
        <v>1.41588</v>
      </c>
      <c r="G6" s="335">
        <v>4.0833311347039167</v>
      </c>
      <c r="H6" s="335">
        <v>-2.6674511347039167</v>
      </c>
      <c r="I6" s="336">
        <v>0.34674630915101273</v>
      </c>
      <c r="J6" s="337" t="s">
        <v>1</v>
      </c>
    </row>
    <row r="7" spans="1:10" ht="14.4" customHeight="1" x14ac:dyDescent="0.3">
      <c r="A7" s="333" t="s">
        <v>379</v>
      </c>
      <c r="B7" s="334" t="s">
        <v>509</v>
      </c>
      <c r="C7" s="335">
        <v>0</v>
      </c>
      <c r="D7" s="335" t="s">
        <v>381</v>
      </c>
      <c r="E7" s="335"/>
      <c r="F7" s="335" t="s">
        <v>381</v>
      </c>
      <c r="G7" s="335" t="s">
        <v>381</v>
      </c>
      <c r="H7" s="335" t="s">
        <v>381</v>
      </c>
      <c r="I7" s="336" t="s">
        <v>381</v>
      </c>
      <c r="J7" s="337" t="s">
        <v>1</v>
      </c>
    </row>
    <row r="8" spans="1:10" ht="14.4" customHeight="1" x14ac:dyDescent="0.3">
      <c r="A8" s="333" t="s">
        <v>379</v>
      </c>
      <c r="B8" s="334" t="s">
        <v>221</v>
      </c>
      <c r="C8" s="335">
        <v>882.60710999999992</v>
      </c>
      <c r="D8" s="335">
        <v>899.72074999999893</v>
      </c>
      <c r="E8" s="335"/>
      <c r="F8" s="335">
        <v>942.93543999999997</v>
      </c>
      <c r="G8" s="335">
        <v>906.52948322265001</v>
      </c>
      <c r="H8" s="335">
        <v>36.405956777349957</v>
      </c>
      <c r="I8" s="336">
        <v>1.0401597051735474</v>
      </c>
      <c r="J8" s="337" t="s">
        <v>1</v>
      </c>
    </row>
    <row r="9" spans="1:10" ht="14.4" customHeight="1" x14ac:dyDescent="0.3">
      <c r="A9" s="333" t="s">
        <v>379</v>
      </c>
      <c r="B9" s="334" t="s">
        <v>222</v>
      </c>
      <c r="C9" s="335">
        <v>2126.99449</v>
      </c>
      <c r="D9" s="335">
        <v>1024.4957899999979</v>
      </c>
      <c r="E9" s="335"/>
      <c r="F9" s="335">
        <v>920.51107999999999</v>
      </c>
      <c r="G9" s="335">
        <v>1057.7810797824245</v>
      </c>
      <c r="H9" s="335">
        <v>-137.26999978242452</v>
      </c>
      <c r="I9" s="336">
        <v>0.87022834648294178</v>
      </c>
      <c r="J9" s="337" t="s">
        <v>1</v>
      </c>
    </row>
    <row r="10" spans="1:10" ht="14.4" customHeight="1" x14ac:dyDescent="0.3">
      <c r="A10" s="333" t="s">
        <v>379</v>
      </c>
      <c r="B10" s="334" t="s">
        <v>223</v>
      </c>
      <c r="C10" s="335">
        <v>-4469.8080000000009</v>
      </c>
      <c r="D10" s="335">
        <v>-281.92070999999919</v>
      </c>
      <c r="E10" s="335"/>
      <c r="F10" s="335">
        <v>1998.8686300000102</v>
      </c>
      <c r="G10" s="335">
        <v>0</v>
      </c>
      <c r="H10" s="335">
        <v>1998.8686300000102</v>
      </c>
      <c r="I10" s="336" t="s">
        <v>381</v>
      </c>
      <c r="J10" s="337" t="s">
        <v>1</v>
      </c>
    </row>
    <row r="11" spans="1:10" ht="14.4" customHeight="1" x14ac:dyDescent="0.3">
      <c r="A11" s="333" t="s">
        <v>379</v>
      </c>
      <c r="B11" s="334" t="s">
        <v>224</v>
      </c>
      <c r="C11" s="335">
        <v>7.4238900000000001</v>
      </c>
      <c r="D11" s="335">
        <v>26.389879999999003</v>
      </c>
      <c r="E11" s="335"/>
      <c r="F11" s="335">
        <v>20.971689999999999</v>
      </c>
      <c r="G11" s="335">
        <v>49.194708229523499</v>
      </c>
      <c r="H11" s="335">
        <v>-28.2230182295235</v>
      </c>
      <c r="I11" s="336">
        <v>0.42629971301291586</v>
      </c>
      <c r="J11" s="337" t="s">
        <v>1</v>
      </c>
    </row>
    <row r="12" spans="1:10" ht="14.4" customHeight="1" x14ac:dyDescent="0.3">
      <c r="A12" s="333" t="s">
        <v>379</v>
      </c>
      <c r="B12" s="334" t="s">
        <v>225</v>
      </c>
      <c r="C12" s="335">
        <v>1971.22927</v>
      </c>
      <c r="D12" s="335">
        <v>2210.2961999999989</v>
      </c>
      <c r="E12" s="335"/>
      <c r="F12" s="335">
        <v>2252.1058300000009</v>
      </c>
      <c r="G12" s="335">
        <v>2262.7097814863682</v>
      </c>
      <c r="H12" s="335">
        <v>-10.60395148636735</v>
      </c>
      <c r="I12" s="336">
        <v>0.99531360514144163</v>
      </c>
      <c r="J12" s="337" t="s">
        <v>1</v>
      </c>
    </row>
    <row r="13" spans="1:10" ht="14.4" customHeight="1" x14ac:dyDescent="0.3">
      <c r="A13" s="333" t="s">
        <v>379</v>
      </c>
      <c r="B13" s="334" t="s">
        <v>226</v>
      </c>
      <c r="C13" s="335">
        <v>32.797199999999997</v>
      </c>
      <c r="D13" s="335">
        <v>43.527250000000002</v>
      </c>
      <c r="E13" s="335"/>
      <c r="F13" s="335">
        <v>35.10564999999999</v>
      </c>
      <c r="G13" s="335">
        <v>67.826925585179836</v>
      </c>
      <c r="H13" s="335">
        <v>-32.721275585179846</v>
      </c>
      <c r="I13" s="336">
        <v>0.51757690175582072</v>
      </c>
      <c r="J13" s="337" t="s">
        <v>1</v>
      </c>
    </row>
    <row r="14" spans="1:10" ht="14.4" customHeight="1" x14ac:dyDescent="0.3">
      <c r="A14" s="333" t="s">
        <v>379</v>
      </c>
      <c r="B14" s="334" t="s">
        <v>227</v>
      </c>
      <c r="C14" s="335">
        <v>0</v>
      </c>
      <c r="D14" s="335">
        <v>8.5153400000000001</v>
      </c>
      <c r="E14" s="335"/>
      <c r="F14" s="335">
        <v>0</v>
      </c>
      <c r="G14" s="335">
        <v>28.21230451942408</v>
      </c>
      <c r="H14" s="335">
        <v>-28.21230451942408</v>
      </c>
      <c r="I14" s="336">
        <v>0</v>
      </c>
      <c r="J14" s="337" t="s">
        <v>1</v>
      </c>
    </row>
    <row r="15" spans="1:10" ht="14.4" customHeight="1" x14ac:dyDescent="0.3">
      <c r="A15" s="333" t="s">
        <v>379</v>
      </c>
      <c r="B15" s="334" t="s">
        <v>228</v>
      </c>
      <c r="C15" s="335">
        <v>150.62818999999999</v>
      </c>
      <c r="D15" s="335">
        <v>324.75395000000003</v>
      </c>
      <c r="E15" s="335"/>
      <c r="F15" s="335">
        <v>446.78082999999998</v>
      </c>
      <c r="G15" s="335">
        <v>508.17539163475408</v>
      </c>
      <c r="H15" s="335">
        <v>-61.394561634754098</v>
      </c>
      <c r="I15" s="336">
        <v>0.87918627575165853</v>
      </c>
      <c r="J15" s="337" t="s">
        <v>1</v>
      </c>
    </row>
    <row r="16" spans="1:10" ht="14.4" customHeight="1" x14ac:dyDescent="0.3">
      <c r="A16" s="333" t="s">
        <v>379</v>
      </c>
      <c r="B16" s="334" t="s">
        <v>229</v>
      </c>
      <c r="C16" s="335">
        <v>11.20392</v>
      </c>
      <c r="D16" s="335">
        <v>19.181999999999999</v>
      </c>
      <c r="E16" s="335"/>
      <c r="F16" s="335">
        <v>0.82764000000000004</v>
      </c>
      <c r="G16" s="335">
        <v>11.189447421263999</v>
      </c>
      <c r="H16" s="335">
        <v>-10.361807421263999</v>
      </c>
      <c r="I16" s="336">
        <v>7.3966119044197351E-2</v>
      </c>
      <c r="J16" s="337" t="s">
        <v>1</v>
      </c>
    </row>
    <row r="17" spans="1:10" ht="14.4" customHeight="1" x14ac:dyDescent="0.3">
      <c r="A17" s="333" t="s">
        <v>379</v>
      </c>
      <c r="B17" s="334" t="s">
        <v>230</v>
      </c>
      <c r="C17" s="335">
        <v>45.828000000000003</v>
      </c>
      <c r="D17" s="335">
        <v>0</v>
      </c>
      <c r="E17" s="335"/>
      <c r="F17" s="335">
        <v>186.64995999999999</v>
      </c>
      <c r="G17" s="335">
        <v>358.7615606132332</v>
      </c>
      <c r="H17" s="335">
        <v>-172.11160061323321</v>
      </c>
      <c r="I17" s="336">
        <v>0.52026186886063863</v>
      </c>
      <c r="J17" s="337" t="s">
        <v>1</v>
      </c>
    </row>
    <row r="18" spans="1:10" ht="14.4" customHeight="1" x14ac:dyDescent="0.3">
      <c r="A18" s="333" t="s">
        <v>379</v>
      </c>
      <c r="B18" s="334" t="s">
        <v>510</v>
      </c>
      <c r="C18" s="335">
        <v>2.8386</v>
      </c>
      <c r="D18" s="335" t="s">
        <v>381</v>
      </c>
      <c r="E18" s="335"/>
      <c r="F18" s="335" t="s">
        <v>381</v>
      </c>
      <c r="G18" s="335" t="s">
        <v>381</v>
      </c>
      <c r="H18" s="335" t="s">
        <v>381</v>
      </c>
      <c r="I18" s="336" t="s">
        <v>381</v>
      </c>
      <c r="J18" s="337" t="s">
        <v>1</v>
      </c>
    </row>
    <row r="19" spans="1:10" ht="14.4" customHeight="1" x14ac:dyDescent="0.3">
      <c r="A19" s="333" t="s">
        <v>379</v>
      </c>
      <c r="B19" s="334" t="s">
        <v>382</v>
      </c>
      <c r="C19" s="335">
        <v>761.74266999999918</v>
      </c>
      <c r="D19" s="335">
        <v>4276.812229999995</v>
      </c>
      <c r="E19" s="335"/>
      <c r="F19" s="335">
        <v>6806.1726300000109</v>
      </c>
      <c r="G19" s="335">
        <v>5254.4640136295257</v>
      </c>
      <c r="H19" s="335">
        <v>1551.7086163704853</v>
      </c>
      <c r="I19" s="336">
        <v>1.2953124452552185</v>
      </c>
      <c r="J19" s="337" t="s">
        <v>383</v>
      </c>
    </row>
    <row r="21" spans="1:10" ht="14.4" customHeight="1" x14ac:dyDescent="0.3">
      <c r="A21" s="333" t="s">
        <v>379</v>
      </c>
      <c r="B21" s="334" t="s">
        <v>380</v>
      </c>
      <c r="C21" s="335" t="s">
        <v>381</v>
      </c>
      <c r="D21" s="335" t="s">
        <v>381</v>
      </c>
      <c r="E21" s="335"/>
      <c r="F21" s="335" t="s">
        <v>381</v>
      </c>
      <c r="G21" s="335" t="s">
        <v>381</v>
      </c>
      <c r="H21" s="335" t="s">
        <v>381</v>
      </c>
      <c r="I21" s="336" t="s">
        <v>381</v>
      </c>
      <c r="J21" s="337" t="s">
        <v>53</v>
      </c>
    </row>
    <row r="22" spans="1:10" ht="14.4" customHeight="1" x14ac:dyDescent="0.3">
      <c r="A22" s="333" t="s">
        <v>384</v>
      </c>
      <c r="B22" s="334" t="s">
        <v>385</v>
      </c>
      <c r="C22" s="335" t="s">
        <v>381</v>
      </c>
      <c r="D22" s="335" t="s">
        <v>381</v>
      </c>
      <c r="E22" s="335"/>
      <c r="F22" s="335" t="s">
        <v>381</v>
      </c>
      <c r="G22" s="335" t="s">
        <v>381</v>
      </c>
      <c r="H22" s="335" t="s">
        <v>381</v>
      </c>
      <c r="I22" s="336" t="s">
        <v>381</v>
      </c>
      <c r="J22" s="337" t="s">
        <v>0</v>
      </c>
    </row>
    <row r="23" spans="1:10" ht="14.4" customHeight="1" x14ac:dyDescent="0.3">
      <c r="A23" s="333" t="s">
        <v>384</v>
      </c>
      <c r="B23" s="334" t="s">
        <v>220</v>
      </c>
      <c r="C23" s="335">
        <v>0</v>
      </c>
      <c r="D23" s="335">
        <v>0.47239999999999999</v>
      </c>
      <c r="E23" s="335"/>
      <c r="F23" s="335">
        <v>1.41588</v>
      </c>
      <c r="G23" s="335">
        <v>3.4999981154605835</v>
      </c>
      <c r="H23" s="335">
        <v>-2.0841181154605835</v>
      </c>
      <c r="I23" s="336">
        <v>0.40453736067617191</v>
      </c>
      <c r="J23" s="337" t="s">
        <v>1</v>
      </c>
    </row>
    <row r="24" spans="1:10" ht="14.4" customHeight="1" x14ac:dyDescent="0.3">
      <c r="A24" s="333" t="s">
        <v>384</v>
      </c>
      <c r="B24" s="334" t="s">
        <v>509</v>
      </c>
      <c r="C24" s="335">
        <v>0</v>
      </c>
      <c r="D24" s="335" t="s">
        <v>381</v>
      </c>
      <c r="E24" s="335"/>
      <c r="F24" s="335" t="s">
        <v>381</v>
      </c>
      <c r="G24" s="335" t="s">
        <v>381</v>
      </c>
      <c r="H24" s="335" t="s">
        <v>381</v>
      </c>
      <c r="I24" s="336" t="s">
        <v>381</v>
      </c>
      <c r="J24" s="337" t="s">
        <v>1</v>
      </c>
    </row>
    <row r="25" spans="1:10" ht="14.4" customHeight="1" x14ac:dyDescent="0.3">
      <c r="A25" s="333" t="s">
        <v>384</v>
      </c>
      <c r="B25" s="334" t="s">
        <v>221</v>
      </c>
      <c r="C25" s="335">
        <v>662.64464999999996</v>
      </c>
      <c r="D25" s="335">
        <v>666.68147999999894</v>
      </c>
      <c r="E25" s="335"/>
      <c r="F25" s="335">
        <v>669.95431000000008</v>
      </c>
      <c r="G25" s="335">
        <v>679.91443150378996</v>
      </c>
      <c r="H25" s="335">
        <v>-9.9601215037898783</v>
      </c>
      <c r="I25" s="336">
        <v>0.98535091911233486</v>
      </c>
      <c r="J25" s="337" t="s">
        <v>1</v>
      </c>
    </row>
    <row r="26" spans="1:10" ht="14.4" customHeight="1" x14ac:dyDescent="0.3">
      <c r="A26" s="333" t="s">
        <v>384</v>
      </c>
      <c r="B26" s="334" t="s">
        <v>222</v>
      </c>
      <c r="C26" s="335">
        <v>303.07692000000003</v>
      </c>
      <c r="D26" s="335">
        <v>453.15826999999894</v>
      </c>
      <c r="E26" s="335"/>
      <c r="F26" s="335">
        <v>518.47858000000008</v>
      </c>
      <c r="G26" s="335">
        <v>526.78061738583688</v>
      </c>
      <c r="H26" s="335">
        <v>-8.3020373858367975</v>
      </c>
      <c r="I26" s="336">
        <v>0.98424004773175622</v>
      </c>
      <c r="J26" s="337" t="s">
        <v>1</v>
      </c>
    </row>
    <row r="27" spans="1:10" ht="14.4" customHeight="1" x14ac:dyDescent="0.3">
      <c r="A27" s="333" t="s">
        <v>384</v>
      </c>
      <c r="B27" s="334" t="s">
        <v>223</v>
      </c>
      <c r="C27" s="335">
        <v>-4469.8080000000009</v>
      </c>
      <c r="D27" s="335">
        <v>-281.92070999999919</v>
      </c>
      <c r="E27" s="335"/>
      <c r="F27" s="335">
        <v>1998.8686300000102</v>
      </c>
      <c r="G27" s="335">
        <v>0</v>
      </c>
      <c r="H27" s="335">
        <v>1998.8686300000102</v>
      </c>
      <c r="I27" s="336" t="s">
        <v>381</v>
      </c>
      <c r="J27" s="337" t="s">
        <v>1</v>
      </c>
    </row>
    <row r="28" spans="1:10" ht="14.4" customHeight="1" x14ac:dyDescent="0.3">
      <c r="A28" s="333" t="s">
        <v>384</v>
      </c>
      <c r="B28" s="334" t="s">
        <v>224</v>
      </c>
      <c r="C28" s="335">
        <v>7.4238900000000001</v>
      </c>
      <c r="D28" s="335">
        <v>26.389879999999003</v>
      </c>
      <c r="E28" s="335"/>
      <c r="F28" s="335">
        <v>20.971689999999999</v>
      </c>
      <c r="G28" s="335">
        <v>49.194708229523499</v>
      </c>
      <c r="H28" s="335">
        <v>-28.2230182295235</v>
      </c>
      <c r="I28" s="336">
        <v>0.42629971301291586</v>
      </c>
      <c r="J28" s="337" t="s">
        <v>1</v>
      </c>
    </row>
    <row r="29" spans="1:10" ht="14.4" customHeight="1" x14ac:dyDescent="0.3">
      <c r="A29" s="333" t="s">
        <v>384</v>
      </c>
      <c r="B29" s="334" t="s">
        <v>225</v>
      </c>
      <c r="C29" s="335">
        <v>1855.37066</v>
      </c>
      <c r="D29" s="335">
        <v>2029.730219999999</v>
      </c>
      <c r="E29" s="335"/>
      <c r="F29" s="335">
        <v>2027.8435100000008</v>
      </c>
      <c r="G29" s="335">
        <v>2038.3721531107435</v>
      </c>
      <c r="H29" s="335">
        <v>-10.528643110742678</v>
      </c>
      <c r="I29" s="336">
        <v>0.99483477877448678</v>
      </c>
      <c r="J29" s="337" t="s">
        <v>1</v>
      </c>
    </row>
    <row r="30" spans="1:10" ht="14.4" customHeight="1" x14ac:dyDescent="0.3">
      <c r="A30" s="333" t="s">
        <v>384</v>
      </c>
      <c r="B30" s="334" t="s">
        <v>226</v>
      </c>
      <c r="C30" s="335">
        <v>32.191409999999998</v>
      </c>
      <c r="D30" s="335">
        <v>36.43665</v>
      </c>
      <c r="E30" s="335"/>
      <c r="F30" s="335">
        <v>34.921649999999993</v>
      </c>
      <c r="G30" s="335">
        <v>56.176456402799836</v>
      </c>
      <c r="H30" s="335">
        <v>-21.254806402799844</v>
      </c>
      <c r="I30" s="336">
        <v>0.62164209414710425</v>
      </c>
      <c r="J30" s="337" t="s">
        <v>1</v>
      </c>
    </row>
    <row r="31" spans="1:10" ht="14.4" customHeight="1" x14ac:dyDescent="0.3">
      <c r="A31" s="333" t="s">
        <v>384</v>
      </c>
      <c r="B31" s="334" t="s">
        <v>227</v>
      </c>
      <c r="C31" s="335">
        <v>0</v>
      </c>
      <c r="D31" s="335">
        <v>8.5153400000000001</v>
      </c>
      <c r="E31" s="335"/>
      <c r="F31" s="335">
        <v>0</v>
      </c>
      <c r="G31" s="335">
        <v>5.6424622291309996</v>
      </c>
      <c r="H31" s="335">
        <v>-5.6424622291309996</v>
      </c>
      <c r="I31" s="336">
        <v>0</v>
      </c>
      <c r="J31" s="337" t="s">
        <v>1</v>
      </c>
    </row>
    <row r="32" spans="1:10" ht="14.4" customHeight="1" x14ac:dyDescent="0.3">
      <c r="A32" s="333" t="s">
        <v>384</v>
      </c>
      <c r="B32" s="334" t="s">
        <v>228</v>
      </c>
      <c r="C32" s="335">
        <v>138.34218999999999</v>
      </c>
      <c r="D32" s="335">
        <v>188.47323000000003</v>
      </c>
      <c r="E32" s="335"/>
      <c r="F32" s="335">
        <v>325.03415999999999</v>
      </c>
      <c r="G32" s="335">
        <v>350.13742397646075</v>
      </c>
      <c r="H32" s="335">
        <v>-25.103263976460767</v>
      </c>
      <c r="I32" s="336">
        <v>0.92830453913961386</v>
      </c>
      <c r="J32" s="337" t="s">
        <v>1</v>
      </c>
    </row>
    <row r="33" spans="1:10" ht="14.4" customHeight="1" x14ac:dyDescent="0.3">
      <c r="A33" s="333" t="s">
        <v>384</v>
      </c>
      <c r="B33" s="334" t="s">
        <v>229</v>
      </c>
      <c r="C33" s="335">
        <v>11.20392</v>
      </c>
      <c r="D33" s="335">
        <v>9.5909999999999993</v>
      </c>
      <c r="E33" s="335"/>
      <c r="F33" s="335">
        <v>0.82764000000000004</v>
      </c>
      <c r="G33" s="335">
        <v>5.5947237106319996</v>
      </c>
      <c r="H33" s="335">
        <v>-4.7670837106319999</v>
      </c>
      <c r="I33" s="336">
        <v>0.1479322380883947</v>
      </c>
      <c r="J33" s="337" t="s">
        <v>1</v>
      </c>
    </row>
    <row r="34" spans="1:10" ht="14.4" customHeight="1" x14ac:dyDescent="0.3">
      <c r="A34" s="333" t="s">
        <v>384</v>
      </c>
      <c r="B34" s="334" t="s">
        <v>230</v>
      </c>
      <c r="C34" s="335">
        <v>45.828000000000003</v>
      </c>
      <c r="D34" s="335">
        <v>0</v>
      </c>
      <c r="E34" s="335"/>
      <c r="F34" s="335">
        <v>2.8716499999999998</v>
      </c>
      <c r="G34" s="335">
        <v>32.88463114706758</v>
      </c>
      <c r="H34" s="335">
        <v>-30.012981147067581</v>
      </c>
      <c r="I34" s="336">
        <v>8.7324987382626409E-2</v>
      </c>
      <c r="J34" s="337" t="s">
        <v>1</v>
      </c>
    </row>
    <row r="35" spans="1:10" ht="14.4" customHeight="1" x14ac:dyDescent="0.3">
      <c r="A35" s="333" t="s">
        <v>384</v>
      </c>
      <c r="B35" s="334" t="s">
        <v>510</v>
      </c>
      <c r="C35" s="335">
        <v>2.8386</v>
      </c>
      <c r="D35" s="335" t="s">
        <v>381</v>
      </c>
      <c r="E35" s="335"/>
      <c r="F35" s="335" t="s">
        <v>381</v>
      </c>
      <c r="G35" s="335" t="s">
        <v>381</v>
      </c>
      <c r="H35" s="335" t="s">
        <v>381</v>
      </c>
      <c r="I35" s="336" t="s">
        <v>381</v>
      </c>
      <c r="J35" s="337" t="s">
        <v>1</v>
      </c>
    </row>
    <row r="36" spans="1:10" ht="14.4" customHeight="1" x14ac:dyDescent="0.3">
      <c r="A36" s="333" t="s">
        <v>384</v>
      </c>
      <c r="B36" s="334" t="s">
        <v>386</v>
      </c>
      <c r="C36" s="335">
        <v>-1410.8877600000012</v>
      </c>
      <c r="D36" s="335">
        <v>3137.5277599999968</v>
      </c>
      <c r="E36" s="335"/>
      <c r="F36" s="335">
        <v>5601.1877000000122</v>
      </c>
      <c r="G36" s="335">
        <v>3748.197605811446</v>
      </c>
      <c r="H36" s="335">
        <v>1852.9900941885662</v>
      </c>
      <c r="I36" s="336">
        <v>1.494368304199216</v>
      </c>
      <c r="J36" s="337" t="s">
        <v>387</v>
      </c>
    </row>
    <row r="37" spans="1:10" ht="14.4" customHeight="1" x14ac:dyDescent="0.3">
      <c r="A37" s="333" t="s">
        <v>381</v>
      </c>
      <c r="B37" s="334" t="s">
        <v>381</v>
      </c>
      <c r="C37" s="335" t="s">
        <v>381</v>
      </c>
      <c r="D37" s="335" t="s">
        <v>381</v>
      </c>
      <c r="E37" s="335"/>
      <c r="F37" s="335" t="s">
        <v>381</v>
      </c>
      <c r="G37" s="335" t="s">
        <v>381</v>
      </c>
      <c r="H37" s="335" t="s">
        <v>381</v>
      </c>
      <c r="I37" s="336" t="s">
        <v>381</v>
      </c>
      <c r="J37" s="337" t="s">
        <v>388</v>
      </c>
    </row>
    <row r="38" spans="1:10" ht="14.4" customHeight="1" x14ac:dyDescent="0.3">
      <c r="A38" s="333" t="s">
        <v>389</v>
      </c>
      <c r="B38" s="334" t="s">
        <v>390</v>
      </c>
      <c r="C38" s="335" t="s">
        <v>381</v>
      </c>
      <c r="D38" s="335" t="s">
        <v>381</v>
      </c>
      <c r="E38" s="335"/>
      <c r="F38" s="335" t="s">
        <v>381</v>
      </c>
      <c r="G38" s="335" t="s">
        <v>381</v>
      </c>
      <c r="H38" s="335" t="s">
        <v>381</v>
      </c>
      <c r="I38" s="336" t="s">
        <v>381</v>
      </c>
      <c r="J38" s="337" t="s">
        <v>0</v>
      </c>
    </row>
    <row r="39" spans="1:10" ht="14.4" customHeight="1" x14ac:dyDescent="0.3">
      <c r="A39" s="333" t="s">
        <v>389</v>
      </c>
      <c r="B39" s="334" t="s">
        <v>220</v>
      </c>
      <c r="C39" s="335">
        <v>0</v>
      </c>
      <c r="D39" s="335">
        <v>1.3793800000000001</v>
      </c>
      <c r="E39" s="335"/>
      <c r="F39" s="335">
        <v>0</v>
      </c>
      <c r="G39" s="335">
        <v>0.58333301924333336</v>
      </c>
      <c r="H39" s="335">
        <v>-0.58333301924333336</v>
      </c>
      <c r="I39" s="336">
        <v>0</v>
      </c>
      <c r="J39" s="337" t="s">
        <v>1</v>
      </c>
    </row>
    <row r="40" spans="1:10" ht="14.4" customHeight="1" x14ac:dyDescent="0.3">
      <c r="A40" s="333" t="s">
        <v>389</v>
      </c>
      <c r="B40" s="334" t="s">
        <v>509</v>
      </c>
      <c r="C40" s="335">
        <v>0</v>
      </c>
      <c r="D40" s="335" t="s">
        <v>381</v>
      </c>
      <c r="E40" s="335"/>
      <c r="F40" s="335" t="s">
        <v>381</v>
      </c>
      <c r="G40" s="335" t="s">
        <v>381</v>
      </c>
      <c r="H40" s="335" t="s">
        <v>381</v>
      </c>
      <c r="I40" s="336" t="s">
        <v>381</v>
      </c>
      <c r="J40" s="337" t="s">
        <v>1</v>
      </c>
    </row>
    <row r="41" spans="1:10" ht="14.4" customHeight="1" x14ac:dyDescent="0.3">
      <c r="A41" s="333" t="s">
        <v>389</v>
      </c>
      <c r="B41" s="334" t="s">
        <v>221</v>
      </c>
      <c r="C41" s="335">
        <v>219.96245999999999</v>
      </c>
      <c r="D41" s="335">
        <v>233.03927000000002</v>
      </c>
      <c r="E41" s="335"/>
      <c r="F41" s="335">
        <v>272.98112999999995</v>
      </c>
      <c r="G41" s="335">
        <v>226.61505171886</v>
      </c>
      <c r="H41" s="335">
        <v>46.366078281139949</v>
      </c>
      <c r="I41" s="336">
        <v>1.2046028184335345</v>
      </c>
      <c r="J41" s="337" t="s">
        <v>1</v>
      </c>
    </row>
    <row r="42" spans="1:10" ht="14.4" customHeight="1" x14ac:dyDescent="0.3">
      <c r="A42" s="333" t="s">
        <v>389</v>
      </c>
      <c r="B42" s="334" t="s">
        <v>222</v>
      </c>
      <c r="C42" s="335">
        <v>1823.9175700000001</v>
      </c>
      <c r="D42" s="335">
        <v>571.33751999999902</v>
      </c>
      <c r="E42" s="335"/>
      <c r="F42" s="335">
        <v>402.03249999999997</v>
      </c>
      <c r="G42" s="335">
        <v>531.00046239658775</v>
      </c>
      <c r="H42" s="335">
        <v>-128.96796239658778</v>
      </c>
      <c r="I42" s="336">
        <v>0.75712269286073497</v>
      </c>
      <c r="J42" s="337" t="s">
        <v>1</v>
      </c>
    </row>
    <row r="43" spans="1:10" ht="14.4" customHeight="1" x14ac:dyDescent="0.3">
      <c r="A43" s="333" t="s">
        <v>389</v>
      </c>
      <c r="B43" s="334" t="s">
        <v>224</v>
      </c>
      <c r="C43" s="335">
        <v>0</v>
      </c>
      <c r="D43" s="335">
        <v>0</v>
      </c>
      <c r="E43" s="335"/>
      <c r="F43" s="335" t="s">
        <v>381</v>
      </c>
      <c r="G43" s="335" t="s">
        <v>381</v>
      </c>
      <c r="H43" s="335" t="s">
        <v>381</v>
      </c>
      <c r="I43" s="336" t="s">
        <v>381</v>
      </c>
      <c r="J43" s="337" t="s">
        <v>1</v>
      </c>
    </row>
    <row r="44" spans="1:10" ht="14.4" customHeight="1" x14ac:dyDescent="0.3">
      <c r="A44" s="333" t="s">
        <v>389</v>
      </c>
      <c r="B44" s="334" t="s">
        <v>225</v>
      </c>
      <c r="C44" s="335">
        <v>115.85861</v>
      </c>
      <c r="D44" s="335">
        <v>180.56598000000002</v>
      </c>
      <c r="E44" s="335"/>
      <c r="F44" s="335">
        <v>224.26232000000002</v>
      </c>
      <c r="G44" s="335">
        <v>224.33762837562475</v>
      </c>
      <c r="H44" s="335">
        <v>-7.5308375624729251E-2</v>
      </c>
      <c r="I44" s="336">
        <v>0.99966430787304827</v>
      </c>
      <c r="J44" s="337" t="s">
        <v>1</v>
      </c>
    </row>
    <row r="45" spans="1:10" ht="14.4" customHeight="1" x14ac:dyDescent="0.3">
      <c r="A45" s="333" t="s">
        <v>389</v>
      </c>
      <c r="B45" s="334" t="s">
        <v>226</v>
      </c>
      <c r="C45" s="335">
        <v>0.60579000000000005</v>
      </c>
      <c r="D45" s="335">
        <v>7.0906000000000002</v>
      </c>
      <c r="E45" s="335"/>
      <c r="F45" s="335">
        <v>0.184</v>
      </c>
      <c r="G45" s="335">
        <v>11.65046918238</v>
      </c>
      <c r="H45" s="335">
        <v>-11.466469182380001</v>
      </c>
      <c r="I45" s="336">
        <v>1.5793355367891872E-2</v>
      </c>
      <c r="J45" s="337" t="s">
        <v>1</v>
      </c>
    </row>
    <row r="46" spans="1:10" ht="14.4" customHeight="1" x14ac:dyDescent="0.3">
      <c r="A46" s="333" t="s">
        <v>389</v>
      </c>
      <c r="B46" s="334" t="s">
        <v>227</v>
      </c>
      <c r="C46" s="335">
        <v>0</v>
      </c>
      <c r="D46" s="335">
        <v>0</v>
      </c>
      <c r="E46" s="335"/>
      <c r="F46" s="335">
        <v>0</v>
      </c>
      <c r="G46" s="335">
        <v>22.569842290293082</v>
      </c>
      <c r="H46" s="335">
        <v>-22.569842290293082</v>
      </c>
      <c r="I46" s="336">
        <v>0</v>
      </c>
      <c r="J46" s="337" t="s">
        <v>1</v>
      </c>
    </row>
    <row r="47" spans="1:10" ht="14.4" customHeight="1" x14ac:dyDescent="0.3">
      <c r="A47" s="333" t="s">
        <v>389</v>
      </c>
      <c r="B47" s="334" t="s">
        <v>228</v>
      </c>
      <c r="C47" s="335">
        <v>12.286</v>
      </c>
      <c r="D47" s="335">
        <v>136.28072</v>
      </c>
      <c r="E47" s="335"/>
      <c r="F47" s="335">
        <v>121.74666999999999</v>
      </c>
      <c r="G47" s="335">
        <v>158.03796765829333</v>
      </c>
      <c r="H47" s="335">
        <v>-36.291297658293331</v>
      </c>
      <c r="I47" s="336">
        <v>0.77036342471347341</v>
      </c>
      <c r="J47" s="337" t="s">
        <v>1</v>
      </c>
    </row>
    <row r="48" spans="1:10" ht="14.4" customHeight="1" x14ac:dyDescent="0.3">
      <c r="A48" s="333" t="s">
        <v>389</v>
      </c>
      <c r="B48" s="334" t="s">
        <v>229</v>
      </c>
      <c r="C48" s="335" t="s">
        <v>381</v>
      </c>
      <c r="D48" s="335">
        <v>9.5909999999999993</v>
      </c>
      <c r="E48" s="335"/>
      <c r="F48" s="335">
        <v>0</v>
      </c>
      <c r="G48" s="335">
        <v>5.5947237106319996</v>
      </c>
      <c r="H48" s="335">
        <v>-5.5947237106319996</v>
      </c>
      <c r="I48" s="336">
        <v>0</v>
      </c>
      <c r="J48" s="337" t="s">
        <v>1</v>
      </c>
    </row>
    <row r="49" spans="1:10" ht="14.4" customHeight="1" x14ac:dyDescent="0.3">
      <c r="A49" s="333" t="s">
        <v>389</v>
      </c>
      <c r="B49" s="334" t="s">
        <v>230</v>
      </c>
      <c r="C49" s="335">
        <v>0</v>
      </c>
      <c r="D49" s="335">
        <v>0</v>
      </c>
      <c r="E49" s="335"/>
      <c r="F49" s="335">
        <v>183.77831</v>
      </c>
      <c r="G49" s="335">
        <v>325.87692946616562</v>
      </c>
      <c r="H49" s="335">
        <v>-142.09861946616562</v>
      </c>
      <c r="I49" s="336">
        <v>0.56395004795539205</v>
      </c>
      <c r="J49" s="337" t="s">
        <v>1</v>
      </c>
    </row>
    <row r="50" spans="1:10" ht="14.4" customHeight="1" x14ac:dyDescent="0.3">
      <c r="A50" s="333" t="s">
        <v>389</v>
      </c>
      <c r="B50" s="334" t="s">
        <v>391</v>
      </c>
      <c r="C50" s="335">
        <v>2172.6304300000002</v>
      </c>
      <c r="D50" s="335">
        <v>1139.2844699999989</v>
      </c>
      <c r="E50" s="335"/>
      <c r="F50" s="335">
        <v>1204.9849299999998</v>
      </c>
      <c r="G50" s="335">
        <v>1506.2664078180799</v>
      </c>
      <c r="H50" s="335">
        <v>-301.28147781808002</v>
      </c>
      <c r="I50" s="336">
        <v>0.79998128069887386</v>
      </c>
      <c r="J50" s="337" t="s">
        <v>387</v>
      </c>
    </row>
    <row r="51" spans="1:10" ht="14.4" customHeight="1" x14ac:dyDescent="0.3">
      <c r="A51" s="333" t="s">
        <v>381</v>
      </c>
      <c r="B51" s="334" t="s">
        <v>381</v>
      </c>
      <c r="C51" s="335" t="s">
        <v>381</v>
      </c>
      <c r="D51" s="335" t="s">
        <v>381</v>
      </c>
      <c r="E51" s="335"/>
      <c r="F51" s="335" t="s">
        <v>381</v>
      </c>
      <c r="G51" s="335" t="s">
        <v>381</v>
      </c>
      <c r="H51" s="335" t="s">
        <v>381</v>
      </c>
      <c r="I51" s="336" t="s">
        <v>381</v>
      </c>
      <c r="J51" s="337" t="s">
        <v>388</v>
      </c>
    </row>
    <row r="52" spans="1:10" ht="14.4" customHeight="1" x14ac:dyDescent="0.3">
      <c r="A52" s="333" t="s">
        <v>379</v>
      </c>
      <c r="B52" s="334" t="s">
        <v>382</v>
      </c>
      <c r="C52" s="335">
        <v>761.74266999999872</v>
      </c>
      <c r="D52" s="335">
        <v>4276.8122299999968</v>
      </c>
      <c r="E52" s="335"/>
      <c r="F52" s="335">
        <v>6806.1726300000118</v>
      </c>
      <c r="G52" s="335">
        <v>5254.4640136295257</v>
      </c>
      <c r="H52" s="335">
        <v>1551.7086163704862</v>
      </c>
      <c r="I52" s="336">
        <v>1.2953124452552187</v>
      </c>
      <c r="J52" s="337" t="s">
        <v>383</v>
      </c>
    </row>
  </sheetData>
  <mergeCells count="3">
    <mergeCell ref="A1:I1"/>
    <mergeCell ref="F3:I3"/>
    <mergeCell ref="C4:D4"/>
  </mergeCells>
  <conditionalFormatting sqref="F20 F53:F65537">
    <cfRule type="cellIs" dxfId="17" priority="18" stopIfTrue="1" operator="greaterThan">
      <formula>1</formula>
    </cfRule>
  </conditionalFormatting>
  <conditionalFormatting sqref="H5:H19">
    <cfRule type="expression" dxfId="16" priority="14">
      <formula>$H5&gt;0</formula>
    </cfRule>
  </conditionalFormatting>
  <conditionalFormatting sqref="I5:I19">
    <cfRule type="expression" dxfId="15" priority="15">
      <formula>$I5&gt;1</formula>
    </cfRule>
  </conditionalFormatting>
  <conditionalFormatting sqref="B5:B19">
    <cfRule type="expression" dxfId="14" priority="11">
      <formula>OR($J5="NS",$J5="SumaNS",$J5="Účet")</formula>
    </cfRule>
  </conditionalFormatting>
  <conditionalFormatting sqref="F5:I19 B5:D19">
    <cfRule type="expression" dxfId="13" priority="17">
      <formula>AND($J5&lt;&gt;"",$J5&lt;&gt;"mezeraKL")</formula>
    </cfRule>
  </conditionalFormatting>
  <conditionalFormatting sqref="B5:D19 F5:I19">
    <cfRule type="expression" dxfId="12" priority="12">
      <formula>OR($J5="KL",$J5="SumaKL")</formula>
    </cfRule>
    <cfRule type="expression" priority="16" stopIfTrue="1">
      <formula>OR($J5="mezeraNS",$J5="mezeraKL")</formula>
    </cfRule>
  </conditionalFormatting>
  <conditionalFormatting sqref="B5:D19 F5:I19">
    <cfRule type="expression" dxfId="11" priority="13">
      <formula>OR($J5="SumaNS",$J5="NS")</formula>
    </cfRule>
  </conditionalFormatting>
  <conditionalFormatting sqref="A5:A19">
    <cfRule type="expression" dxfId="10" priority="9">
      <formula>AND($J5&lt;&gt;"mezeraKL",$J5&lt;&gt;"")</formula>
    </cfRule>
  </conditionalFormatting>
  <conditionalFormatting sqref="A5:A19">
    <cfRule type="expression" dxfId="9" priority="10">
      <formula>AND($J5&lt;&gt;"",$J5&lt;&gt;"mezeraKL")</formula>
    </cfRule>
  </conditionalFormatting>
  <conditionalFormatting sqref="H21:H52">
    <cfRule type="expression" dxfId="8" priority="5">
      <formula>$H21&gt;0</formula>
    </cfRule>
  </conditionalFormatting>
  <conditionalFormatting sqref="A21:A52">
    <cfRule type="expression" dxfId="7" priority="2">
      <formula>AND($J21&lt;&gt;"mezeraKL",$J21&lt;&gt;"")</formula>
    </cfRule>
  </conditionalFormatting>
  <conditionalFormatting sqref="I21:I52">
    <cfRule type="expression" dxfId="6" priority="6">
      <formula>$I21&gt;1</formula>
    </cfRule>
  </conditionalFormatting>
  <conditionalFormatting sqref="B21:B52">
    <cfRule type="expression" dxfId="5" priority="1">
      <formula>OR($J21="NS",$J21="SumaNS",$J21="Účet")</formula>
    </cfRule>
  </conditionalFormatting>
  <conditionalFormatting sqref="A21:D52 F21:I52">
    <cfRule type="expression" dxfId="4" priority="8">
      <formula>AND($J21&lt;&gt;"",$J21&lt;&gt;"mezeraKL")</formula>
    </cfRule>
  </conditionalFormatting>
  <conditionalFormatting sqref="B21:D52 F21:I52">
    <cfRule type="expression" dxfId="3" priority="3">
      <formula>OR($J21="KL",$J21="SumaKL")</formula>
    </cfRule>
    <cfRule type="expression" priority="7" stopIfTrue="1">
      <formula>OR($J21="mezeraNS",$J21="mezeraKL")</formula>
    </cfRule>
  </conditionalFormatting>
  <conditionalFormatting sqref="B21:D52 F21:I52">
    <cfRule type="expression" dxfId="2" priority="4">
      <formula>OR($J21="SumaNS",$J21="NS")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12</vt:i4>
      </vt:variant>
    </vt:vector>
  </HeadingPairs>
  <TitlesOfParts>
    <vt:vector size="12" baseType="lpstr">
      <vt:lpstr>Obsah</vt:lpstr>
      <vt:lpstr>Motivace</vt:lpstr>
      <vt:lpstr>HI</vt:lpstr>
      <vt:lpstr>Man Tab</vt:lpstr>
      <vt:lpstr>HV</vt:lpstr>
      <vt:lpstr>Léky Žádanky</vt:lpstr>
      <vt:lpstr>LŽ Detail</vt:lpstr>
      <vt:lpstr>LŽ Statim</vt:lpstr>
      <vt:lpstr>Materiál Žádanky</vt:lpstr>
      <vt:lpstr>MŽ Detail</vt:lpstr>
      <vt:lpstr>Osobní náklady</vt:lpstr>
      <vt:lpstr>ON 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62361</cp:lastModifiedBy>
  <cp:lastPrinted>2014-06-27T07:52:51Z</cp:lastPrinted>
  <dcterms:created xsi:type="dcterms:W3CDTF">2013-04-17T20:15:29Z</dcterms:created>
  <dcterms:modified xsi:type="dcterms:W3CDTF">2014-08-20T10:01:51Z</dcterms:modified>
</cp:coreProperties>
</file>