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19" r:id="rId13"/>
    <sheet name="ON Data" sheetId="418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9" i="414" l="1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A15" i="383" l="1"/>
  <c r="A10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E11" i="339" l="1"/>
  <c r="B11" i="339"/>
  <c r="F11" i="339" l="1"/>
  <c r="C11" i="339"/>
  <c r="H11" i="339" l="1"/>
  <c r="G11" i="339"/>
  <c r="A13" i="414"/>
  <c r="A8" i="414"/>
  <c r="A7" i="414"/>
  <c r="A14" i="414"/>
  <c r="A4" i="414"/>
  <c r="A6" i="339" l="1"/>
  <c r="A5" i="339"/>
  <c r="D4" i="414"/>
  <c r="D17" i="414"/>
  <c r="D14" i="414"/>
  <c r="C14" i="414"/>
  <c r="C17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B12" i="339"/>
  <c r="F12" i="339" s="1"/>
  <c r="M3" i="387"/>
  <c r="K3" i="387" s="1"/>
  <c r="L3" i="387"/>
  <c r="J3" i="387"/>
  <c r="I3" i="387"/>
  <c r="H3" i="387"/>
  <c r="G3" i="387"/>
  <c r="F3" i="387"/>
  <c r="N3" i="220"/>
  <c r="L3" i="220" s="1"/>
  <c r="C18" i="414"/>
  <c r="D18" i="414"/>
  <c r="F13" i="339" l="1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B15" i="339" s="1"/>
  <c r="C4" i="414"/>
  <c r="D16" i="414"/>
  <c r="H13" i="339" l="1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<sst xmlns="http://schemas.openxmlformats.org/spreadsheetml/2006/main" count="2750" uniqueCount="850">
  <si>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</si>
  <si>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</si>
  <si>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</si>
  <si>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</si>
  <si>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</si>
  <si>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</si>
  <si>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</si>
  <si>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</si>
  <si>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</si>
  <si>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</si>
  <si>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</si>
  <si>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</si>
  <si>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</si>
  <si>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</si>
  <si>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</si>
  <si>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</si>
  <si>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</si>
  <si>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</si>
  <si>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</si>
  <si>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</si>
  <si>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</si>
  <si>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</si>
  <si>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</si>
  <si>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</si>
  <si>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</si>
  <si>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</si>
  <si>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</si>
  <si>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</si>
  <si>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</si>
  <si>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</si>
  <si>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</si>
  <si>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</si>
  <si>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</si>
  <si>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</si>
  <si>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</si>
  <si>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</si>
  <si>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</si>
  <si>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</si>
  <si>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</si>
  <si>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</si>
  <si>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</si>
  <si>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</si>
  <si>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</si>
  <si>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</si>
  <si>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</si>
  <si>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</si>
  <si>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</si>
  <si>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</si>
  <si>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</si>
  <si>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</si>
  <si>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</si>
  <si>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</si>
  <si>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</si>
  <si>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</si>
  <si>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</si>
  <si>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</si>
  <si>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</si>
  <si>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</si>
  <si>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</si>
  <si>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</si>
  <si>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</si>
  <si>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</si>
  <si>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</si>
  <si>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</si>
  <si>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</si>
  <si>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</si>
  <si>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</si>
  <si>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</si>
  <si>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</si>
  <si>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</si>
  <si>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</si>
  <si>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</si>
  <si>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</si>
  <si>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</si>
  <si>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</si>
  <si>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</si>
  <si>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</si>
  <si>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</si>
  <si>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</si>
  <si>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</si>
  <si>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</si>
  <si>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</si>
  <si>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</si>
  <si>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</si>
  <si>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</si>
  <si>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</si>
  <si>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</si>
  <si>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</si>
  <si>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</si>
  <si>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</si>
  <si>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</si>
  <si>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</si>
  <si>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</si>
  <si>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</si>
  <si>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</si>
  <si>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</si>
  <si>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</si>
  <si>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</si>
  <si>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</si>
  <si>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</si>
  <si>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</si>
  <si>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</si>
  <si>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</si>
  <si>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</si>
  <si>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</si>
  <si>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</si>
  <si>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</si>
  <si>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</si>
  <si>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</si>
  <si>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</si>
  <si>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</si>
  <si>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</si>
  <si>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</si>
  <si>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</si>
  <si>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</si>
  <si>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</si>
  <si>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</si>
  <si>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</si>
  <si>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</si>
  <si>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</si>
  <si>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</si>
  <si>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</si>
  <si>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</si>
  <si>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</si>
  <si>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</si>
  <si>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</si>
  <si>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</si>
  <si>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</si>
  <si>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</si>
  <si>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</si>
  <si>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</si>
  <si>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</si>
  <si>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</si>
  <si>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</si>
  <si>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</si>
  <si>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</si>
  <si>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</si>
  <si>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</si>
  <si>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</si>
  <si>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</si>
  <si>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</si>
  <si>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</si>
  <si>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</si>
  <si>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</si>
  <si>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</si>
  <si>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</si>
  <si>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</si>
  <si>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</si>
  <si>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</si>
  <si>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</si>
  <si>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</si>
  <si>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</si>
  <si>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</si>
  <si>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</si>
  <si>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</si>
  <si>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</si>
  <si>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</si>
  <si>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</si>
  <si>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</si>
  <si>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</si>
  <si>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</si>
  <si>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</si>
  <si>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</si>
  <si>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</si>
  <si>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</si>
  <si>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</si>
  <si>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</si>
  <si>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</si>
  <si>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</si>
  <si>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</si>
  <si>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</si>
  <si>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</si>
  <si>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</si>
  <si>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</si>
  <si>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</si>
  <si>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</si>
  <si>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</si>
  <si>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</si>
  <si>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</si>
  <si>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</si>
  <si>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</si>
  <si>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</si>
  <si>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</si>
  <si>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</si>
  <si>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</si>
  <si>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</si>
  <si>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</si>
  <si>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</si>
  <si>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</si>
  <si>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</si>
  <si>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</si>
  <si>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</si>
  <si>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</si>
  <si>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</si>
  <si>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</si>
  <si>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</si>
  <si>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</si>
  <si>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</si>
  <si>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</si>
  <si>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</si>
  <si>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</si>
  <si>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</si>
  <si>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</si>
  <si>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</si>
  <si>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</si>
  <si>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</si>
  <si>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</si>
  <si>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</si>
  <si>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</si>
  <si>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</si>
  <si>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</si>
  <si>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</si>
  <si>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</si>
  <si>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</si>
  <si>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</si>
  <si>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</si>
  <si>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</si>
  <si>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</si>
  <si>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</si>
  <si>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</si>
  <si>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</si>
  <si>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</si>
  <si>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</si>
  <si>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</si>
  <si>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</si>
  <si>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</si>
  <si>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</si>
  <si>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</si>
  <si>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</si>
  <si>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</si>
  <si>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</si>
  <si>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</si>
  <si>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</si>
  <si>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50115050     obvazový materiál (sk.Z_502)</t>
  </si>
  <si>
    <t>50115060     ostatní ZPr - mimo níže uvedené (sk.Z_503)</t>
  </si>
  <si>
    <t>50115061     ostatní ZPr - robotické centrum (sk.Z_512)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</si>
  <si>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</si>
  <si>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</si>
  <si>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</si>
  <si>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50115066     ostatní ZPr - šicí materiál - robot (sk.Z_531)</t>
  </si>
  <si>
    <t>50115067     ostatní ZPr - rukavice (sk.Z_532)</t>
  </si>
  <si>
    <t>50115070     ostatní ZPr - katetry (sk.Z_513)</t>
  </si>
  <si>
    <t>50115079     ostatní ZPr - intenzivní péče (sk.Z_542)</t>
  </si>
  <si>
    <t>--</t>
  </si>
  <si>
    <t>50115080     ostatní ZPr - staplery, extraktory (sk.Z_523)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</si>
  <si>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</si>
  <si>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</si>
  <si>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</si>
  <si>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</si>
  <si>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</si>
  <si>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</si>
  <si>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</si>
  <si>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</si>
  <si>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</si>
  <si>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</si>
  <si>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</si>
  <si>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</si>
  <si>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</si>
  <si>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</si>
  <si>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</si>
  <si>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</si>
  <si>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</si>
  <si>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</si>
  <si>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</si>
  <si>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</si>
  <si>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</si>
  <si>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</si>
  <si>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</si>
  <si>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</si>
  <si>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</si>
  <si>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</si>
  <si>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</si>
  <si>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</si>
  <si>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</si>
  <si>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</si>
  <si>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</si>
  <si>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</si>
  <si>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</si>
  <si>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</si>
  <si>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</si>
  <si>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</si>
  <si>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</si>
  <si>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</si>
  <si>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</si>
  <si>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</si>
  <si>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</si>
  <si>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</si>
  <si>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</si>
  <si>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</si>
  <si>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</si>
  <si>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</si>
  <si>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</si>
  <si>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</si>
  <si>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</si>
  <si>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</si>
  <si>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</si>
  <si>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</si>
  <si>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</si>
  <si>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</si>
  <si>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</si>
  <si>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</si>
  <si>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</si>
  <si>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</si>
  <si>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</si>
  <si>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</si>
  <si>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</si>
  <si>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</si>
  <si>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</si>
  <si>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</si>
  <si>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</si>
  <si>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</si>
  <si>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</si>
  <si>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</si>
  <si>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</si>
  <si>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</si>
  <si>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</si>
  <si>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</si>
  <si>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</si>
  <si>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</si>
  <si>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</si>
  <si>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</si>
  <si>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</si>
  <si>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</si>
  <si>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</si>
  <si>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</si>
  <si>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</si>
  <si>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</si>
  <si>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</si>
  <si>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</si>
  <si>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</si>
  <si>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</si>
  <si>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</si>
  <si>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</si>
  <si>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</si>
  <si>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</si>
  <si>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</si>
  <si>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</si>
  <si>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</si>
  <si>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</si>
  <si>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</si>
  <si>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</si>
  <si>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</si>
  <si>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</si>
  <si>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</si>
  <si>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</si>
  <si>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</si>
  <si>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</si>
  <si>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</si>
  <si>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</si>
  <si>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</si>
  <si>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</si>
  <si>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</si>
  <si>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</si>
  <si>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</si>
  <si>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</si>
  <si>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</si>
  <si>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</si>
  <si>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</si>
  <si>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</si>
  <si>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</si>
  <si>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</si>
  <si>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</si>
  <si>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</si>
  <si>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</si>
  <si>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</si>
  <si>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</si>
  <si>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</si>
  <si>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</si>
  <si>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</si>
  <si>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</si>
  <si>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</si>
  <si>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</si>
  <si>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</si>
  <si>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</si>
  <si>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</si>
  <si>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</si>
  <si>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</si>
  <si>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</si>
  <si>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 xml:space="preserve">Centrální operační sály </t>
  </si>
  <si>
    <t/>
  </si>
  <si>
    <t>50113009     léky - RTG diagnostika ZUL (LEK)</t>
  </si>
  <si>
    <t>Centrální operační sály  Celkem</t>
  </si>
  <si>
    <t>SumaKL</t>
  </si>
  <si>
    <t>4764</t>
  </si>
  <si>
    <t xml:space="preserve">centrální operační sály </t>
  </si>
  <si>
    <t>centrální operační sály  Celkem</t>
  </si>
  <si>
    <t>SumaNS</t>
  </si>
  <si>
    <t>mezeraNS</t>
  </si>
  <si>
    <t>4766</t>
  </si>
  <si>
    <t>operační sály dětské chirurgie</t>
  </si>
  <si>
    <t>operační sály dětské chirurgie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</si>
  <si>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</si>
  <si>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</si>
  <si>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</si>
  <si>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</si>
  <si>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</si>
  <si>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</si>
  <si>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</si>
  <si>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</si>
  <si>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</si>
  <si>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</si>
  <si>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162320</t>
  </si>
  <si>
    <t>62320</t>
  </si>
  <si>
    <t>BETADINE</t>
  </si>
  <si>
    <t>UNG 1X20GM</t>
  </si>
  <si>
    <t>395210</t>
  </si>
  <si>
    <t>Aqua Touch Jelly 25x6ml</t>
  </si>
  <si>
    <t>921458</t>
  </si>
  <si>
    <t>KL ETHER 200G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</si>
  <si>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</si>
  <si>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</si>
  <si>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</si>
  <si>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</si>
  <si>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</si>
  <si>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</si>
  <si>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</si>
  <si>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100809</t>
  </si>
  <si>
    <t>809</t>
  </si>
  <si>
    <t>SANORIN-ANALERGIN</t>
  </si>
  <si>
    <t>LIQ 1X10ML</t>
  </si>
  <si>
    <t>790001</t>
  </si>
  <si>
    <t>TRAUMACEL P 2G</t>
  </si>
  <si>
    <t>neleč.</t>
  </si>
  <si>
    <t>198880</t>
  </si>
  <si>
    <t>98880</t>
  </si>
  <si>
    <t>FYZIOLOGICKÝ ROZTOK VIAFLO</t>
  </si>
  <si>
    <t>INF SOL 10X1000ML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</si>
  <si>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</si>
  <si>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</si>
  <si>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</si>
  <si>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</si>
  <si>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</si>
  <si>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</si>
  <si>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</si>
  <si>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844940</t>
  </si>
  <si>
    <t>KL ELIXÍR NA OPTIKU</t>
  </si>
  <si>
    <t>920273</t>
  </si>
  <si>
    <t>KL SOL.FORMAL.K FIXACI TKANI,5000G</t>
  </si>
  <si>
    <t>500989</t>
  </si>
  <si>
    <t>KL MS HYDROG.PEROX. 3% 1000g</t>
  </si>
  <si>
    <t>501075</t>
  </si>
  <si>
    <t>IR  NaCl 0,9% 3000 ml vak Bieffe</t>
  </si>
  <si>
    <t>for irrig. 1x3000 ml 15%</t>
  </si>
  <si>
    <t>501048</t>
  </si>
  <si>
    <t>KL SOL.EPINEPHRINI T.0,1%  250G (1:1000)</t>
  </si>
  <si>
    <t>116325</t>
  </si>
  <si>
    <t>16325</t>
  </si>
  <si>
    <t>BRAUNOVIDON GAZA S MASTI</t>
  </si>
  <si>
    <t>DRM LIG IPR 1X20X10CM</t>
  </si>
  <si>
    <t>901171</t>
  </si>
  <si>
    <t>IR PARAFFINUM PERLIQUIDUM 10 ml</t>
  </si>
  <si>
    <t>IR 10 ml</t>
  </si>
  <si>
    <t>200863</t>
  </si>
  <si>
    <t>OPHTHALMO-SEPTONEX</t>
  </si>
  <si>
    <t>OPH GTT SOL 1X10ML PLAST</t>
  </si>
  <si>
    <t>124935</t>
  </si>
  <si>
    <t>ARTISS (FROZEN)</t>
  </si>
  <si>
    <t>GKU SOL 4ML (1X2ML+2ML)</t>
  </si>
  <si>
    <t>50113013</t>
  </si>
  <si>
    <t>101076</t>
  </si>
  <si>
    <t>1076</t>
  </si>
  <si>
    <t>OPHTHALMO-FRAMYKOIN</t>
  </si>
  <si>
    <t>UNG OPH 1X5GM</t>
  </si>
  <si>
    <t>101077</t>
  </si>
  <si>
    <t>1077</t>
  </si>
  <si>
    <t>OPHTHALMO-FRAMYKOIN COMPOSITUM</t>
  </si>
  <si>
    <t>P</t>
  </si>
  <si>
    <t>144328</t>
  </si>
  <si>
    <t>GARAMYCIN SCHWAMM</t>
  </si>
  <si>
    <t>DRM SPO 1X130MG</t>
  </si>
  <si>
    <t>Centrální operační sály</t>
  </si>
  <si>
    <t>Centrální operační sály , centrální operační sály</t>
  </si>
  <si>
    <t>COS - Operační sály dětské chirurgie</t>
  </si>
  <si>
    <t>Lékárna - léčiva</t>
  </si>
  <si>
    <t>Lékárna - antibiotika</t>
  </si>
  <si>
    <t>4764 - Centrální operační sály , centrální operační sály</t>
  </si>
  <si>
    <t>J01GB03 - Gentamicin</t>
  </si>
  <si>
    <t>J01GB03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</si>
  <si>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</si>
  <si>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</si>
  <si>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</si>
  <si>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</si>
  <si>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ZA330</t>
  </si>
  <si>
    <t>Obinadlo fixa crep   8 cm x 4 m 1323100103</t>
  </si>
  <si>
    <t>ZA331</t>
  </si>
  <si>
    <t>Obinadlo fixa crep 10 cm x 4 m 1323100104</t>
  </si>
  <si>
    <t>ZA338</t>
  </si>
  <si>
    <t>Obinadlo hydrofilní   6 cm x   5 m 13005</t>
  </si>
  <si>
    <t>ZA424</t>
  </si>
  <si>
    <t>Obinadlo elastické idealtex 14 cm x 5 m 9310643</t>
  </si>
  <si>
    <t>ZA508</t>
  </si>
  <si>
    <t>Rouška břišní předepraná 40 x 40 cm zelená 20 nití ,karton á 300 ks, 03012+</t>
  </si>
  <si>
    <t>ZA539</t>
  </si>
  <si>
    <t>Kompresa NT 10 x 10 cm nesterilní 06103</t>
  </si>
  <si>
    <t>ZA540</t>
  </si>
  <si>
    <t>Náplast omnifix E 15 cm x 10 m 9006513</t>
  </si>
  <si>
    <t>ZA541</t>
  </si>
  <si>
    <t>Fólie incizní rucodrape ( opraflex ) 40 x 35 cm 25444</t>
  </si>
  <si>
    <t>ZA547</t>
  </si>
  <si>
    <t>Krytí inadine nepřilnavé 9,5 x 9,5 cm 1/10 SYS01512EE</t>
  </si>
  <si>
    <t>ZA601</t>
  </si>
  <si>
    <t>Obinadlo fixa crep 12 cm x 4 m 1323100105</t>
  </si>
  <si>
    <t>ZA614</t>
  </si>
  <si>
    <t>Gáza přířezy 48 cm x 50 cm 17 nití karton á 750 ks 07012+</t>
  </si>
  <si>
    <t>ZB084</t>
  </si>
  <si>
    <t>Náplast transpore 2,50 cm x 9,14 m 1527-1</t>
  </si>
  <si>
    <t>ZB085</t>
  </si>
  <si>
    <t>Krytí surgicel standard 5 x 7,50 cm bal. á 12 ks 1903GB</t>
  </si>
  <si>
    <t>ZC352</t>
  </si>
  <si>
    <t>Obinadlo elastické universalní 12 cm x 10 m bal. á 12 ks 1320200207</t>
  </si>
  <si>
    <t>ZD825</t>
  </si>
  <si>
    <t>Tampon stáčený s RTG 50 cm x 50 cm tkanicí karton á 1250 ks 05002+</t>
  </si>
  <si>
    <t>ZD829</t>
  </si>
  <si>
    <t>Bandáž evelína pod sádru 1321303125</t>
  </si>
  <si>
    <t>ZF076</t>
  </si>
  <si>
    <t>Tampon sterilní stáčený 19 x 20 cm / 3 ks 0444</t>
  </si>
  <si>
    <t>ZI558</t>
  </si>
  <si>
    <t>Náplast curapor   7 x   5 cm 22120 ( náhrada za cosmopor )</t>
  </si>
  <si>
    <t>ZJ687</t>
  </si>
  <si>
    <t>Krytí gelitaspon tampon   80 x 30 mm bal. á 5 ks GS -210</t>
  </si>
  <si>
    <t>ZK405</t>
  </si>
  <si>
    <t>Krytí gelitaspon standard 80 x 50 mm x 10 mm bal. á 10 ks A2107861</t>
  </si>
  <si>
    <t>ZA531</t>
  </si>
  <si>
    <t>Textilie obv.kombinov. 140-3020 COM 30</t>
  </si>
  <si>
    <t>ZB086</t>
  </si>
  <si>
    <t>Krytí surgicel standard 10 x 20,0 cm bal. á 24 ks 1902GB</t>
  </si>
  <si>
    <t>ZC687</t>
  </si>
  <si>
    <t>Tampon prošívaný s RTG 45 cm x 45 cm bílá karton á 500 ks 03002</t>
  </si>
  <si>
    <t>ZL663</t>
  </si>
  <si>
    <t>Krytí mastný tyl pharmatull 10 x 10 cm bal. á 10 ks P-Tull1010</t>
  </si>
  <si>
    <t>ZL664</t>
  </si>
  <si>
    <t>Krytí mastný tyl pharmatull 10 x 20 cm bal. á 10 ks P-Tull1020</t>
  </si>
  <si>
    <t>ZL662</t>
  </si>
  <si>
    <t>Krytí mastný tyl pharmatull   5 x   5 cm bal. á 10 ks P-Tull5050</t>
  </si>
  <si>
    <t>ZB049</t>
  </si>
  <si>
    <t>Krytí cellistyp 7 x 10 cm bal. á 15 ks (náhrada za okcel) 2080511</t>
  </si>
  <si>
    <t>ZE824</t>
  </si>
  <si>
    <t>Krytí ccellistyp 5 x 7 cm bal. á 15 ks (náhrada za okcel) 2080508</t>
  </si>
  <si>
    <t>ZF454</t>
  </si>
  <si>
    <t>Obinadlo elastické lenkideal krátkotažné 12 cm x 5 m bal. á 10 ks 19584</t>
  </si>
  <si>
    <t>ZA210</t>
  </si>
  <si>
    <t>Cévka vyživovací CV-01 GAM646957</t>
  </si>
  <si>
    <t>ZA674</t>
  </si>
  <si>
    <t>Cévka CN-01 646959</t>
  </si>
  <si>
    <t>ZA690</t>
  </si>
  <si>
    <t>Čepelka skalpelová 10 BB510</t>
  </si>
  <si>
    <t>ZA749</t>
  </si>
  <si>
    <t>Stříkačka injekční 3-dílná 50 ml LL Omnifix Solo 4617509F</t>
  </si>
  <si>
    <t>ZA757</t>
  </si>
  <si>
    <t>Drén redon CH16 50 cm U2111600</t>
  </si>
  <si>
    <t>ZA758</t>
  </si>
  <si>
    <t>Drén redon CH14 50 cm U2111400</t>
  </si>
  <si>
    <t>ZA761</t>
  </si>
  <si>
    <t>Drén redon CH12 50 cm U2111200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</si>
  <si>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</si>
  <si>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</si>
  <si>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</si>
  <si>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</si>
  <si>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</si>
  <si>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</si>
  <si>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</si>
  <si>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</si>
  <si>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ZA964</t>
  </si>
  <si>
    <t>Stříkačka janett 3-dílná 60 ml sterilní vyplachovací MRG564</t>
  </si>
  <si>
    <t>ZB103</t>
  </si>
  <si>
    <t>Láhev k odsávačce flovac 2l hadice 1,8 m 000-036-021</t>
  </si>
  <si>
    <t>ZB249</t>
  </si>
  <si>
    <t>Sáček močový s křížovou výpustí sterilní 2000 ml ZAR-TNU201601</t>
  </si>
  <si>
    <t>ZB399</t>
  </si>
  <si>
    <t>Hadička PVC 1/1,5 KVS 599812</t>
  </si>
  <si>
    <t>ZB598</t>
  </si>
  <si>
    <t>Spojka symetrická přímá 7 x 7 mm 60.23.00 (120 430)</t>
  </si>
  <si>
    <t>ZB780</t>
  </si>
  <si>
    <t>Kontejner 120 ml sterilní 331690250350</t>
  </si>
  <si>
    <t>ZB885</t>
  </si>
  <si>
    <t>Vrták 1.1 mm se 2 drážkami, pro mini rychlospojku 513.030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</si>
  <si>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</si>
  <si>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</si>
  <si>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</si>
  <si>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</si>
  <si>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</si>
  <si>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</si>
  <si>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</si>
  <si>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</si>
  <si>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ZC757</t>
  </si>
  <si>
    <t>Čepelka skalpelová 24 BB524</t>
  </si>
  <si>
    <t>ZE173</t>
  </si>
  <si>
    <t>Nádoba na histologický mat. 200 ml 333000041002</t>
  </si>
  <si>
    <t>ZE310</t>
  </si>
  <si>
    <t>Nádoba na kontaminovaný odpad CS 6 l pův. 077802300</t>
  </si>
  <si>
    <t>ZF159</t>
  </si>
  <si>
    <t>Nádoba na kontaminovaný odpad 1 l 15-0002</t>
  </si>
  <si>
    <t>ZH493</t>
  </si>
  <si>
    <t>Katetr močový foley CH16 180605-000160</t>
  </si>
  <si>
    <t>ZH816</t>
  </si>
  <si>
    <t>Katetr močový foley CH14 180605-000140</t>
  </si>
  <si>
    <t>ZI179</t>
  </si>
  <si>
    <t>Zkumavka s mediem+ flovakovaný tampon eSwab růžový 490CE.A</t>
  </si>
  <si>
    <t>ZJ312</t>
  </si>
  <si>
    <t>Sonda žaludeční CH16 1200 mm s RTG linkou bal. á 50 ks 412016</t>
  </si>
  <si>
    <t>ZJ695</t>
  </si>
  <si>
    <t>Sonda žaludeční CH14 1200 mm s RTG linkou bal. á 50 ks 412014</t>
  </si>
  <si>
    <t>ZB557</t>
  </si>
  <si>
    <t>Přechodka adapter combifix rekord - luer 4090306</t>
  </si>
  <si>
    <t>ZE174</t>
  </si>
  <si>
    <t>Nádoba na histologický mat. 920 ml 333000041024</t>
  </si>
  <si>
    <t>ZL862</t>
  </si>
  <si>
    <t>Reservoár balonkový sací J-VAC 100ml bal á 10 ks 2160</t>
  </si>
  <si>
    <t>ZL861</t>
  </si>
  <si>
    <t>Drén silikonový BLAKE plochý 7 mm bal á 10 ks 2211</t>
  </si>
  <si>
    <t>ZA783</t>
  </si>
  <si>
    <t>Drén Easy Flow 40 mm/30 cm, á 10 ks, 97.816.92.224</t>
  </si>
  <si>
    <t>ZD425</t>
  </si>
  <si>
    <t>Nůž k elektrodermatomu á 10 ks GB228 R</t>
  </si>
  <si>
    <t>ZF174</t>
  </si>
  <si>
    <t>Nádoba na histologický mat. 400 ml 333000041012</t>
  </si>
  <si>
    <t>ZM541</t>
  </si>
  <si>
    <t>Můstek sterilní pooperační smyčkový 70 mm bal. á 10 ks 5025</t>
  </si>
  <si>
    <t>ZG749</t>
  </si>
  <si>
    <t>Kanyla cholangiograf.buchanan 400/450/010</t>
  </si>
  <si>
    <t>ZB659</t>
  </si>
  <si>
    <t>Sáček laparoskopický 720 ml EJ024SU</t>
  </si>
  <si>
    <t>ZI277</t>
  </si>
  <si>
    <t>Hadička sterilní tisseel sprayset á 10 ks 1504271</t>
  </si>
  <si>
    <t>ZC473</t>
  </si>
  <si>
    <t>Obturátor á 24 ks 420023-02</t>
  </si>
  <si>
    <t>ZD613</t>
  </si>
  <si>
    <t>Obal na rameno robota bal. á 20 ks 420015-03</t>
  </si>
  <si>
    <t>ZE762</t>
  </si>
  <si>
    <t>Nástroj robotický jehelec 8 mm 1 kus = 10 životů 420006-06</t>
  </si>
  <si>
    <t>ZE765</t>
  </si>
  <si>
    <t>Nástroj robotický kleště 8 mm 420093-8</t>
  </si>
  <si>
    <t>ZE766</t>
  </si>
  <si>
    <t>Nástroj robotický příslušenství 400180-12</t>
  </si>
  <si>
    <t>ZE842</t>
  </si>
  <si>
    <t>Obal na kameru sterilní Camera drape bal. á 20 ks 400027-04</t>
  </si>
  <si>
    <t>ZE843</t>
  </si>
  <si>
    <t>Obal na kameru sterilní Camera arm drape bal. á 20 ks 420022-02</t>
  </si>
  <si>
    <t>ZE918</t>
  </si>
  <si>
    <t>Nůžky monopolární na pálení 420179-10</t>
  </si>
  <si>
    <t>ZE919</t>
  </si>
  <si>
    <t>Kleště maryland biopolární 420172-07</t>
  </si>
  <si>
    <t>ZH058</t>
  </si>
  <si>
    <t>Set odsávací R.Wolf - sada pro oplach a sání, resterilizovatelná 81702215</t>
  </si>
  <si>
    <t>ZI482</t>
  </si>
  <si>
    <t>Redukce na trokary cannula seal 8 mm á 10 ks 400077</t>
  </si>
  <si>
    <t>ZM818</t>
  </si>
  <si>
    <t>Filtr hygienický k insuflátoru Richard Wolf bal. á 10 ks 4171.111</t>
  </si>
  <si>
    <t>ZM941</t>
  </si>
  <si>
    <t>Rourka proplachovací a sací Wolf pr. 5 mm délka 450 mm 8384.911</t>
  </si>
  <si>
    <t>ZH282</t>
  </si>
  <si>
    <t>Klip titanový - small PL565T</t>
  </si>
  <si>
    <t>ZA250</t>
  </si>
  <si>
    <t>Šití ethbond gr 2-0 bal. á 12 ks W6767</t>
  </si>
  <si>
    <t>ZA853</t>
  </si>
  <si>
    <t>Šití prolen bl 5-0 bal. á 12 ks W8830</t>
  </si>
  <si>
    <t>ZA958</t>
  </si>
  <si>
    <t>Šití safil fialový 2/0 bal. á 36 ks C1048251</t>
  </si>
  <si>
    <t>ZB033</t>
  </si>
  <si>
    <t>Šití dafilon modrý 3/0 (2) bal. á 36 ks C0935468</t>
  </si>
  <si>
    <t>ZB034</t>
  </si>
  <si>
    <t>Šití dafilon modrý 2/0 bal. á 36 ks C0935476</t>
  </si>
  <si>
    <t>ZB039</t>
  </si>
  <si>
    <t>Šití ventrofil bal. á 4 ks 993034</t>
  </si>
  <si>
    <t>ZB214</t>
  </si>
  <si>
    <t>Šití safil fialový 4/0 (1.5) bal. á 36 ks C1048029</t>
  </si>
  <si>
    <t>ZB215</t>
  </si>
  <si>
    <t>Šití safil fialový 3/0 bal. á 36 ks C1048041</t>
  </si>
  <si>
    <t>ZB216</t>
  </si>
  <si>
    <t>Šití safil fialový 2/0 bal. á 36 ks C1048051</t>
  </si>
  <si>
    <t>ZB217</t>
  </si>
  <si>
    <t>Šití dafilon modrý 3/0 (2) bal. á 36 ks C0932353</t>
  </si>
  <si>
    <t>ZB520</t>
  </si>
  <si>
    <t>Šití safil fialový 3/0 bal. á 12 ks G1038715</t>
  </si>
  <si>
    <t>ZB979</t>
  </si>
  <si>
    <t>Šití dafilon modrý 4/0 (1.5) bal. á 36 ks C0932205</t>
  </si>
  <si>
    <t>ZE801</t>
  </si>
  <si>
    <t>Šití monocryl vi 3-0 bal. á 12 ks W3637</t>
  </si>
  <si>
    <t>ZF699</t>
  </si>
  <si>
    <t>Šití premicron 3/0 (2.5) bal. á 12 ks G0120060</t>
  </si>
  <si>
    <t>ZG849</t>
  </si>
  <si>
    <t>Šití premicron zelený 2/0 (3) bal. á 12 ks G0120061</t>
  </si>
  <si>
    <t>ZG886</t>
  </si>
  <si>
    <t>Šití premicron 1 (4) bal. á 12 ks G0120063</t>
  </si>
  <si>
    <t>ZH872</t>
  </si>
  <si>
    <t>Šití ethbond gr 0 bal. á 12 ks W6978</t>
  </si>
  <si>
    <t>ZB213</t>
  </si>
  <si>
    <t>Šití safil fialový 5/0 bal. á 36 ks C1048012</t>
  </si>
  <si>
    <t>ZB279</t>
  </si>
  <si>
    <t>Šití prolen bl 6-0 bal. á 12 ks W8815</t>
  </si>
  <si>
    <t>ZB718</t>
  </si>
  <si>
    <t>Šití prolen bl 4-0 bal. á 12 ks W8840</t>
  </si>
  <si>
    <t>ZB878</t>
  </si>
  <si>
    <t>Šití safil quick + bezb. 2/0 (3) bal. á 36 ks C1046042</t>
  </si>
  <si>
    <t>ZI467</t>
  </si>
  <si>
    <t>Šití monoplus fialový 1 (4) bal. á 24 ks B0024091</t>
  </si>
  <si>
    <t>ZM044</t>
  </si>
  <si>
    <t>Šití PDSII vi 4-0 bal. á 36 ks W9115H</t>
  </si>
  <si>
    <t>ZD196</t>
  </si>
  <si>
    <t>Šití monosyn bezbarvý 4/0 bal. á 36 ks C0023634</t>
  </si>
  <si>
    <t>ZA975</t>
  </si>
  <si>
    <t>Šití safil fialový 4/0 bal. á 36 ks C1048220</t>
  </si>
  <si>
    <t>ZB183</t>
  </si>
  <si>
    <t>Šití vicryl un 2-0 bal. á 24 ks W9532T</t>
  </si>
  <si>
    <t>ZA959</t>
  </si>
  <si>
    <t>Šití safil fialový 3/0 bal. á 36 ks C1048241</t>
  </si>
  <si>
    <t>ZG004</t>
  </si>
  <si>
    <t>Šití safil fialový 1(4) bal. á 12 ks G1038719</t>
  </si>
  <si>
    <t>ZB917</t>
  </si>
  <si>
    <t>Šití safil fialový 1 bal. á 36 ks C1048553</t>
  </si>
  <si>
    <t>ZB555</t>
  </si>
  <si>
    <t>Šití prolen bl 3-0 bal. á 12 ks W8522</t>
  </si>
  <si>
    <t>ZB529</t>
  </si>
  <si>
    <t>Šití monosyn bezbarvý 3/0 bal. á 36 ks C0023635</t>
  </si>
  <si>
    <t>ZE522</t>
  </si>
  <si>
    <t>Šití premicron zelený 2 (5) bal. á 12 ks G0120064</t>
  </si>
  <si>
    <t>ZM977</t>
  </si>
  <si>
    <t>Šití safil fialový 1 bal. á 36 ks C1048540</t>
  </si>
  <si>
    <t>ZA360</t>
  </si>
  <si>
    <t>Jehla sterican 0,5 x 25 mm oranžová 9186158</t>
  </si>
  <si>
    <t>ZA834</t>
  </si>
  <si>
    <t>Jehla injekční 0,7 x 40 mm černá 4660021</t>
  </si>
  <si>
    <t>ZB168</t>
  </si>
  <si>
    <t>Jehla chirurgická B10</t>
  </si>
  <si>
    <t>ZB204</t>
  </si>
  <si>
    <t>Jehla chirurgická G11</t>
  </si>
  <si>
    <t>ZB460</t>
  </si>
  <si>
    <t>Jehla chirurgicka G8</t>
  </si>
  <si>
    <t>ZG676</t>
  </si>
  <si>
    <t>Jehla chirurgická s pérovými oušky bal. á 12 ks HSF - 17 3076</t>
  </si>
  <si>
    <t>ZG677</t>
  </si>
  <si>
    <t>Jehla chirurgická s pérovými oušky bal. á 12 ks HS - 26 3058</t>
  </si>
  <si>
    <t>ZB198</t>
  </si>
  <si>
    <t>Jehla chirurgická G3</t>
  </si>
  <si>
    <t>ZB133</t>
  </si>
  <si>
    <t>Jehla chirurgická G9</t>
  </si>
  <si>
    <t>ZG675</t>
  </si>
  <si>
    <t>Jehla chirurgická s pérovými oušky bal. á 12 ks HSF - 20 3075</t>
  </si>
  <si>
    <t>ZG673</t>
  </si>
  <si>
    <t>Jehla chirurgická s pérovými oušky bal. á 12 ks DSF - 25 3072</t>
  </si>
  <si>
    <t>ZG674</t>
  </si>
  <si>
    <t>Jehla chirurgická s pérovými oušky bal. á 12 ks DSF - 21 3073</t>
  </si>
  <si>
    <t>ZB482</t>
  </si>
  <si>
    <t>Jehla chirurgická G12</t>
  </si>
  <si>
    <t>ZB260</t>
  </si>
  <si>
    <t>Jehla chirurgická G5</t>
  </si>
  <si>
    <t>ZF431</t>
  </si>
  <si>
    <t>Rukavice operační gammex PF sensitive vel. 7,5 353195</t>
  </si>
  <si>
    <t>ZK482</t>
  </si>
  <si>
    <t>Rukavice operační latexové bez pudru ortpedic vel. 8,0 5788205</t>
  </si>
  <si>
    <t>ZK683</t>
  </si>
  <si>
    <t>Rukavice operační gammex PF sensitive vel. 7,0 353194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</si>
  <si>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</si>
  <si>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</si>
  <si>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</si>
  <si>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</si>
  <si>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</si>
  <si>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</si>
  <si>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ZM292</t>
  </si>
  <si>
    <t>Rukavice nitril sempercare bez p. M bal. á 200 ks 30803</t>
  </si>
  <si>
    <t>ZM293</t>
  </si>
  <si>
    <t>Rukavice nitril sempercare bez p. L bal. á 200 ks 30804</t>
  </si>
  <si>
    <t>ZB026</t>
  </si>
  <si>
    <t>Hadice silikon 5 x 9,00 x 2,00 mm á 10 m pro drenáž těl.dutin KVS 60-050090</t>
  </si>
  <si>
    <t>ZH072</t>
  </si>
  <si>
    <t>Hadice spojovací k odsávacím soupravám CH30 délka 3 m 07.068.30.301</t>
  </si>
  <si>
    <t>ZB502</t>
  </si>
  <si>
    <t>Hadice silikon 3 x 5 mm á 25 m 34.000.00.103</t>
  </si>
  <si>
    <t>ZL627</t>
  </si>
  <si>
    <t>Hadice silikon 4 x 6,00 x 1,00 mm á 10 m pro drenáž tělních dutin KVS 60-040060</t>
  </si>
  <si>
    <t>ZA891</t>
  </si>
  <si>
    <t>Elektroda neutrální nessy ke koagulaci á 50 ks 20193-070</t>
  </si>
  <si>
    <t>ZE385</t>
  </si>
  <si>
    <t>Hadice silikon 1 x 3,0 mm á 25 m 34.000.00.100</t>
  </si>
  <si>
    <t>ZD822</t>
  </si>
  <si>
    <t>Hadice silikon 6 x 10,0 x 2,00 mm á 10 m KVS 60-060100</t>
  </si>
  <si>
    <t>ZA008</t>
  </si>
  <si>
    <t>Obinadlo pruban č.10 4273101</t>
  </si>
  <si>
    <t>ZA329</t>
  </si>
  <si>
    <t>Obinadlo fixa crep   6 cm x 4 m 1323100102</t>
  </si>
  <si>
    <t>ZA444</t>
  </si>
  <si>
    <t>Tampon nesterilní stáčený 20 x 19 cm 1320300404</t>
  </si>
  <si>
    <t>ZA465</t>
  </si>
  <si>
    <t>Fólie incizní raucodrape sterilní 45 x 50 cm 23445</t>
  </si>
  <si>
    <t>ZA467</t>
  </si>
  <si>
    <t>Tyčinka vatová nesterilní 15 cm bal. á 100 ks 9679369</t>
  </si>
  <si>
    <t>ZA480</t>
  </si>
  <si>
    <t>Fólie incizní raucodrape 15 x 20 cm á 10 ks 25441</t>
  </si>
  <si>
    <t>ZC725</t>
  </si>
  <si>
    <t>Obvaz ortho-pad 15 cm x 3 m 1320105005</t>
  </si>
  <si>
    <t>ZC848</t>
  </si>
  <si>
    <t>Obvaz ortho-pad 10 cm x 3 m karton á 120 ks 1320105004</t>
  </si>
  <si>
    <t>ZE314</t>
  </si>
  <si>
    <t>Tampon sterilní stáčený 19 x 20 cm / 10 ks 0446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</si>
  <si>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</si>
  <si>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</si>
  <si>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</si>
  <si>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</si>
  <si>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</si>
  <si>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</si>
  <si>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ZA488</t>
  </si>
  <si>
    <t>Tampon nesterilní stáčený 9 x 9 cm karton á 12 000 ks 1320300411</t>
  </si>
  <si>
    <t>ZK466</t>
  </si>
  <si>
    <t>Fólie incizní visulin 10 x 6 cm bal. á 100 ks 6857331</t>
  </si>
  <si>
    <t>ZD054</t>
  </si>
  <si>
    <t>Gáza skládaná sterilní 8 x 17 cm / 2 ks 12 vrstev karton á 1000 ks 37016</t>
  </si>
  <si>
    <t>ZA194</t>
  </si>
  <si>
    <t>Krytí surgicel standard 5 x 1,25 cm bal. á 12 ks 1906GB</t>
  </si>
  <si>
    <t>ZM951</t>
  </si>
  <si>
    <t>Krytí mepilex border Post-Op sterilní 6 x 8 cm bal. á 10 ks 495100</t>
  </si>
  <si>
    <t>ZM952</t>
  </si>
  <si>
    <t>Krytí mepilex border Post-Op sterilní 9 x 15 cm bal. á 10 ks 495300</t>
  </si>
  <si>
    <t>ZE172</t>
  </si>
  <si>
    <t>Krytí surgicel nu-knit 7,5 x 10 cm bal. á 12 ks 1943GB</t>
  </si>
  <si>
    <t>ZE132</t>
  </si>
  <si>
    <t>Kleště jednorázové úchopové atraumatické D5/310 bal. á 10 ks PO893SU</t>
  </si>
  <si>
    <t>ZC644</t>
  </si>
  <si>
    <t>Trubička ventilační 2,55/1,3 mm E1105</t>
  </si>
  <si>
    <t>ZA678</t>
  </si>
  <si>
    <t>Katetr močový foley 8CH bal. á 12 ks 2908-02</t>
  </si>
  <si>
    <t>ZJ588</t>
  </si>
  <si>
    <t>Souprava cystofix CH 10 minipaed pediatrický 4440013</t>
  </si>
  <si>
    <t>ZM600</t>
  </si>
  <si>
    <t>Spojka flovac žlutá 000-036-102</t>
  </si>
  <si>
    <t>ZA866</t>
  </si>
  <si>
    <t>Šití prolen bl 6-0 bal. á 12 ks W8802</t>
  </si>
  <si>
    <t>ZB185</t>
  </si>
  <si>
    <t>Šití vicryl un 4-0 bal. á 12 ks W9951</t>
  </si>
  <si>
    <t>ZF256</t>
  </si>
  <si>
    <t>Šití vicryl vi 5-0 bal. á 12 ks W9442</t>
  </si>
  <si>
    <t>ZA890</t>
  </si>
  <si>
    <t>Elektroda neutrální jednorázová 20193-071</t>
  </si>
  <si>
    <t>50115050</t>
  </si>
  <si>
    <t>502 SZM obvazový (112 02 040)</t>
  </si>
  <si>
    <t>50115060</t>
  </si>
  <si>
    <t>503 SZM ostatní zdravotnický (112 02 100)</t>
  </si>
  <si>
    <t>50115061</t>
  </si>
  <si>
    <t>512 SZM robotické centrum (112 02 103)</t>
  </si>
  <si>
    <t>50115080</t>
  </si>
  <si>
    <t>523 SZM staplery, endosk., optika, extraktory (112 02 102)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</si>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</sst>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1" xfId="78" applyNumberFormat="1" applyFont="1" applyFill="1" applyBorder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50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6" xfId="0" applyNumberFormat="1" applyFont="1" applyFill="1" applyBorder="1"/>
    <xf numFmtId="9" fontId="39" fillId="2" borderId="51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8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1" fillId="8" borderId="58" xfId="0" applyNumberFormat="1" applyFont="1" applyFill="1" applyBorder="1"/>
    <xf numFmtId="3" fontId="51" fillId="8" borderId="57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1" xfId="0" applyNumberFormat="1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3" fontId="53" fillId="2" borderId="64" xfId="0" applyNumberFormat="1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/>
    <xf numFmtId="0" fontId="39" fillId="2" borderId="69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67" xfId="0" applyFont="1" applyFill="1" applyBorder="1" applyAlignment="1"/>
    <xf numFmtId="0" fontId="39" fillId="4" borderId="69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2" borderId="69" xfId="0" quotePrefix="1" applyFont="1" applyFill="1" applyBorder="1" applyAlignment="1">
      <alignment horizontal="left" indent="2"/>
    </xf>
    <xf numFmtId="0" fontId="32" fillId="2" borderId="75" xfId="0" quotePrefix="1" applyFont="1" applyFill="1" applyBorder="1" applyAlignment="1">
      <alignment horizontal="left" indent="2"/>
    </xf>
    <xf numFmtId="0" fontId="39" fillId="2" borderId="67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0" borderId="85" xfId="0" applyFont="1" applyBorder="1"/>
    <xf numFmtId="3" fontId="32" fillId="0" borderId="85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52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4" xfId="0" applyNumberFormat="1" applyFont="1" applyFill="1" applyBorder="1" applyAlignment="1">
      <alignment horizontal="center" vertical="center"/>
    </xf>
    <xf numFmtId="3" fontId="53" fillId="2" borderId="82" xfId="0" applyNumberFormat="1" applyFont="1" applyFill="1" applyBorder="1" applyAlignment="1">
      <alignment horizontal="center" vertical="center" wrapText="1"/>
    </xf>
    <xf numFmtId="173" fontId="39" fillId="4" borderId="68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4" borderId="62" xfId="0" applyNumberFormat="1" applyFont="1" applyFill="1" applyBorder="1" applyAlignment="1"/>
    <xf numFmtId="173" fontId="39" fillId="0" borderId="70" xfId="0" applyNumberFormat="1" applyFont="1" applyBorder="1"/>
    <xf numFmtId="173" fontId="32" fillId="0" borderId="74" xfId="0" applyNumberFormat="1" applyFont="1" applyBorder="1"/>
    <xf numFmtId="173" fontId="32" fillId="0" borderId="72" xfId="0" applyNumberFormat="1" applyFont="1" applyBorder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65" xfId="0" applyNumberFormat="1" applyFont="1" applyBorder="1"/>
    <xf numFmtId="173" fontId="39" fillId="2" borderId="83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2" borderId="62" xfId="0" applyNumberFormat="1" applyFont="1" applyFill="1" applyBorder="1" applyAlignment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78" xfId="0" applyNumberFormat="1" applyFont="1" applyBorder="1"/>
    <xf numFmtId="173" fontId="39" fillId="0" borderId="68" xfId="0" applyNumberFormat="1" applyFont="1" applyBorder="1"/>
    <xf numFmtId="173" fontId="32" fillId="0" borderId="84" xfId="0" applyNumberFormat="1" applyFont="1" applyBorder="1"/>
    <xf numFmtId="173" fontId="32" fillId="0" borderId="62" xfId="0" applyNumberFormat="1" applyFont="1" applyBorder="1"/>
    <xf numFmtId="174" fontId="39" fillId="2" borderId="68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2" fillId="0" borderId="74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8" xfId="0" applyNumberFormat="1" applyFont="1" applyFill="1" applyBorder="1" applyAlignment="1">
      <alignment horizontal="center"/>
    </xf>
    <xf numFmtId="175" fontId="39" fillId="0" borderId="76" xfId="0" applyNumberFormat="1" applyFont="1" applyBorder="1"/>
    <xf numFmtId="0" fontId="31" fillId="2" borderId="92" xfId="74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3" xfId="0" applyFont="1" applyFill="1" applyBorder="1"/>
    <xf numFmtId="0" fontId="32" fillId="0" borderId="74" xfId="0" applyFont="1" applyBorder="1" applyAlignment="1"/>
    <xf numFmtId="9" fontId="32" fillId="0" borderId="72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70" xfId="0" applyNumberFormat="1" applyFont="1" applyBorder="1"/>
    <xf numFmtId="9" fontId="32" fillId="0" borderId="74" xfId="0" applyNumberFormat="1" applyFont="1" applyBorder="1"/>
    <xf numFmtId="9" fontId="32" fillId="0" borderId="72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5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2" xfId="81" applyFont="1" applyFill="1" applyBorder="1" applyAlignment="1">
      <alignment horizontal="center"/>
    </xf>
    <xf numFmtId="0" fontId="31" fillId="2" borderId="89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3" xfId="78" applyNumberFormat="1" applyFont="1" applyFill="1" applyBorder="1" applyAlignment="1">
      <alignment horizontal="left"/>
    </xf>
    <xf numFmtId="0" fontId="32" fillId="2" borderId="45" xfId="0" applyFont="1" applyFill="1" applyBorder="1" applyAlignment="1"/>
    <xf numFmtId="3" fontId="28" fillId="2" borderId="47" xfId="78" applyNumberFormat="1" applyFont="1" applyFill="1" applyBorder="1" applyAlignment="1"/>
    <xf numFmtId="0" fontId="39" fillId="2" borderId="53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9" fillId="2" borderId="47" xfId="0" applyFont="1" applyFill="1" applyBorder="1" applyAlignment="1">
      <alignment horizontal="left"/>
    </xf>
    <xf numFmtId="3" fontId="39" fillId="2" borderId="47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4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3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6" xfId="0" applyNumberFormat="1" applyFont="1" applyFill="1" applyBorder="1" applyAlignment="1">
      <alignment horizontal="right" vertical="top"/>
    </xf>
    <xf numFmtId="3" fontId="33" fillId="9" borderId="97" xfId="0" applyNumberFormat="1" applyFont="1" applyFill="1" applyBorder="1" applyAlignment="1">
      <alignment horizontal="right" vertical="top"/>
    </xf>
    <xf numFmtId="176" fontId="33" fillId="9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6" fontId="33" fillId="9" borderId="99" xfId="0" applyNumberFormat="1" applyFont="1" applyFill="1" applyBorder="1" applyAlignment="1">
      <alignment horizontal="right" vertical="top"/>
    </xf>
    <xf numFmtId="3" fontId="35" fillId="9" borderId="101" xfId="0" applyNumberFormat="1" applyFont="1" applyFill="1" applyBorder="1" applyAlignment="1">
      <alignment horizontal="right" vertical="top"/>
    </xf>
    <xf numFmtId="3" fontId="35" fillId="9" borderId="102" xfId="0" applyNumberFormat="1" applyFont="1" applyFill="1" applyBorder="1" applyAlignment="1">
      <alignment horizontal="right" vertical="top"/>
    </xf>
    <xf numFmtId="0" fontId="35" fillId="9" borderId="103" xfId="0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0" fontId="35" fillId="9" borderId="104" xfId="0" applyFont="1" applyFill="1" applyBorder="1" applyAlignment="1">
      <alignment horizontal="right" vertical="top"/>
    </xf>
    <xf numFmtId="0" fontId="33" fillId="9" borderId="98" xfId="0" applyFont="1" applyFill="1" applyBorder="1" applyAlignment="1">
      <alignment horizontal="right" vertical="top"/>
    </xf>
    <xf numFmtId="0" fontId="33" fillId="9" borderId="99" xfId="0" applyFont="1" applyFill="1" applyBorder="1" applyAlignment="1">
      <alignment horizontal="right" vertical="top"/>
    </xf>
    <xf numFmtId="176" fontId="35" fillId="9" borderId="103" xfId="0" applyNumberFormat="1" applyFont="1" applyFill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0" fontId="37" fillId="10" borderId="95" xfId="0" applyFont="1" applyFill="1" applyBorder="1" applyAlignment="1">
      <alignment vertical="top"/>
    </xf>
    <xf numFmtId="0" fontId="37" fillId="10" borderId="95" xfId="0" applyFont="1" applyFill="1" applyBorder="1" applyAlignment="1">
      <alignment vertical="top" indent="2"/>
    </xf>
    <xf numFmtId="0" fontId="37" fillId="10" borderId="95" xfId="0" applyFont="1" applyFill="1" applyBorder="1" applyAlignment="1">
      <alignment vertical="top" indent="4"/>
    </xf>
    <xf numFmtId="0" fontId="38" fillId="10" borderId="100" xfId="0" applyFont="1" applyFill="1" applyBorder="1" applyAlignment="1">
      <alignment vertical="top" indent="6"/>
    </xf>
    <xf numFmtId="0" fontId="37" fillId="10" borderId="95" xfId="0" applyFont="1" applyFill="1" applyBorder="1" applyAlignment="1">
      <alignment vertical="top" indent="8"/>
    </xf>
    <xf numFmtId="0" fontId="38" fillId="10" borderId="100" xfId="0" applyFont="1" applyFill="1" applyBorder="1" applyAlignment="1">
      <alignment vertical="top" indent="2"/>
    </xf>
    <xf numFmtId="0" fontId="37" fillId="10" borderId="95" xfId="0" applyFont="1" applyFill="1" applyBorder="1" applyAlignment="1">
      <alignment vertical="top" indent="6"/>
    </xf>
    <xf numFmtId="0" fontId="38" fillId="10" borderId="100" xfId="0" applyFont="1" applyFill="1" applyBorder="1" applyAlignment="1">
      <alignment vertical="top" indent="4"/>
    </xf>
    <xf numFmtId="0" fontId="32" fillId="10" borderId="95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9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49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3" fontId="32" fillId="0" borderId="110" xfId="0" applyNumberFormat="1" applyFont="1" applyFill="1" applyBorder="1"/>
    <xf numFmtId="3" fontId="32" fillId="0" borderId="112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9" fillId="2" borderId="109" xfId="0" applyFont="1" applyFill="1" applyBorder="1"/>
    <xf numFmtId="3" fontId="39" fillId="2" borderId="111" xfId="0" applyNumberFormat="1" applyFont="1" applyFill="1" applyBorder="1"/>
    <xf numFmtId="9" fontId="39" fillId="2" borderId="56" xfId="0" applyNumberFormat="1" applyFont="1" applyFill="1" applyBorder="1"/>
    <xf numFmtId="3" fontId="39" fillId="2" borderId="54" xfId="0" applyNumberFormat="1" applyFont="1" applyFill="1" applyBorder="1"/>
    <xf numFmtId="9" fontId="32" fillId="0" borderId="110" xfId="0" applyNumberFormat="1" applyFont="1" applyFill="1" applyBorder="1"/>
    <xf numFmtId="9" fontId="32" fillId="0" borderId="62" xfId="0" applyNumberFormat="1" applyFont="1" applyFill="1" applyBorder="1"/>
    <xf numFmtId="9" fontId="32" fillId="0" borderId="65" xfId="0" applyNumberFormat="1" applyFont="1" applyFill="1" applyBorder="1"/>
    <xf numFmtId="0" fontId="32" fillId="0" borderId="19" xfId="0" applyFont="1" applyFill="1" applyBorder="1"/>
    <xf numFmtId="3" fontId="32" fillId="0" borderId="27" xfId="0" applyNumberFormat="1" applyFont="1" applyFill="1" applyBorder="1"/>
    <xf numFmtId="3" fontId="32" fillId="0" borderId="20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09" xfId="0" applyFont="1" applyFill="1" applyBorder="1"/>
    <xf numFmtId="0" fontId="32" fillId="5" borderId="10" xfId="0" applyFont="1" applyFill="1" applyBorder="1" applyAlignment="1">
      <alignment wrapText="1"/>
    </xf>
    <xf numFmtId="0" fontId="39" fillId="2" borderId="110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2" fillId="0" borderId="27" xfId="0" applyFont="1" applyFill="1" applyBorder="1"/>
    <xf numFmtId="0" fontId="3" fillId="2" borderId="109" xfId="79" applyFont="1" applyFill="1" applyBorder="1" applyAlignment="1">
      <alignment horizontal="left"/>
    </xf>
    <xf numFmtId="3" fontId="3" fillId="2" borderId="78" xfId="80" applyNumberFormat="1" applyFont="1" applyFill="1" applyBorder="1"/>
    <xf numFmtId="3" fontId="3" fillId="2" borderId="7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9" fontId="3" fillId="2" borderId="79" xfId="80" applyNumberFormat="1" applyFont="1" applyFill="1" applyBorder="1"/>
    <xf numFmtId="9" fontId="32" fillId="0" borderId="63" xfId="0" applyNumberFormat="1" applyFont="1" applyFill="1" applyBorder="1"/>
    <xf numFmtId="9" fontId="32" fillId="0" borderId="72" xfId="0" applyNumberFormat="1" applyFont="1" applyFill="1" applyBorder="1"/>
    <xf numFmtId="9" fontId="32" fillId="0" borderId="73" xfId="0" applyNumberFormat="1" applyFont="1" applyFill="1" applyBorder="1"/>
    <xf numFmtId="9" fontId="32" fillId="0" borderId="66" xfId="0" applyNumberFormat="1" applyFont="1" applyFill="1" applyBorder="1"/>
    <xf numFmtId="0" fontId="39" fillId="0" borderId="92" xfId="0" applyFont="1" applyFill="1" applyBorder="1"/>
    <xf numFmtId="0" fontId="39" fillId="0" borderId="90" xfId="0" applyFont="1" applyFill="1" applyBorder="1" applyAlignment="1">
      <alignment horizontal="left" indent="1"/>
    </xf>
    <xf numFmtId="0" fontId="39" fillId="0" borderId="91" xfId="0" applyFont="1" applyFill="1" applyBorder="1" applyAlignment="1">
      <alignment horizontal="left" indent="1"/>
    </xf>
    <xf numFmtId="9" fontId="32" fillId="0" borderId="84" xfId="0" applyNumberFormat="1" applyFont="1" applyFill="1" applyBorder="1"/>
    <xf numFmtId="9" fontId="32" fillId="0" borderId="74" xfId="0" applyNumberFormat="1" applyFont="1" applyFill="1" applyBorder="1"/>
    <xf numFmtId="9" fontId="32" fillId="0" borderId="82" xfId="0" applyNumberFormat="1" applyFont="1" applyFill="1" applyBorder="1"/>
    <xf numFmtId="3" fontId="32" fillId="0" borderId="61" xfId="0" applyNumberFormat="1" applyFont="1" applyFill="1" applyBorder="1"/>
    <xf numFmtId="3" fontId="32" fillId="0" borderId="71" xfId="0" applyNumberFormat="1" applyFont="1" applyFill="1" applyBorder="1"/>
    <xf numFmtId="3" fontId="32" fillId="0" borderId="64" xfId="0" applyNumberFormat="1" applyFont="1" applyFill="1" applyBorder="1"/>
    <xf numFmtId="9" fontId="32" fillId="0" borderId="88" xfId="0" applyNumberFormat="1" applyFont="1" applyFill="1" applyBorder="1"/>
    <xf numFmtId="9" fontId="32" fillId="0" borderId="86" xfId="0" applyNumberFormat="1" applyFont="1" applyFill="1" applyBorder="1"/>
    <xf numFmtId="9" fontId="32" fillId="0" borderId="87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88" xfId="0" applyFont="1" applyFill="1" applyBorder="1" applyAlignment="1">
      <alignment horizontal="center" vertical="center"/>
    </xf>
    <xf numFmtId="0" fontId="53" fillId="2" borderId="87" xfId="0" applyFont="1" applyFill="1" applyBorder="1" applyAlignment="1">
      <alignment horizontal="center" vertical="center" wrapText="1"/>
    </xf>
    <xf numFmtId="174" fontId="32" fillId="2" borderId="88" xfId="0" applyNumberFormat="1" applyFont="1" applyFill="1" applyBorder="1" applyAlignment="1"/>
    <xf numFmtId="174" fontId="32" fillId="0" borderId="86" xfId="0" applyNumberFormat="1" applyFont="1" applyBorder="1"/>
    <xf numFmtId="174" fontId="32" fillId="0" borderId="119" xfId="0" applyNumberFormat="1" applyFont="1" applyBorder="1"/>
    <xf numFmtId="173" fontId="39" fillId="4" borderId="88" xfId="0" applyNumberFormat="1" applyFont="1" applyFill="1" applyBorder="1" applyAlignment="1"/>
    <xf numFmtId="173" fontId="32" fillId="0" borderId="86" xfId="0" applyNumberFormat="1" applyFont="1" applyBorder="1"/>
    <xf numFmtId="173" fontId="32" fillId="0" borderId="87" xfId="0" applyNumberFormat="1" applyFont="1" applyBorder="1"/>
    <xf numFmtId="173" fontId="39" fillId="2" borderId="88" xfId="0" applyNumberFormat="1" applyFont="1" applyFill="1" applyBorder="1" applyAlignment="1"/>
    <xf numFmtId="173" fontId="32" fillId="0" borderId="119" xfId="0" applyNumberFormat="1" applyFont="1" applyBorder="1"/>
    <xf numFmtId="173" fontId="32" fillId="0" borderId="88" xfId="0" applyNumberFormat="1" applyFont="1" applyBorder="1"/>
    <xf numFmtId="9" fontId="32" fillId="0" borderId="86" xfId="0" applyNumberFormat="1" applyFont="1" applyBorder="1"/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9" fillId="4" borderId="33" xfId="0" applyNumberFormat="1" applyFont="1" applyFill="1" applyBorder="1" applyAlignment="1">
      <alignment horizontal="center"/>
    </xf>
    <xf numFmtId="173" fontId="32" fillId="0" borderId="69" xfId="0" applyNumberFormat="1" applyFont="1" applyBorder="1" applyAlignment="1">
      <alignment horizontal="right"/>
    </xf>
    <xf numFmtId="175" fontId="32" fillId="0" borderId="69" xfId="0" applyNumberFormat="1" applyFont="1" applyBorder="1" applyAlignment="1">
      <alignment horizontal="right"/>
    </xf>
    <xf numFmtId="173" fontId="32" fillId="0" borderId="80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2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7" bestFit="1" customWidth="1"/>
    <col min="2" max="2" width="102.21875" style="107" bestFit="1" customWidth="1"/>
    <col min="3" max="3" width="16.109375" style="47" hidden="1" customWidth="1"/>
    <col min="4" max="16384" width="8.88671875" style="107"/>
  </cols>
  <sheetData>
    <row r="1" spans="1:3" ht="18.600000000000001" customHeight="1" thickBot="1" x14ac:dyDescent="0.4">
      <c r="A1" s="274" t="s">
        <v>66</v>
      </c>
      <c r="B1" s="274"/>
    </row>
    <row r="2" spans="1:3" ht="14.4" customHeight="1" thickBot="1" x14ac:dyDescent="0.35">
      <c r="A2" s="188" t="s">
        <v>219</v>
      </c>
      <c r="B2" s="46"/>
    </row>
    <row r="3" spans="1:3" ht="14.4" customHeight="1" thickBot="1" x14ac:dyDescent="0.35">
      <c r="A3" s="270" t="s">
        <v>89</v>
      </c>
      <c r="B3" s="271"/>
    </row>
    <row r="4" spans="1:3" ht="14.4" customHeight="1" x14ac:dyDescent="0.3">
      <c r="A4" s="120" t="str">
        <f t="shared" ref="A4:A7" si="0">HYPERLINK("#'"&amp;C4&amp;"'!A1",C4)</f>
        <v>Motivace</v>
      </c>
      <c r="B4" s="71" t="s">
        <v>76</v>
      </c>
      <c r="C4" s="47" t="s">
        <v>77</v>
      </c>
    </row>
    <row r="5" spans="1:3" ht="14.4" customHeight="1" x14ac:dyDescent="0.3">
      <c r="A5" s="121" t="str">
        <f t="shared" si="0"/>
        <v>HI</v>
      </c>
      <c r="B5" s="72" t="s">
        <v>86</v>
      </c>
      <c r="C5" s="47" t="s">
        <v>69</v>
      </c>
    </row>
    <row r="6" spans="1:3" ht="14.4" customHeight="1" x14ac:dyDescent="0.3">
      <c r="A6" s="122" t="str">
        <f t="shared" si="0"/>
        <v>Man Tab</v>
      </c>
      <c r="B6" s="73" t="s">
        <v>221</v>
      </c>
      <c r="C6" s="47" t="s">
        <v>70</v>
      </c>
    </row>
    <row r="7" spans="1:3" ht="14.4" customHeight="1" thickBot="1" x14ac:dyDescent="0.35">
      <c r="A7" s="123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72" t="s">
        <v>67</v>
      </c>
      <c r="B9" s="271"/>
    </row>
    <row r="10" spans="1:3" ht="14.4" customHeight="1" x14ac:dyDescent="0.3">
      <c r="A10" s="124" t="str">
        <f t="shared" ref="A10" si="1">HYPERLINK("#'"&amp;C10&amp;"'!A1",C10)</f>
        <v>Léky Žádanky</v>
      </c>
      <c r="B10" s="72" t="s">
        <v>87</v>
      </c>
      <c r="C10" s="47" t="s">
        <v>71</v>
      </c>
    </row>
    <row r="11" spans="1:3" ht="14.4" customHeight="1" x14ac:dyDescent="0.3">
      <c r="A11" s="122" t="str">
        <f t="shared" ref="A11:A17" si="2">HYPERLINK("#'"&amp;C11&amp;"'!A1",C11)</f>
        <v>LŽ Detail</v>
      </c>
      <c r="B11" s="73" t="s">
        <v>107</v>
      </c>
      <c r="C11" s="47" t="s">
        <v>72</v>
      </c>
    </row>
    <row r="12" spans="1:3" ht="28.8" customHeight="1" x14ac:dyDescent="0.3">
      <c r="A12" s="122" t="str">
        <f t="shared" si="2"/>
        <v>LŽ PL</v>
      </c>
      <c r="B12" s="404" t="s">
        <v>108</v>
      </c>
      <c r="C12" s="47" t="s">
        <v>93</v>
      </c>
    </row>
    <row r="13" spans="1:3" ht="14.4" customHeight="1" x14ac:dyDescent="0.3">
      <c r="A13" s="122" t="str">
        <f t="shared" si="2"/>
        <v>LŽ PL Detail</v>
      </c>
      <c r="B13" s="73" t="s">
        <v>478</v>
      </c>
      <c r="C13" s="47" t="s">
        <v>94</v>
      </c>
    </row>
    <row r="14" spans="1:3" ht="14.4" customHeight="1" x14ac:dyDescent="0.3">
      <c r="A14" s="122" t="str">
        <f t="shared" si="2"/>
        <v>LŽ Statim</v>
      </c>
      <c r="B14" s="262" t="s">
        <v>186</v>
      </c>
      <c r="C14" s="47" t="s">
        <v>196</v>
      </c>
    </row>
    <row r="15" spans="1:3" ht="14.4" customHeight="1" x14ac:dyDescent="0.3">
      <c r="A15" s="124" t="str">
        <f t="shared" ref="A15" si="3">HYPERLINK("#'"&amp;C15&amp;"'!A1",C15)</f>
        <v>Materiál Žádanky</v>
      </c>
      <c r="B15" s="73" t="s">
        <v>88</v>
      </c>
      <c r="C15" s="47" t="s">
        <v>73</v>
      </c>
    </row>
    <row r="16" spans="1:3" ht="14.4" customHeight="1" x14ac:dyDescent="0.3">
      <c r="A16" s="122" t="str">
        <f t="shared" si="2"/>
        <v>MŽ Detail</v>
      </c>
      <c r="B16" s="73" t="s">
        <v>848</v>
      </c>
      <c r="C16" s="47" t="s">
        <v>74</v>
      </c>
    </row>
    <row r="17" spans="1:3" ht="14.4" customHeight="1" thickBot="1" x14ac:dyDescent="0.35">
      <c r="A17" s="124" t="str">
        <f t="shared" si="2"/>
        <v>Osobní náklady</v>
      </c>
      <c r="B17" s="73" t="s">
        <v>64</v>
      </c>
      <c r="C17" s="47" t="s">
        <v>75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73" t="s">
        <v>68</v>
      </c>
      <c r="B19" s="271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6" customWidth="1"/>
    <col min="2" max="2" width="5.44140625" style="175" bestFit="1" customWidth="1"/>
    <col min="3" max="3" width="6.109375" style="175" bestFit="1" customWidth="1"/>
    <col min="4" max="4" width="7.44140625" style="175" bestFit="1" customWidth="1"/>
    <col min="5" max="5" width="6.21875" style="175" bestFit="1" customWidth="1"/>
    <col min="6" max="6" width="6.33203125" style="178" bestFit="1" customWidth="1"/>
    <col min="7" max="7" width="6.109375" style="178" bestFit="1" customWidth="1"/>
    <col min="8" max="8" width="7.44140625" style="178" bestFit="1" customWidth="1"/>
    <col min="9" max="9" width="6.21875" style="178" bestFit="1" customWidth="1"/>
    <col min="10" max="10" width="5.44140625" style="175" bestFit="1" customWidth="1"/>
    <col min="11" max="11" width="6.109375" style="175" bestFit="1" customWidth="1"/>
    <col min="12" max="12" width="7.44140625" style="175" bestFit="1" customWidth="1"/>
    <col min="13" max="13" width="6.21875" style="175" bestFit="1" customWidth="1"/>
    <col min="14" max="14" width="5.33203125" style="178" bestFit="1" customWidth="1"/>
    <col min="15" max="15" width="6.109375" style="178" bestFit="1" customWidth="1"/>
    <col min="16" max="16" width="7.44140625" style="178" bestFit="1" customWidth="1"/>
    <col min="17" max="17" width="6.21875" style="178" bestFit="1" customWidth="1"/>
    <col min="18" max="16384" width="8.88671875" style="107"/>
  </cols>
  <sheetData>
    <row r="1" spans="1:17" ht="18.600000000000001" customHeight="1" thickBot="1" x14ac:dyDescent="0.4">
      <c r="A1" s="312" t="s">
        <v>186</v>
      </c>
      <c r="B1" s="312"/>
      <c r="C1" s="312"/>
      <c r="D1" s="312"/>
      <c r="E1" s="312"/>
      <c r="F1" s="275"/>
      <c r="G1" s="275"/>
      <c r="H1" s="275"/>
      <c r="I1" s="27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188" t="s">
        <v>219</v>
      </c>
      <c r="B2" s="182"/>
      <c r="C2" s="182"/>
      <c r="D2" s="182"/>
      <c r="E2" s="182"/>
    </row>
    <row r="3" spans="1:17" ht="14.4" customHeight="1" thickBot="1" x14ac:dyDescent="0.35">
      <c r="A3" s="255" t="s">
        <v>3</v>
      </c>
      <c r="B3" s="259">
        <f>SUM(B6:B1048576)</f>
        <v>94</v>
      </c>
      <c r="C3" s="260">
        <f>SUM(C6:C1048576)</f>
        <v>0</v>
      </c>
      <c r="D3" s="260">
        <f>SUM(D6:D1048576)</f>
        <v>0</v>
      </c>
      <c r="E3" s="261">
        <f>SUM(E6:E1048576)</f>
        <v>0</v>
      </c>
      <c r="F3" s="258">
        <f>IF(SUM($B3:$E3)=0,"",B3/SUM($B3:$E3))</f>
        <v>1</v>
      </c>
      <c r="G3" s="256">
        <f t="shared" ref="G3:I3" si="0">IF(SUM($B3:$E3)=0,"",C3/SUM($B3:$E3))</f>
        <v>0</v>
      </c>
      <c r="H3" s="256">
        <f t="shared" si="0"/>
        <v>0</v>
      </c>
      <c r="I3" s="257">
        <f t="shared" si="0"/>
        <v>0</v>
      </c>
      <c r="J3" s="260">
        <f>SUM(J6:J1048576)</f>
        <v>25</v>
      </c>
      <c r="K3" s="260">
        <f>SUM(K6:K1048576)</f>
        <v>0</v>
      </c>
      <c r="L3" s="260">
        <f>SUM(L6:L1048576)</f>
        <v>0</v>
      </c>
      <c r="M3" s="261">
        <f>SUM(M6:M1048576)</f>
        <v>0</v>
      </c>
      <c r="N3" s="258">
        <f>IF(SUM($J3:$M3)=0,"",J3/SUM($J3:$M3))</f>
        <v>1</v>
      </c>
      <c r="O3" s="256">
        <f t="shared" ref="O3:Q3" si="1">IF(SUM($J3:$M3)=0,"",K3/SUM($J3:$M3))</f>
        <v>0</v>
      </c>
      <c r="P3" s="256">
        <f t="shared" si="1"/>
        <v>0</v>
      </c>
      <c r="Q3" s="257">
        <f t="shared" si="1"/>
        <v>0</v>
      </c>
    </row>
    <row r="4" spans="1:17" ht="14.4" customHeight="1" thickBot="1" x14ac:dyDescent="0.35">
      <c r="A4" s="254"/>
      <c r="B4" s="325" t="s">
        <v>188</v>
      </c>
      <c r="C4" s="326"/>
      <c r="D4" s="326"/>
      <c r="E4" s="327"/>
      <c r="F4" s="322" t="s">
        <v>193</v>
      </c>
      <c r="G4" s="323"/>
      <c r="H4" s="323"/>
      <c r="I4" s="324"/>
      <c r="J4" s="325" t="s">
        <v>194</v>
      </c>
      <c r="K4" s="326"/>
      <c r="L4" s="326"/>
      <c r="M4" s="327"/>
      <c r="N4" s="322" t="s">
        <v>195</v>
      </c>
      <c r="O4" s="323"/>
      <c r="P4" s="323"/>
      <c r="Q4" s="324"/>
    </row>
    <row r="5" spans="1:17" ht="14.4" customHeight="1" thickBot="1" x14ac:dyDescent="0.35">
      <c r="A5" s="409" t="s">
        <v>187</v>
      </c>
      <c r="B5" s="410" t="s">
        <v>189</v>
      </c>
      <c r="C5" s="410" t="s">
        <v>190</v>
      </c>
      <c r="D5" s="410" t="s">
        <v>191</v>
      </c>
      <c r="E5" s="411" t="s">
        <v>192</v>
      </c>
      <c r="F5" s="412" t="s">
        <v>189</v>
      </c>
      <c r="G5" s="413" t="s">
        <v>190</v>
      </c>
      <c r="H5" s="413" t="s">
        <v>191</v>
      </c>
      <c r="I5" s="414" t="s">
        <v>192</v>
      </c>
      <c r="J5" s="410" t="s">
        <v>189</v>
      </c>
      <c r="K5" s="410" t="s">
        <v>190</v>
      </c>
      <c r="L5" s="410" t="s">
        <v>191</v>
      </c>
      <c r="M5" s="411" t="s">
        <v>192</v>
      </c>
      <c r="N5" s="412" t="s">
        <v>189</v>
      </c>
      <c r="O5" s="413" t="s">
        <v>190</v>
      </c>
      <c r="P5" s="413" t="s">
        <v>191</v>
      </c>
      <c r="Q5" s="414" t="s">
        <v>192</v>
      </c>
    </row>
    <row r="6" spans="1:17" ht="14.4" customHeight="1" x14ac:dyDescent="0.3">
      <c r="A6" s="419" t="s">
        <v>479</v>
      </c>
      <c r="B6" s="425"/>
      <c r="C6" s="375"/>
      <c r="D6" s="375"/>
      <c r="E6" s="376"/>
      <c r="F6" s="422"/>
      <c r="G6" s="394"/>
      <c r="H6" s="394"/>
      <c r="I6" s="428"/>
      <c r="J6" s="425"/>
      <c r="K6" s="375"/>
      <c r="L6" s="375"/>
      <c r="M6" s="376"/>
      <c r="N6" s="422"/>
      <c r="O6" s="394"/>
      <c r="P6" s="394"/>
      <c r="Q6" s="415"/>
    </row>
    <row r="7" spans="1:17" ht="14.4" customHeight="1" x14ac:dyDescent="0.3">
      <c r="A7" s="420" t="s">
        <v>480</v>
      </c>
      <c r="B7" s="426">
        <v>89</v>
      </c>
      <c r="C7" s="381"/>
      <c r="D7" s="381"/>
      <c r="E7" s="382"/>
      <c r="F7" s="423">
        <v>1</v>
      </c>
      <c r="G7" s="416">
        <v>0</v>
      </c>
      <c r="H7" s="416">
        <v>0</v>
      </c>
      <c r="I7" s="429">
        <v>0</v>
      </c>
      <c r="J7" s="426">
        <v>23</v>
      </c>
      <c r="K7" s="381"/>
      <c r="L7" s="381"/>
      <c r="M7" s="382"/>
      <c r="N7" s="423">
        <v>1</v>
      </c>
      <c r="O7" s="416">
        <v>0</v>
      </c>
      <c r="P7" s="416">
        <v>0</v>
      </c>
      <c r="Q7" s="417">
        <v>0</v>
      </c>
    </row>
    <row r="8" spans="1:17" ht="14.4" customHeight="1" thickBot="1" x14ac:dyDescent="0.35">
      <c r="A8" s="421" t="s">
        <v>481</v>
      </c>
      <c r="B8" s="427">
        <v>5</v>
      </c>
      <c r="C8" s="387"/>
      <c r="D8" s="387"/>
      <c r="E8" s="388"/>
      <c r="F8" s="424">
        <v>1</v>
      </c>
      <c r="G8" s="395">
        <v>0</v>
      </c>
      <c r="H8" s="395">
        <v>0</v>
      </c>
      <c r="I8" s="430">
        <v>0</v>
      </c>
      <c r="J8" s="427">
        <v>2</v>
      </c>
      <c r="K8" s="387"/>
      <c r="L8" s="387"/>
      <c r="M8" s="388"/>
      <c r="N8" s="424">
        <v>1</v>
      </c>
      <c r="O8" s="395">
        <v>0</v>
      </c>
      <c r="P8" s="395">
        <v>0</v>
      </c>
      <c r="Q8" s="41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6" customWidth="1"/>
    <col min="2" max="2" width="61.109375" style="176" customWidth="1"/>
    <col min="3" max="3" width="9.5546875" style="107" customWidth="1"/>
    <col min="4" max="4" width="9.5546875" style="177" customWidth="1"/>
    <col min="5" max="5" width="2.21875" style="177" customWidth="1"/>
    <col min="6" max="6" width="9.5546875" style="178" customWidth="1"/>
    <col min="7" max="7" width="9.5546875" style="175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303" t="s">
        <v>88</v>
      </c>
      <c r="B1" s="304"/>
      <c r="C1" s="304"/>
      <c r="D1" s="304"/>
      <c r="E1" s="304"/>
      <c r="F1" s="304"/>
      <c r="G1" s="275"/>
      <c r="H1" s="305"/>
      <c r="I1" s="305"/>
    </row>
    <row r="2" spans="1:10" ht="14.4" customHeight="1" thickBot="1" x14ac:dyDescent="0.35">
      <c r="A2" s="188" t="s">
        <v>219</v>
      </c>
      <c r="B2" s="174"/>
      <c r="C2" s="174"/>
      <c r="D2" s="174"/>
      <c r="E2" s="174"/>
      <c r="F2" s="174"/>
    </row>
    <row r="3" spans="1:10" ht="14.4" customHeight="1" thickBot="1" x14ac:dyDescent="0.35">
      <c r="A3" s="188"/>
      <c r="B3" s="174"/>
      <c r="C3" s="246">
        <v>2013</v>
      </c>
      <c r="D3" s="247">
        <v>2014</v>
      </c>
      <c r="E3" s="7"/>
      <c r="F3" s="298">
        <v>2015</v>
      </c>
      <c r="G3" s="299"/>
      <c r="H3" s="299"/>
      <c r="I3" s="300"/>
    </row>
    <row r="4" spans="1:10" ht="14.4" customHeight="1" thickBot="1" x14ac:dyDescent="0.35">
      <c r="A4" s="251" t="s">
        <v>0</v>
      </c>
      <c r="B4" s="252" t="s">
        <v>185</v>
      </c>
      <c r="C4" s="301" t="s">
        <v>58</v>
      </c>
      <c r="D4" s="302"/>
      <c r="E4" s="253"/>
      <c r="F4" s="248" t="s">
        <v>58</v>
      </c>
      <c r="G4" s="249" t="s">
        <v>59</v>
      </c>
      <c r="H4" s="249" t="s">
        <v>55</v>
      </c>
      <c r="I4" s="250" t="s">
        <v>60</v>
      </c>
    </row>
    <row r="5" spans="1:10" ht="14.4" customHeight="1" x14ac:dyDescent="0.3">
      <c r="A5" s="359" t="s">
        <v>377</v>
      </c>
      <c r="B5" s="360" t="s">
        <v>378</v>
      </c>
      <c r="C5" s="361" t="s">
        <v>379</v>
      </c>
      <c r="D5" s="361" t="s">
        <v>379</v>
      </c>
      <c r="E5" s="361"/>
      <c r="F5" s="361" t="s">
        <v>379</v>
      </c>
      <c r="G5" s="361" t="s">
        <v>379</v>
      </c>
      <c r="H5" s="361" t="s">
        <v>379</v>
      </c>
      <c r="I5" s="362" t="s">
        <v>379</v>
      </c>
      <c r="J5" s="363" t="s">
        <v>56</v>
      </c>
    </row>
    <row r="6" spans="1:10" ht="14.4" customHeight="1" x14ac:dyDescent="0.3">
      <c r="A6" s="359" t="s">
        <v>377</v>
      </c>
      <c r="B6" s="360" t="s">
        <v>232</v>
      </c>
      <c r="C6" s="361">
        <v>0.47239999999999999</v>
      </c>
      <c r="D6" s="361">
        <v>0</v>
      </c>
      <c r="E6" s="361"/>
      <c r="F6" s="361">
        <v>0</v>
      </c>
      <c r="G6" s="361">
        <v>1.1666666299193333</v>
      </c>
      <c r="H6" s="361">
        <v>-1.1666666299193333</v>
      </c>
      <c r="I6" s="362">
        <v>0</v>
      </c>
      <c r="J6" s="363" t="s">
        <v>1</v>
      </c>
    </row>
    <row r="7" spans="1:10" ht="14.4" customHeight="1" x14ac:dyDescent="0.3">
      <c r="A7" s="359" t="s">
        <v>377</v>
      </c>
      <c r="B7" s="360" t="s">
        <v>233</v>
      </c>
      <c r="C7" s="361">
        <v>208.93187</v>
      </c>
      <c r="D7" s="361">
        <v>276.14055000000002</v>
      </c>
      <c r="E7" s="361"/>
      <c r="F7" s="361">
        <v>420.00125000000003</v>
      </c>
      <c r="G7" s="361">
        <v>914.99997117971839</v>
      </c>
      <c r="H7" s="361">
        <v>-494.99872117971836</v>
      </c>
      <c r="I7" s="362">
        <v>0.45901777402078858</v>
      </c>
      <c r="J7" s="363" t="s">
        <v>1</v>
      </c>
    </row>
    <row r="8" spans="1:10" ht="14.4" customHeight="1" x14ac:dyDescent="0.3">
      <c r="A8" s="359" t="s">
        <v>377</v>
      </c>
      <c r="B8" s="360" t="s">
        <v>234</v>
      </c>
      <c r="C8" s="361">
        <v>211.65769999999998</v>
      </c>
      <c r="D8" s="361">
        <v>197.63415000000001</v>
      </c>
      <c r="E8" s="361"/>
      <c r="F8" s="361">
        <v>226.43786</v>
      </c>
      <c r="G8" s="361">
        <v>311.33332352708806</v>
      </c>
      <c r="H8" s="361">
        <v>-84.895463527088054</v>
      </c>
      <c r="I8" s="362">
        <v>0.72731648971812812</v>
      </c>
      <c r="J8" s="363" t="s">
        <v>1</v>
      </c>
    </row>
    <row r="9" spans="1:10" ht="14.4" customHeight="1" x14ac:dyDescent="0.3">
      <c r="A9" s="359" t="s">
        <v>377</v>
      </c>
      <c r="B9" s="360" t="s">
        <v>235</v>
      </c>
      <c r="C9" s="361">
        <v>-728.54428000000007</v>
      </c>
      <c r="D9" s="361">
        <v>588.86094000001003</v>
      </c>
      <c r="E9" s="361"/>
      <c r="F9" s="361">
        <v>899.59765999999991</v>
      </c>
      <c r="G9" s="361">
        <v>0</v>
      </c>
      <c r="H9" s="361">
        <v>899.59765999999991</v>
      </c>
      <c r="I9" s="362" t="s">
        <v>379</v>
      </c>
      <c r="J9" s="363" t="s">
        <v>1</v>
      </c>
    </row>
    <row r="10" spans="1:10" ht="14.4" customHeight="1" x14ac:dyDescent="0.3">
      <c r="A10" s="359" t="s">
        <v>377</v>
      </c>
      <c r="B10" s="360" t="s">
        <v>236</v>
      </c>
      <c r="C10" s="361">
        <v>4.9257000000000009</v>
      </c>
      <c r="D10" s="361">
        <v>9.5464599999999997</v>
      </c>
      <c r="E10" s="361"/>
      <c r="F10" s="361">
        <v>0</v>
      </c>
      <c r="G10" s="361">
        <v>14.333332881868001</v>
      </c>
      <c r="H10" s="361">
        <v>-14.333332881868001</v>
      </c>
      <c r="I10" s="362">
        <v>0</v>
      </c>
      <c r="J10" s="363" t="s">
        <v>1</v>
      </c>
    </row>
    <row r="11" spans="1:10" ht="14.4" customHeight="1" x14ac:dyDescent="0.3">
      <c r="A11" s="359" t="s">
        <v>377</v>
      </c>
      <c r="B11" s="360" t="s">
        <v>237</v>
      </c>
      <c r="C11" s="361">
        <v>487.07925999999998</v>
      </c>
      <c r="D11" s="361">
        <v>555.85687000000098</v>
      </c>
      <c r="E11" s="361"/>
      <c r="F11" s="361">
        <v>603.95715000000098</v>
      </c>
      <c r="G11" s="361">
        <v>688.16066236906727</v>
      </c>
      <c r="H11" s="361">
        <v>-84.203512369066289</v>
      </c>
      <c r="I11" s="362">
        <v>0.87763974755664376</v>
      </c>
      <c r="J11" s="363" t="s">
        <v>1</v>
      </c>
    </row>
    <row r="12" spans="1:10" ht="14.4" customHeight="1" x14ac:dyDescent="0.3">
      <c r="A12" s="359" t="s">
        <v>377</v>
      </c>
      <c r="B12" s="360" t="s">
        <v>238</v>
      </c>
      <c r="C12" s="361">
        <v>15.962</v>
      </c>
      <c r="D12" s="361">
        <v>5.1645399999999997</v>
      </c>
      <c r="E12" s="361"/>
      <c r="F12" s="361">
        <v>10.702020000000001</v>
      </c>
      <c r="G12" s="361">
        <v>18.833332740128998</v>
      </c>
      <c r="H12" s="361">
        <v>-8.1313127401289975</v>
      </c>
      <c r="I12" s="362">
        <v>0.56824886745598369</v>
      </c>
      <c r="J12" s="363" t="s">
        <v>1</v>
      </c>
    </row>
    <row r="13" spans="1:10" ht="14.4" customHeight="1" x14ac:dyDescent="0.3">
      <c r="A13" s="359" t="s">
        <v>377</v>
      </c>
      <c r="B13" s="360" t="s">
        <v>239</v>
      </c>
      <c r="C13" s="361">
        <v>0</v>
      </c>
      <c r="D13" s="361">
        <v>0</v>
      </c>
      <c r="E13" s="361"/>
      <c r="F13" s="361">
        <v>0</v>
      </c>
      <c r="G13" s="361">
        <v>7.1666664409340006</v>
      </c>
      <c r="H13" s="361">
        <v>-7.1666664409340006</v>
      </c>
      <c r="I13" s="362">
        <v>0</v>
      </c>
      <c r="J13" s="363" t="s">
        <v>1</v>
      </c>
    </row>
    <row r="14" spans="1:10" ht="14.4" customHeight="1" x14ac:dyDescent="0.3">
      <c r="A14" s="359" t="s">
        <v>377</v>
      </c>
      <c r="B14" s="360" t="s">
        <v>240</v>
      </c>
      <c r="C14" s="361">
        <v>77.113830000000007</v>
      </c>
      <c r="D14" s="361">
        <v>138.38016999999999</v>
      </c>
      <c r="E14" s="361"/>
      <c r="F14" s="361">
        <v>80.519799999999989</v>
      </c>
      <c r="G14" s="361">
        <v>134.49999576357601</v>
      </c>
      <c r="H14" s="361">
        <v>-53.98019576357602</v>
      </c>
      <c r="I14" s="362">
        <v>0.5986602419046736</v>
      </c>
      <c r="J14" s="363" t="s">
        <v>1</v>
      </c>
    </row>
    <row r="15" spans="1:10" ht="14.4" customHeight="1" x14ac:dyDescent="0.3">
      <c r="A15" s="359" t="s">
        <v>377</v>
      </c>
      <c r="B15" s="360" t="s">
        <v>241</v>
      </c>
      <c r="C15" s="361">
        <v>0</v>
      </c>
      <c r="D15" s="361">
        <v>0</v>
      </c>
      <c r="E15" s="361"/>
      <c r="F15" s="361">
        <v>0</v>
      </c>
      <c r="G15" s="361">
        <v>1.1666666299193333</v>
      </c>
      <c r="H15" s="361">
        <v>-1.1666666299193333</v>
      </c>
      <c r="I15" s="362">
        <v>0</v>
      </c>
      <c r="J15" s="363" t="s">
        <v>1</v>
      </c>
    </row>
    <row r="16" spans="1:10" ht="14.4" customHeight="1" x14ac:dyDescent="0.3">
      <c r="A16" s="359" t="s">
        <v>377</v>
      </c>
      <c r="B16" s="360" t="s">
        <v>242</v>
      </c>
      <c r="C16" s="361" t="s">
        <v>379</v>
      </c>
      <c r="D16" s="361" t="s">
        <v>379</v>
      </c>
      <c r="E16" s="361"/>
      <c r="F16" s="361">
        <v>133.74970999999999</v>
      </c>
      <c r="G16" s="361">
        <v>0</v>
      </c>
      <c r="H16" s="361">
        <v>133.74970999999999</v>
      </c>
      <c r="I16" s="362" t="s">
        <v>379</v>
      </c>
      <c r="J16" s="363" t="s">
        <v>1</v>
      </c>
    </row>
    <row r="17" spans="1:10" ht="14.4" customHeight="1" x14ac:dyDescent="0.3">
      <c r="A17" s="359" t="s">
        <v>377</v>
      </c>
      <c r="B17" s="360" t="s">
        <v>244</v>
      </c>
      <c r="C17" s="361">
        <v>0</v>
      </c>
      <c r="D17" s="361">
        <v>0</v>
      </c>
      <c r="E17" s="361"/>
      <c r="F17" s="361">
        <v>2.8716499999999998</v>
      </c>
      <c r="G17" s="361">
        <v>111.33056292185417</v>
      </c>
      <c r="H17" s="361">
        <v>-108.45891292185416</v>
      </c>
      <c r="I17" s="362">
        <v>2.5793905326928834E-2</v>
      </c>
      <c r="J17" s="363" t="s">
        <v>1</v>
      </c>
    </row>
    <row r="18" spans="1:10" ht="14.4" customHeight="1" x14ac:dyDescent="0.3">
      <c r="A18" s="359" t="s">
        <v>377</v>
      </c>
      <c r="B18" s="360" t="s">
        <v>381</v>
      </c>
      <c r="C18" s="361">
        <v>277.59847999999988</v>
      </c>
      <c r="D18" s="361">
        <v>1771.5836800000109</v>
      </c>
      <c r="E18" s="361"/>
      <c r="F18" s="361">
        <v>2377.8371000000011</v>
      </c>
      <c r="G18" s="361">
        <v>2202.991181084074</v>
      </c>
      <c r="H18" s="361">
        <v>174.84591891592709</v>
      </c>
      <c r="I18" s="362">
        <v>1.0793675074222888</v>
      </c>
      <c r="J18" s="363" t="s">
        <v>382</v>
      </c>
    </row>
    <row r="20" spans="1:10" ht="14.4" customHeight="1" x14ac:dyDescent="0.3">
      <c r="A20" s="359" t="s">
        <v>377</v>
      </c>
      <c r="B20" s="360" t="s">
        <v>378</v>
      </c>
      <c r="C20" s="361" t="s">
        <v>379</v>
      </c>
      <c r="D20" s="361" t="s">
        <v>379</v>
      </c>
      <c r="E20" s="361"/>
      <c r="F20" s="361" t="s">
        <v>379</v>
      </c>
      <c r="G20" s="361" t="s">
        <v>379</v>
      </c>
      <c r="H20" s="361" t="s">
        <v>379</v>
      </c>
      <c r="I20" s="362" t="s">
        <v>379</v>
      </c>
      <c r="J20" s="363" t="s">
        <v>56</v>
      </c>
    </row>
    <row r="21" spans="1:10" ht="14.4" customHeight="1" x14ac:dyDescent="0.3">
      <c r="A21" s="359" t="s">
        <v>383</v>
      </c>
      <c r="B21" s="360" t="s">
        <v>384</v>
      </c>
      <c r="C21" s="361" t="s">
        <v>379</v>
      </c>
      <c r="D21" s="361" t="s">
        <v>379</v>
      </c>
      <c r="E21" s="361"/>
      <c r="F21" s="361" t="s">
        <v>379</v>
      </c>
      <c r="G21" s="361" t="s">
        <v>379</v>
      </c>
      <c r="H21" s="361" t="s">
        <v>379</v>
      </c>
      <c r="I21" s="362" t="s">
        <v>379</v>
      </c>
      <c r="J21" s="363" t="s">
        <v>0</v>
      </c>
    </row>
    <row r="22" spans="1:10" ht="14.4" customHeight="1" x14ac:dyDescent="0.3">
      <c r="A22" s="359" t="s">
        <v>383</v>
      </c>
      <c r="B22" s="360" t="s">
        <v>232</v>
      </c>
      <c r="C22" s="361">
        <v>0.47239999999999999</v>
      </c>
      <c r="D22" s="361">
        <v>0</v>
      </c>
      <c r="E22" s="361"/>
      <c r="F22" s="361">
        <v>0</v>
      </c>
      <c r="G22" s="361">
        <v>0.40097868627616667</v>
      </c>
      <c r="H22" s="361">
        <v>-0.40097868627616667</v>
      </c>
      <c r="I22" s="362">
        <v>0</v>
      </c>
      <c r="J22" s="363" t="s">
        <v>1</v>
      </c>
    </row>
    <row r="23" spans="1:10" ht="14.4" customHeight="1" x14ac:dyDescent="0.3">
      <c r="A23" s="359" t="s">
        <v>383</v>
      </c>
      <c r="B23" s="360" t="s">
        <v>233</v>
      </c>
      <c r="C23" s="361">
        <v>151.38706999999999</v>
      </c>
      <c r="D23" s="361">
        <v>218.56071</v>
      </c>
      <c r="E23" s="361"/>
      <c r="F23" s="361">
        <v>247.80155999999999</v>
      </c>
      <c r="G23" s="361">
        <v>691.30869706631836</v>
      </c>
      <c r="H23" s="361">
        <v>-443.50713706631836</v>
      </c>
      <c r="I23" s="362">
        <v>0.35845283163887059</v>
      </c>
      <c r="J23" s="363" t="s">
        <v>1</v>
      </c>
    </row>
    <row r="24" spans="1:10" ht="14.4" customHeight="1" x14ac:dyDescent="0.3">
      <c r="A24" s="359" t="s">
        <v>383</v>
      </c>
      <c r="B24" s="360" t="s">
        <v>234</v>
      </c>
      <c r="C24" s="361">
        <v>176.58772999999999</v>
      </c>
      <c r="D24" s="361">
        <v>103.48658</v>
      </c>
      <c r="E24" s="361"/>
      <c r="F24" s="361">
        <v>128.74435</v>
      </c>
      <c r="G24" s="361">
        <v>153.55441749498834</v>
      </c>
      <c r="H24" s="361">
        <v>-24.810067494988346</v>
      </c>
      <c r="I24" s="362">
        <v>0.83842817484688714</v>
      </c>
      <c r="J24" s="363" t="s">
        <v>1</v>
      </c>
    </row>
    <row r="25" spans="1:10" ht="14.4" customHeight="1" x14ac:dyDescent="0.3">
      <c r="A25" s="359" t="s">
        <v>383</v>
      </c>
      <c r="B25" s="360" t="s">
        <v>235</v>
      </c>
      <c r="C25" s="361">
        <v>-728.54428000000007</v>
      </c>
      <c r="D25" s="361">
        <v>588.86094000001003</v>
      </c>
      <c r="E25" s="361"/>
      <c r="F25" s="361">
        <v>899.59765999999991</v>
      </c>
      <c r="G25" s="361">
        <v>0</v>
      </c>
      <c r="H25" s="361">
        <v>899.59765999999991</v>
      </c>
      <c r="I25" s="362" t="s">
        <v>379</v>
      </c>
      <c r="J25" s="363" t="s">
        <v>1</v>
      </c>
    </row>
    <row r="26" spans="1:10" ht="14.4" customHeight="1" x14ac:dyDescent="0.3">
      <c r="A26" s="359" t="s">
        <v>383</v>
      </c>
      <c r="B26" s="360" t="s">
        <v>236</v>
      </c>
      <c r="C26" s="361">
        <v>4.9257000000000009</v>
      </c>
      <c r="D26" s="361">
        <v>9.5464599999999997</v>
      </c>
      <c r="E26" s="361"/>
      <c r="F26" s="361">
        <v>0</v>
      </c>
      <c r="G26" s="361">
        <v>14.333332881868001</v>
      </c>
      <c r="H26" s="361">
        <v>-14.333332881868001</v>
      </c>
      <c r="I26" s="362">
        <v>0</v>
      </c>
      <c r="J26" s="363" t="s">
        <v>1</v>
      </c>
    </row>
    <row r="27" spans="1:10" ht="14.4" customHeight="1" x14ac:dyDescent="0.3">
      <c r="A27" s="359" t="s">
        <v>383</v>
      </c>
      <c r="B27" s="360" t="s">
        <v>237</v>
      </c>
      <c r="C27" s="361">
        <v>428.78372999999999</v>
      </c>
      <c r="D27" s="361">
        <v>527.85411000000101</v>
      </c>
      <c r="E27" s="361"/>
      <c r="F27" s="361">
        <v>534.41605000000095</v>
      </c>
      <c r="G27" s="361">
        <v>618.16664719591506</v>
      </c>
      <c r="H27" s="361">
        <v>-83.750597195914111</v>
      </c>
      <c r="I27" s="362">
        <v>0.86451776786111356</v>
      </c>
      <c r="J27" s="363" t="s">
        <v>1</v>
      </c>
    </row>
    <row r="28" spans="1:10" ht="14.4" customHeight="1" x14ac:dyDescent="0.3">
      <c r="A28" s="359" t="s">
        <v>383</v>
      </c>
      <c r="B28" s="360" t="s">
        <v>238</v>
      </c>
      <c r="C28" s="361">
        <v>15.962</v>
      </c>
      <c r="D28" s="361">
        <v>4.9805399999999995</v>
      </c>
      <c r="E28" s="361"/>
      <c r="F28" s="361">
        <v>10.702020000000001</v>
      </c>
      <c r="G28" s="361">
        <v>17.578780725228999</v>
      </c>
      <c r="H28" s="361">
        <v>-6.8767607252289977</v>
      </c>
      <c r="I28" s="362">
        <v>0.60880331618452366</v>
      </c>
      <c r="J28" s="363" t="s">
        <v>1</v>
      </c>
    </row>
    <row r="29" spans="1:10" ht="14.4" customHeight="1" x14ac:dyDescent="0.3">
      <c r="A29" s="359" t="s">
        <v>383</v>
      </c>
      <c r="B29" s="360" t="s">
        <v>239</v>
      </c>
      <c r="C29" s="361">
        <v>0</v>
      </c>
      <c r="D29" s="361">
        <v>0</v>
      </c>
      <c r="E29" s="361"/>
      <c r="F29" s="361">
        <v>0</v>
      </c>
      <c r="G29" s="361">
        <v>7.1666664409340006</v>
      </c>
      <c r="H29" s="361">
        <v>-7.1666664409340006</v>
      </c>
      <c r="I29" s="362">
        <v>0</v>
      </c>
      <c r="J29" s="363" t="s">
        <v>1</v>
      </c>
    </row>
    <row r="30" spans="1:10" ht="14.4" customHeight="1" x14ac:dyDescent="0.3">
      <c r="A30" s="359" t="s">
        <v>383</v>
      </c>
      <c r="B30" s="360" t="s">
        <v>240</v>
      </c>
      <c r="C30" s="361">
        <v>65.44323</v>
      </c>
      <c r="D30" s="361">
        <v>53.584200000000003</v>
      </c>
      <c r="E30" s="361"/>
      <c r="F30" s="361">
        <v>69.950199999999995</v>
      </c>
      <c r="G30" s="361">
        <v>87.490944278414005</v>
      </c>
      <c r="H30" s="361">
        <v>-17.54074427841401</v>
      </c>
      <c r="I30" s="362">
        <v>0.79951360197238486</v>
      </c>
      <c r="J30" s="363" t="s">
        <v>1</v>
      </c>
    </row>
    <row r="31" spans="1:10" ht="14.4" customHeight="1" x14ac:dyDescent="0.3">
      <c r="A31" s="359" t="s">
        <v>383</v>
      </c>
      <c r="B31" s="360" t="s">
        <v>241</v>
      </c>
      <c r="C31" s="361">
        <v>0</v>
      </c>
      <c r="D31" s="361">
        <v>0</v>
      </c>
      <c r="E31" s="361"/>
      <c r="F31" s="361">
        <v>0</v>
      </c>
      <c r="G31" s="361">
        <v>1.1666666299193333</v>
      </c>
      <c r="H31" s="361">
        <v>-1.1666666299193333</v>
      </c>
      <c r="I31" s="362">
        <v>0</v>
      </c>
      <c r="J31" s="363" t="s">
        <v>1</v>
      </c>
    </row>
    <row r="32" spans="1:10" ht="14.4" customHeight="1" x14ac:dyDescent="0.3">
      <c r="A32" s="359" t="s">
        <v>383</v>
      </c>
      <c r="B32" s="360" t="s">
        <v>242</v>
      </c>
      <c r="C32" s="361" t="s">
        <v>379</v>
      </c>
      <c r="D32" s="361" t="s">
        <v>379</v>
      </c>
      <c r="E32" s="361"/>
      <c r="F32" s="361">
        <v>66.403950000000009</v>
      </c>
      <c r="G32" s="361">
        <v>0</v>
      </c>
      <c r="H32" s="361">
        <v>66.403950000000009</v>
      </c>
      <c r="I32" s="362" t="s">
        <v>379</v>
      </c>
      <c r="J32" s="363" t="s">
        <v>1</v>
      </c>
    </row>
    <row r="33" spans="1:10" ht="14.4" customHeight="1" x14ac:dyDescent="0.3">
      <c r="A33" s="359" t="s">
        <v>383</v>
      </c>
      <c r="B33" s="360" t="s">
        <v>244</v>
      </c>
      <c r="C33" s="361">
        <v>0</v>
      </c>
      <c r="D33" s="361">
        <v>0</v>
      </c>
      <c r="E33" s="361"/>
      <c r="F33" s="361">
        <v>2.8716499999999998</v>
      </c>
      <c r="G33" s="361">
        <v>7.2067398929346664</v>
      </c>
      <c r="H33" s="361">
        <v>-4.3350898929346666</v>
      </c>
      <c r="I33" s="362">
        <v>0.39846727406039784</v>
      </c>
      <c r="J33" s="363" t="s">
        <v>1</v>
      </c>
    </row>
    <row r="34" spans="1:10" ht="14.4" customHeight="1" x14ac:dyDescent="0.3">
      <c r="A34" s="359" t="s">
        <v>383</v>
      </c>
      <c r="B34" s="360" t="s">
        <v>385</v>
      </c>
      <c r="C34" s="361">
        <v>115.01757999999988</v>
      </c>
      <c r="D34" s="361">
        <v>1506.8735400000112</v>
      </c>
      <c r="E34" s="361"/>
      <c r="F34" s="361">
        <v>1960.4874400000008</v>
      </c>
      <c r="G34" s="361">
        <v>1598.373871292797</v>
      </c>
      <c r="H34" s="361">
        <v>362.11356870720374</v>
      </c>
      <c r="I34" s="362">
        <v>1.2265512313551015</v>
      </c>
      <c r="J34" s="363" t="s">
        <v>386</v>
      </c>
    </row>
    <row r="35" spans="1:10" ht="14.4" customHeight="1" x14ac:dyDescent="0.3">
      <c r="A35" s="359" t="s">
        <v>379</v>
      </c>
      <c r="B35" s="360" t="s">
        <v>379</v>
      </c>
      <c r="C35" s="361" t="s">
        <v>379</v>
      </c>
      <c r="D35" s="361" t="s">
        <v>379</v>
      </c>
      <c r="E35" s="361"/>
      <c r="F35" s="361" t="s">
        <v>379</v>
      </c>
      <c r="G35" s="361" t="s">
        <v>379</v>
      </c>
      <c r="H35" s="361" t="s">
        <v>379</v>
      </c>
      <c r="I35" s="362" t="s">
        <v>379</v>
      </c>
      <c r="J35" s="363" t="s">
        <v>387</v>
      </c>
    </row>
    <row r="36" spans="1:10" ht="14.4" customHeight="1" x14ac:dyDescent="0.3">
      <c r="A36" s="359" t="s">
        <v>388</v>
      </c>
      <c r="B36" s="360" t="s">
        <v>389</v>
      </c>
      <c r="C36" s="361" t="s">
        <v>379</v>
      </c>
      <c r="D36" s="361" t="s">
        <v>379</v>
      </c>
      <c r="E36" s="361"/>
      <c r="F36" s="361" t="s">
        <v>379</v>
      </c>
      <c r="G36" s="361" t="s">
        <v>379</v>
      </c>
      <c r="H36" s="361" t="s">
        <v>379</v>
      </c>
      <c r="I36" s="362" t="s">
        <v>379</v>
      </c>
      <c r="J36" s="363" t="s">
        <v>0</v>
      </c>
    </row>
    <row r="37" spans="1:10" ht="14.4" customHeight="1" x14ac:dyDescent="0.3">
      <c r="A37" s="359" t="s">
        <v>388</v>
      </c>
      <c r="B37" s="360" t="s">
        <v>232</v>
      </c>
      <c r="C37" s="361">
        <v>0</v>
      </c>
      <c r="D37" s="361">
        <v>0</v>
      </c>
      <c r="E37" s="361"/>
      <c r="F37" s="361">
        <v>0</v>
      </c>
      <c r="G37" s="361">
        <v>0.76568794364316661</v>
      </c>
      <c r="H37" s="361">
        <v>-0.76568794364316661</v>
      </c>
      <c r="I37" s="362">
        <v>0</v>
      </c>
      <c r="J37" s="363" t="s">
        <v>1</v>
      </c>
    </row>
    <row r="38" spans="1:10" ht="14.4" customHeight="1" x14ac:dyDescent="0.3">
      <c r="A38" s="359" t="s">
        <v>388</v>
      </c>
      <c r="B38" s="360" t="s">
        <v>233</v>
      </c>
      <c r="C38" s="361">
        <v>57.544800000000002</v>
      </c>
      <c r="D38" s="361">
        <v>57.579839999999997</v>
      </c>
      <c r="E38" s="361"/>
      <c r="F38" s="361">
        <v>172.19969</v>
      </c>
      <c r="G38" s="361">
        <v>223.6912741134</v>
      </c>
      <c r="H38" s="361">
        <v>-51.491584113399995</v>
      </c>
      <c r="I38" s="362">
        <v>0.76980959888807998</v>
      </c>
      <c r="J38" s="363" t="s">
        <v>1</v>
      </c>
    </row>
    <row r="39" spans="1:10" ht="14.4" customHeight="1" x14ac:dyDescent="0.3">
      <c r="A39" s="359" t="s">
        <v>388</v>
      </c>
      <c r="B39" s="360" t="s">
        <v>234</v>
      </c>
      <c r="C39" s="361">
        <v>35.069969999999998</v>
      </c>
      <c r="D39" s="361">
        <v>94.147570000000002</v>
      </c>
      <c r="E39" s="361"/>
      <c r="F39" s="361">
        <v>97.693510000000003</v>
      </c>
      <c r="G39" s="361">
        <v>157.77890603209968</v>
      </c>
      <c r="H39" s="361">
        <v>-60.08539603209968</v>
      </c>
      <c r="I39" s="362">
        <v>0.61917979061234285</v>
      </c>
      <c r="J39" s="363" t="s">
        <v>1</v>
      </c>
    </row>
    <row r="40" spans="1:10" ht="14.4" customHeight="1" x14ac:dyDescent="0.3">
      <c r="A40" s="359" t="s">
        <v>388</v>
      </c>
      <c r="B40" s="360" t="s">
        <v>236</v>
      </c>
      <c r="C40" s="361">
        <v>0</v>
      </c>
      <c r="D40" s="361" t="s">
        <v>379</v>
      </c>
      <c r="E40" s="361"/>
      <c r="F40" s="361" t="s">
        <v>379</v>
      </c>
      <c r="G40" s="361" t="s">
        <v>379</v>
      </c>
      <c r="H40" s="361" t="s">
        <v>379</v>
      </c>
      <c r="I40" s="362" t="s">
        <v>379</v>
      </c>
      <c r="J40" s="363" t="s">
        <v>1</v>
      </c>
    </row>
    <row r="41" spans="1:10" ht="14.4" customHeight="1" x14ac:dyDescent="0.3">
      <c r="A41" s="359" t="s">
        <v>388</v>
      </c>
      <c r="B41" s="360" t="s">
        <v>237</v>
      </c>
      <c r="C41" s="361">
        <v>58.295529999999999</v>
      </c>
      <c r="D41" s="361">
        <v>28.002759999999999</v>
      </c>
      <c r="E41" s="361"/>
      <c r="F41" s="361">
        <v>69.5411</v>
      </c>
      <c r="G41" s="361">
        <v>69.994015173152164</v>
      </c>
      <c r="H41" s="361">
        <v>-0.45291517315216367</v>
      </c>
      <c r="I41" s="362">
        <v>0.99352923000585502</v>
      </c>
      <c r="J41" s="363" t="s">
        <v>1</v>
      </c>
    </row>
    <row r="42" spans="1:10" ht="14.4" customHeight="1" x14ac:dyDescent="0.3">
      <c r="A42" s="359" t="s">
        <v>388</v>
      </c>
      <c r="B42" s="360" t="s">
        <v>238</v>
      </c>
      <c r="C42" s="361">
        <v>0</v>
      </c>
      <c r="D42" s="361">
        <v>0.184</v>
      </c>
      <c r="E42" s="361"/>
      <c r="F42" s="361">
        <v>0</v>
      </c>
      <c r="G42" s="361">
        <v>1.2545520149</v>
      </c>
      <c r="H42" s="361">
        <v>-1.2545520149</v>
      </c>
      <c r="I42" s="362">
        <v>0</v>
      </c>
      <c r="J42" s="363" t="s">
        <v>1</v>
      </c>
    </row>
    <row r="43" spans="1:10" ht="14.4" customHeight="1" x14ac:dyDescent="0.3">
      <c r="A43" s="359" t="s">
        <v>388</v>
      </c>
      <c r="B43" s="360" t="s">
        <v>239</v>
      </c>
      <c r="C43" s="361">
        <v>0</v>
      </c>
      <c r="D43" s="361">
        <v>0</v>
      </c>
      <c r="E43" s="361"/>
      <c r="F43" s="361" t="s">
        <v>379</v>
      </c>
      <c r="G43" s="361" t="s">
        <v>379</v>
      </c>
      <c r="H43" s="361" t="s">
        <v>379</v>
      </c>
      <c r="I43" s="362" t="s">
        <v>379</v>
      </c>
      <c r="J43" s="363" t="s">
        <v>1</v>
      </c>
    </row>
    <row r="44" spans="1:10" ht="14.4" customHeight="1" x14ac:dyDescent="0.3">
      <c r="A44" s="359" t="s">
        <v>388</v>
      </c>
      <c r="B44" s="360" t="s">
        <v>240</v>
      </c>
      <c r="C44" s="361">
        <v>11.6706</v>
      </c>
      <c r="D44" s="361">
        <v>84.795969999999997</v>
      </c>
      <c r="E44" s="361"/>
      <c r="F44" s="361">
        <v>10.569599999999999</v>
      </c>
      <c r="G44" s="361">
        <v>47.009051485161997</v>
      </c>
      <c r="H44" s="361">
        <v>-36.439451485161996</v>
      </c>
      <c r="I44" s="362">
        <v>0.2248418052709743</v>
      </c>
      <c r="J44" s="363" t="s">
        <v>1</v>
      </c>
    </row>
    <row r="45" spans="1:10" ht="14.4" customHeight="1" x14ac:dyDescent="0.3">
      <c r="A45" s="359" t="s">
        <v>388</v>
      </c>
      <c r="B45" s="360" t="s">
        <v>241</v>
      </c>
      <c r="C45" s="361">
        <v>0</v>
      </c>
      <c r="D45" s="361">
        <v>0</v>
      </c>
      <c r="E45" s="361"/>
      <c r="F45" s="361" t="s">
        <v>379</v>
      </c>
      <c r="G45" s="361" t="s">
        <v>379</v>
      </c>
      <c r="H45" s="361" t="s">
        <v>379</v>
      </c>
      <c r="I45" s="362" t="s">
        <v>379</v>
      </c>
      <c r="J45" s="363" t="s">
        <v>1</v>
      </c>
    </row>
    <row r="46" spans="1:10" ht="14.4" customHeight="1" x14ac:dyDescent="0.3">
      <c r="A46" s="359" t="s">
        <v>388</v>
      </c>
      <c r="B46" s="360" t="s">
        <v>242</v>
      </c>
      <c r="C46" s="361" t="s">
        <v>379</v>
      </c>
      <c r="D46" s="361" t="s">
        <v>379</v>
      </c>
      <c r="E46" s="361"/>
      <c r="F46" s="361">
        <v>67.345759999999999</v>
      </c>
      <c r="G46" s="361">
        <v>0</v>
      </c>
      <c r="H46" s="361">
        <v>67.345759999999999</v>
      </c>
      <c r="I46" s="362" t="s">
        <v>379</v>
      </c>
      <c r="J46" s="363" t="s">
        <v>1</v>
      </c>
    </row>
    <row r="47" spans="1:10" ht="14.4" customHeight="1" x14ac:dyDescent="0.3">
      <c r="A47" s="359" t="s">
        <v>388</v>
      </c>
      <c r="B47" s="360" t="s">
        <v>244</v>
      </c>
      <c r="C47" s="361">
        <v>0</v>
      </c>
      <c r="D47" s="361">
        <v>0</v>
      </c>
      <c r="E47" s="361"/>
      <c r="F47" s="361">
        <v>0</v>
      </c>
      <c r="G47" s="361">
        <v>104.1238230289195</v>
      </c>
      <c r="H47" s="361">
        <v>-104.1238230289195</v>
      </c>
      <c r="I47" s="362">
        <v>0</v>
      </c>
      <c r="J47" s="363" t="s">
        <v>1</v>
      </c>
    </row>
    <row r="48" spans="1:10" ht="14.4" customHeight="1" x14ac:dyDescent="0.3">
      <c r="A48" s="359" t="s">
        <v>388</v>
      </c>
      <c r="B48" s="360" t="s">
        <v>390</v>
      </c>
      <c r="C48" s="361">
        <v>162.58090000000001</v>
      </c>
      <c r="D48" s="361">
        <v>264.71013999999997</v>
      </c>
      <c r="E48" s="361"/>
      <c r="F48" s="361">
        <v>417.34965999999997</v>
      </c>
      <c r="G48" s="361">
        <v>604.61730979127651</v>
      </c>
      <c r="H48" s="361">
        <v>-187.26764979127654</v>
      </c>
      <c r="I48" s="362">
        <v>0.69027077664064185</v>
      </c>
      <c r="J48" s="363" t="s">
        <v>386</v>
      </c>
    </row>
    <row r="49" spans="1:10" ht="14.4" customHeight="1" x14ac:dyDescent="0.3">
      <c r="A49" s="359" t="s">
        <v>379</v>
      </c>
      <c r="B49" s="360" t="s">
        <v>379</v>
      </c>
      <c r="C49" s="361" t="s">
        <v>379</v>
      </c>
      <c r="D49" s="361" t="s">
        <v>379</v>
      </c>
      <c r="E49" s="361"/>
      <c r="F49" s="361" t="s">
        <v>379</v>
      </c>
      <c r="G49" s="361" t="s">
        <v>379</v>
      </c>
      <c r="H49" s="361" t="s">
        <v>379</v>
      </c>
      <c r="I49" s="362" t="s">
        <v>379</v>
      </c>
      <c r="J49" s="363" t="s">
        <v>387</v>
      </c>
    </row>
    <row r="50" spans="1:10" ht="14.4" customHeight="1" x14ac:dyDescent="0.3">
      <c r="A50" s="359" t="s">
        <v>377</v>
      </c>
      <c r="B50" s="360" t="s">
        <v>381</v>
      </c>
      <c r="C50" s="361">
        <v>277.59847999999982</v>
      </c>
      <c r="D50" s="361">
        <v>1771.5836800000113</v>
      </c>
      <c r="E50" s="361"/>
      <c r="F50" s="361">
        <v>2377.8371000000006</v>
      </c>
      <c r="G50" s="361">
        <v>2202.991181084074</v>
      </c>
      <c r="H50" s="361">
        <v>174.84591891592663</v>
      </c>
      <c r="I50" s="362">
        <v>1.0793675074222886</v>
      </c>
      <c r="J50" s="363" t="s">
        <v>382</v>
      </c>
    </row>
  </sheetData>
  <mergeCells count="3">
    <mergeCell ref="A1:I1"/>
    <mergeCell ref="F3:I3"/>
    <mergeCell ref="C4:D4"/>
  </mergeCells>
  <conditionalFormatting sqref="F19 F51:F65537">
    <cfRule type="cellIs" dxfId="19" priority="18" stopIfTrue="1" operator="greaterThan">
      <formula>1</formula>
    </cfRule>
  </conditionalFormatting>
  <conditionalFormatting sqref="H5:H18">
    <cfRule type="expression" dxfId="18" priority="14">
      <formula>$H5&gt;0</formula>
    </cfRule>
  </conditionalFormatting>
  <conditionalFormatting sqref="I5:I18">
    <cfRule type="expression" dxfId="17" priority="15">
      <formula>$I5&gt;1</formula>
    </cfRule>
  </conditionalFormatting>
  <conditionalFormatting sqref="B5:B18">
    <cfRule type="expression" dxfId="16" priority="11">
      <formula>OR($J5="NS",$J5="SumaNS",$J5="Účet")</formula>
    </cfRule>
  </conditionalFormatting>
  <conditionalFormatting sqref="F5:I18 B5:D18">
    <cfRule type="expression" dxfId="15" priority="17">
      <formula>AND($J5&lt;&gt;"",$J5&lt;&gt;"mezeraKL")</formula>
    </cfRule>
  </conditionalFormatting>
  <conditionalFormatting sqref="B5:D18 F5:I1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3" priority="13">
      <formula>OR($J5="SumaNS",$J5="NS")</formula>
    </cfRule>
  </conditionalFormatting>
  <conditionalFormatting sqref="A5:A18">
    <cfRule type="expression" dxfId="12" priority="9">
      <formula>AND($J5&lt;&gt;"mezeraKL",$J5&lt;&gt;"")</formula>
    </cfRule>
  </conditionalFormatting>
  <conditionalFormatting sqref="A5:A18">
    <cfRule type="expression" dxfId="11" priority="10">
      <formula>AND($J5&lt;&gt;"",$J5&lt;&gt;"mezeraKL")</formula>
    </cfRule>
  </conditionalFormatting>
  <conditionalFormatting sqref="H20:H50">
    <cfRule type="expression" dxfId="10" priority="5">
      <formula>$H20&gt;0</formula>
    </cfRule>
  </conditionalFormatting>
  <conditionalFormatting sqref="A20:A50">
    <cfRule type="expression" dxfId="9" priority="2">
      <formula>AND($J20&lt;&gt;"mezeraKL",$J20&lt;&gt;"")</formula>
    </cfRule>
  </conditionalFormatting>
  <conditionalFormatting sqref="I20:I50">
    <cfRule type="expression" dxfId="8" priority="6">
      <formula>$I20&gt;1</formula>
    </cfRule>
  </conditionalFormatting>
  <conditionalFormatting sqref="B20:B50">
    <cfRule type="expression" dxfId="7" priority="1">
      <formula>OR($J20="NS",$J20="SumaNS",$J20="Účet")</formula>
    </cfRule>
  </conditionalFormatting>
  <conditionalFormatting sqref="A20:D50 F20:I50">
    <cfRule type="expression" dxfId="6" priority="8">
      <formula>AND($J20&lt;&gt;"",$J20&lt;&gt;"mezeraKL")</formula>
    </cfRule>
  </conditionalFormatting>
  <conditionalFormatting sqref="B20:D50 F20:I50">
    <cfRule type="expression" dxfId="5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50 F20:I50">
    <cfRule type="expression" dxfId="4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0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7" bestFit="1" customWidth="1" collapsed="1"/>
    <col min="4" max="4" width="18.77734375" style="181" customWidth="1"/>
    <col min="5" max="5" width="9" style="177" bestFit="1" customWidth="1"/>
    <col min="6" max="6" width="18.77734375" style="181" customWidth="1"/>
    <col min="7" max="7" width="12.44140625" style="177" hidden="1" customWidth="1" outlineLevel="1"/>
    <col min="8" max="8" width="25.77734375" style="177" customWidth="1" collapsed="1"/>
    <col min="9" max="9" width="7.77734375" style="175" customWidth="1"/>
    <col min="10" max="10" width="10" style="175" customWidth="1"/>
    <col min="11" max="11" width="11.109375" style="175" customWidth="1"/>
    <col min="12" max="16384" width="8.88671875" style="107"/>
  </cols>
  <sheetData>
    <row r="1" spans="1:11" ht="18.600000000000001" customHeight="1" thickBot="1" x14ac:dyDescent="0.4">
      <c r="A1" s="310" t="s">
        <v>848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14.4" customHeight="1" thickBot="1" x14ac:dyDescent="0.35">
      <c r="A2" s="188" t="s">
        <v>219</v>
      </c>
      <c r="B2" s="62"/>
      <c r="C2" s="179"/>
      <c r="D2" s="179"/>
      <c r="E2" s="179"/>
      <c r="F2" s="179"/>
      <c r="G2" s="179"/>
      <c r="H2" s="179"/>
      <c r="I2" s="180"/>
      <c r="J2" s="180"/>
      <c r="K2" s="180"/>
    </row>
    <row r="3" spans="1:11" ht="14.4" customHeight="1" thickBot="1" x14ac:dyDescent="0.35">
      <c r="A3" s="62"/>
      <c r="B3" s="62"/>
      <c r="C3" s="306"/>
      <c r="D3" s="307"/>
      <c r="E3" s="307"/>
      <c r="F3" s="307"/>
      <c r="G3" s="307"/>
      <c r="H3" s="119" t="s">
        <v>78</v>
      </c>
      <c r="I3" s="81">
        <f>IF(J3&lt;&gt;0,K3/J3,0)</f>
        <v>38.170331106593082</v>
      </c>
      <c r="J3" s="81">
        <f>SUBTOTAL(9,J5:J1048576)</f>
        <v>130834</v>
      </c>
      <c r="K3" s="82">
        <f>SUBTOTAL(9,K5:K1048576)</f>
        <v>4993977.0999999996</v>
      </c>
    </row>
    <row r="4" spans="1:11" s="176" customFormat="1" ht="14.4" customHeight="1" thickBot="1" x14ac:dyDescent="0.35">
      <c r="A4" s="364" t="s">
        <v>4</v>
      </c>
      <c r="B4" s="365" t="s">
        <v>5</v>
      </c>
      <c r="C4" s="365" t="s">
        <v>0</v>
      </c>
      <c r="D4" s="365" t="s">
        <v>6</v>
      </c>
      <c r="E4" s="365" t="s">
        <v>7</v>
      </c>
      <c r="F4" s="365" t="s">
        <v>1</v>
      </c>
      <c r="G4" s="365" t="s">
        <v>57</v>
      </c>
      <c r="H4" s="366" t="s">
        <v>11</v>
      </c>
      <c r="I4" s="367" t="s">
        <v>91</v>
      </c>
      <c r="J4" s="367" t="s">
        <v>13</v>
      </c>
      <c r="K4" s="368" t="s">
        <v>102</v>
      </c>
    </row>
    <row r="5" spans="1:11" ht="14.4" customHeight="1" x14ac:dyDescent="0.3">
      <c r="A5" s="371" t="s">
        <v>377</v>
      </c>
      <c r="B5" s="372" t="s">
        <v>470</v>
      </c>
      <c r="C5" s="373" t="s">
        <v>383</v>
      </c>
      <c r="D5" s="374" t="s">
        <v>471</v>
      </c>
      <c r="E5" s="373" t="s">
        <v>832</v>
      </c>
      <c r="F5" s="374" t="s">
        <v>833</v>
      </c>
      <c r="G5" s="373" t="s">
        <v>482</v>
      </c>
      <c r="H5" s="373" t="s">
        <v>483</v>
      </c>
      <c r="I5" s="375">
        <v>3.105</v>
      </c>
      <c r="J5" s="375">
        <v>120</v>
      </c>
      <c r="K5" s="376">
        <v>373</v>
      </c>
    </row>
    <row r="6" spans="1:11" ht="14.4" customHeight="1" x14ac:dyDescent="0.3">
      <c r="A6" s="377" t="s">
        <v>377</v>
      </c>
      <c r="B6" s="378" t="s">
        <v>470</v>
      </c>
      <c r="C6" s="379" t="s">
        <v>383</v>
      </c>
      <c r="D6" s="380" t="s">
        <v>471</v>
      </c>
      <c r="E6" s="379" t="s">
        <v>832</v>
      </c>
      <c r="F6" s="380" t="s">
        <v>833</v>
      </c>
      <c r="G6" s="379" t="s">
        <v>484</v>
      </c>
      <c r="H6" s="379" t="s">
        <v>485</v>
      </c>
      <c r="I6" s="381">
        <v>3.78</v>
      </c>
      <c r="J6" s="381">
        <v>140</v>
      </c>
      <c r="K6" s="382">
        <v>529.20000000000005</v>
      </c>
    </row>
    <row r="7" spans="1:11" ht="14.4" customHeight="1" x14ac:dyDescent="0.3">
      <c r="A7" s="377" t="s">
        <v>377</v>
      </c>
      <c r="B7" s="378" t="s">
        <v>470</v>
      </c>
      <c r="C7" s="379" t="s">
        <v>383</v>
      </c>
      <c r="D7" s="380" t="s">
        <v>471</v>
      </c>
      <c r="E7" s="379" t="s">
        <v>832</v>
      </c>
      <c r="F7" s="380" t="s">
        <v>833</v>
      </c>
      <c r="G7" s="379" t="s">
        <v>486</v>
      </c>
      <c r="H7" s="379" t="s">
        <v>487</v>
      </c>
      <c r="I7" s="381">
        <v>1.84</v>
      </c>
      <c r="J7" s="381">
        <v>500</v>
      </c>
      <c r="K7" s="382">
        <v>920</v>
      </c>
    </row>
    <row r="8" spans="1:11" ht="14.4" customHeight="1" x14ac:dyDescent="0.3">
      <c r="A8" s="377" t="s">
        <v>377</v>
      </c>
      <c r="B8" s="378" t="s">
        <v>470</v>
      </c>
      <c r="C8" s="379" t="s">
        <v>383</v>
      </c>
      <c r="D8" s="380" t="s">
        <v>471</v>
      </c>
      <c r="E8" s="379" t="s">
        <v>832</v>
      </c>
      <c r="F8" s="380" t="s">
        <v>833</v>
      </c>
      <c r="G8" s="379" t="s">
        <v>488</v>
      </c>
      <c r="H8" s="379" t="s">
        <v>489</v>
      </c>
      <c r="I8" s="381">
        <v>14.21</v>
      </c>
      <c r="J8" s="381">
        <v>150</v>
      </c>
      <c r="K8" s="382">
        <v>2131.5</v>
      </c>
    </row>
    <row r="9" spans="1:11" ht="14.4" customHeight="1" x14ac:dyDescent="0.3">
      <c r="A9" s="377" t="s">
        <v>377</v>
      </c>
      <c r="B9" s="378" t="s">
        <v>470</v>
      </c>
      <c r="C9" s="379" t="s">
        <v>383</v>
      </c>
      <c r="D9" s="380" t="s">
        <v>471</v>
      </c>
      <c r="E9" s="379" t="s">
        <v>832</v>
      </c>
      <c r="F9" s="380" t="s">
        <v>833</v>
      </c>
      <c r="G9" s="379" t="s">
        <v>490</v>
      </c>
      <c r="H9" s="379" t="s">
        <v>491</v>
      </c>
      <c r="I9" s="381">
        <v>26.45</v>
      </c>
      <c r="J9" s="381">
        <v>900</v>
      </c>
      <c r="K9" s="382">
        <v>23805</v>
      </c>
    </row>
    <row r="10" spans="1:11" ht="14.4" customHeight="1" x14ac:dyDescent="0.3">
      <c r="A10" s="377" t="s">
        <v>377</v>
      </c>
      <c r="B10" s="378" t="s">
        <v>470</v>
      </c>
      <c r="C10" s="379" t="s">
        <v>383</v>
      </c>
      <c r="D10" s="380" t="s">
        <v>471</v>
      </c>
      <c r="E10" s="379" t="s">
        <v>832</v>
      </c>
      <c r="F10" s="380" t="s">
        <v>833</v>
      </c>
      <c r="G10" s="379" t="s">
        <v>492</v>
      </c>
      <c r="H10" s="379" t="s">
        <v>493</v>
      </c>
      <c r="I10" s="381">
        <v>0.44</v>
      </c>
      <c r="J10" s="381">
        <v>1500</v>
      </c>
      <c r="K10" s="382">
        <v>660</v>
      </c>
    </row>
    <row r="11" spans="1:11" ht="14.4" customHeight="1" x14ac:dyDescent="0.3">
      <c r="A11" s="377" t="s">
        <v>377</v>
      </c>
      <c r="B11" s="378" t="s">
        <v>470</v>
      </c>
      <c r="C11" s="379" t="s">
        <v>383</v>
      </c>
      <c r="D11" s="380" t="s">
        <v>471</v>
      </c>
      <c r="E11" s="379" t="s">
        <v>832</v>
      </c>
      <c r="F11" s="380" t="s">
        <v>833</v>
      </c>
      <c r="G11" s="379" t="s">
        <v>494</v>
      </c>
      <c r="H11" s="379" t="s">
        <v>495</v>
      </c>
      <c r="I11" s="381">
        <v>61.21</v>
      </c>
      <c r="J11" s="381">
        <v>8</v>
      </c>
      <c r="K11" s="382">
        <v>489.69</v>
      </c>
    </row>
    <row r="12" spans="1:11" ht="14.4" customHeight="1" x14ac:dyDescent="0.3">
      <c r="A12" s="377" t="s">
        <v>377</v>
      </c>
      <c r="B12" s="378" t="s">
        <v>470</v>
      </c>
      <c r="C12" s="379" t="s">
        <v>383</v>
      </c>
      <c r="D12" s="380" t="s">
        <v>471</v>
      </c>
      <c r="E12" s="379" t="s">
        <v>832</v>
      </c>
      <c r="F12" s="380" t="s">
        <v>833</v>
      </c>
      <c r="G12" s="379" t="s">
        <v>496</v>
      </c>
      <c r="H12" s="379" t="s">
        <v>497</v>
      </c>
      <c r="I12" s="381">
        <v>54.86</v>
      </c>
      <c r="J12" s="381">
        <v>30</v>
      </c>
      <c r="K12" s="382">
        <v>1645.8</v>
      </c>
    </row>
    <row r="13" spans="1:11" ht="14.4" customHeight="1" x14ac:dyDescent="0.3">
      <c r="A13" s="377" t="s">
        <v>377</v>
      </c>
      <c r="B13" s="378" t="s">
        <v>470</v>
      </c>
      <c r="C13" s="379" t="s">
        <v>383</v>
      </c>
      <c r="D13" s="380" t="s">
        <v>471</v>
      </c>
      <c r="E13" s="379" t="s">
        <v>832</v>
      </c>
      <c r="F13" s="380" t="s">
        <v>833</v>
      </c>
      <c r="G13" s="379" t="s">
        <v>498</v>
      </c>
      <c r="H13" s="379" t="s">
        <v>499</v>
      </c>
      <c r="I13" s="381">
        <v>30.175000000000001</v>
      </c>
      <c r="J13" s="381">
        <v>85</v>
      </c>
      <c r="K13" s="382">
        <v>2564.6999999999998</v>
      </c>
    </row>
    <row r="14" spans="1:11" ht="14.4" customHeight="1" x14ac:dyDescent="0.3">
      <c r="A14" s="377" t="s">
        <v>377</v>
      </c>
      <c r="B14" s="378" t="s">
        <v>470</v>
      </c>
      <c r="C14" s="379" t="s">
        <v>383</v>
      </c>
      <c r="D14" s="380" t="s">
        <v>471</v>
      </c>
      <c r="E14" s="379" t="s">
        <v>832</v>
      </c>
      <c r="F14" s="380" t="s">
        <v>833</v>
      </c>
      <c r="G14" s="379" t="s">
        <v>500</v>
      </c>
      <c r="H14" s="379" t="s">
        <v>501</v>
      </c>
      <c r="I14" s="381">
        <v>4.2649999999999997</v>
      </c>
      <c r="J14" s="381">
        <v>140</v>
      </c>
      <c r="K14" s="382">
        <v>597.4</v>
      </c>
    </row>
    <row r="15" spans="1:11" ht="14.4" customHeight="1" x14ac:dyDescent="0.3">
      <c r="A15" s="377" t="s">
        <v>377</v>
      </c>
      <c r="B15" s="378" t="s">
        <v>470</v>
      </c>
      <c r="C15" s="379" t="s">
        <v>383</v>
      </c>
      <c r="D15" s="380" t="s">
        <v>471</v>
      </c>
      <c r="E15" s="379" t="s">
        <v>832</v>
      </c>
      <c r="F15" s="380" t="s">
        <v>833</v>
      </c>
      <c r="G15" s="379" t="s">
        <v>502</v>
      </c>
      <c r="H15" s="379" t="s">
        <v>503</v>
      </c>
      <c r="I15" s="381">
        <v>3.44</v>
      </c>
      <c r="J15" s="381">
        <v>36000</v>
      </c>
      <c r="K15" s="382">
        <v>123683.72</v>
      </c>
    </row>
    <row r="16" spans="1:11" ht="14.4" customHeight="1" x14ac:dyDescent="0.3">
      <c r="A16" s="377" t="s">
        <v>377</v>
      </c>
      <c r="B16" s="378" t="s">
        <v>470</v>
      </c>
      <c r="C16" s="379" t="s">
        <v>383</v>
      </c>
      <c r="D16" s="380" t="s">
        <v>471</v>
      </c>
      <c r="E16" s="379" t="s">
        <v>832</v>
      </c>
      <c r="F16" s="380" t="s">
        <v>833</v>
      </c>
      <c r="G16" s="379" t="s">
        <v>504</v>
      </c>
      <c r="H16" s="379" t="s">
        <v>505</v>
      </c>
      <c r="I16" s="381">
        <v>8.58</v>
      </c>
      <c r="J16" s="381">
        <v>192</v>
      </c>
      <c r="K16" s="382">
        <v>1647.36</v>
      </c>
    </row>
    <row r="17" spans="1:11" ht="14.4" customHeight="1" x14ac:dyDescent="0.3">
      <c r="A17" s="377" t="s">
        <v>377</v>
      </c>
      <c r="B17" s="378" t="s">
        <v>470</v>
      </c>
      <c r="C17" s="379" t="s">
        <v>383</v>
      </c>
      <c r="D17" s="380" t="s">
        <v>471</v>
      </c>
      <c r="E17" s="379" t="s">
        <v>832</v>
      </c>
      <c r="F17" s="380" t="s">
        <v>833</v>
      </c>
      <c r="G17" s="379" t="s">
        <v>506</v>
      </c>
      <c r="H17" s="379" t="s">
        <v>507</v>
      </c>
      <c r="I17" s="381">
        <v>357.45</v>
      </c>
      <c r="J17" s="381">
        <v>24</v>
      </c>
      <c r="K17" s="382">
        <v>8578.86</v>
      </c>
    </row>
    <row r="18" spans="1:11" ht="14.4" customHeight="1" x14ac:dyDescent="0.3">
      <c r="A18" s="377" t="s">
        <v>377</v>
      </c>
      <c r="B18" s="378" t="s">
        <v>470</v>
      </c>
      <c r="C18" s="379" t="s">
        <v>383</v>
      </c>
      <c r="D18" s="380" t="s">
        <v>471</v>
      </c>
      <c r="E18" s="379" t="s">
        <v>832</v>
      </c>
      <c r="F18" s="380" t="s">
        <v>833</v>
      </c>
      <c r="G18" s="379" t="s">
        <v>508</v>
      </c>
      <c r="H18" s="379" t="s">
        <v>509</v>
      </c>
      <c r="I18" s="381">
        <v>64.91</v>
      </c>
      <c r="J18" s="381">
        <v>96</v>
      </c>
      <c r="K18" s="382">
        <v>6230.9699999999993</v>
      </c>
    </row>
    <row r="19" spans="1:11" ht="14.4" customHeight="1" x14ac:dyDescent="0.3">
      <c r="A19" s="377" t="s">
        <v>377</v>
      </c>
      <c r="B19" s="378" t="s">
        <v>470</v>
      </c>
      <c r="C19" s="379" t="s">
        <v>383</v>
      </c>
      <c r="D19" s="380" t="s">
        <v>471</v>
      </c>
      <c r="E19" s="379" t="s">
        <v>832</v>
      </c>
      <c r="F19" s="380" t="s">
        <v>833</v>
      </c>
      <c r="G19" s="379" t="s">
        <v>510</v>
      </c>
      <c r="H19" s="379" t="s">
        <v>511</v>
      </c>
      <c r="I19" s="381">
        <v>1.62</v>
      </c>
      <c r="J19" s="381">
        <v>3750</v>
      </c>
      <c r="K19" s="382">
        <v>6078.9</v>
      </c>
    </row>
    <row r="20" spans="1:11" ht="14.4" customHeight="1" x14ac:dyDescent="0.3">
      <c r="A20" s="377" t="s">
        <v>377</v>
      </c>
      <c r="B20" s="378" t="s">
        <v>470</v>
      </c>
      <c r="C20" s="379" t="s">
        <v>383</v>
      </c>
      <c r="D20" s="380" t="s">
        <v>471</v>
      </c>
      <c r="E20" s="379" t="s">
        <v>832</v>
      </c>
      <c r="F20" s="380" t="s">
        <v>833</v>
      </c>
      <c r="G20" s="379" t="s">
        <v>512</v>
      </c>
      <c r="H20" s="379" t="s">
        <v>513</v>
      </c>
      <c r="I20" s="381">
        <v>214.02</v>
      </c>
      <c r="J20" s="381">
        <v>8</v>
      </c>
      <c r="K20" s="382">
        <v>1712.16</v>
      </c>
    </row>
    <row r="21" spans="1:11" ht="14.4" customHeight="1" x14ac:dyDescent="0.3">
      <c r="A21" s="377" t="s">
        <v>377</v>
      </c>
      <c r="B21" s="378" t="s">
        <v>470</v>
      </c>
      <c r="C21" s="379" t="s">
        <v>383</v>
      </c>
      <c r="D21" s="380" t="s">
        <v>471</v>
      </c>
      <c r="E21" s="379" t="s">
        <v>832</v>
      </c>
      <c r="F21" s="380" t="s">
        <v>833</v>
      </c>
      <c r="G21" s="379" t="s">
        <v>514</v>
      </c>
      <c r="H21" s="379" t="s">
        <v>515</v>
      </c>
      <c r="I21" s="381">
        <v>1.59</v>
      </c>
      <c r="J21" s="381">
        <v>210</v>
      </c>
      <c r="K21" s="382">
        <v>334.9</v>
      </c>
    </row>
    <row r="22" spans="1:11" ht="14.4" customHeight="1" x14ac:dyDescent="0.3">
      <c r="A22" s="377" t="s">
        <v>377</v>
      </c>
      <c r="B22" s="378" t="s">
        <v>470</v>
      </c>
      <c r="C22" s="379" t="s">
        <v>383</v>
      </c>
      <c r="D22" s="380" t="s">
        <v>471</v>
      </c>
      <c r="E22" s="379" t="s">
        <v>832</v>
      </c>
      <c r="F22" s="380" t="s">
        <v>833</v>
      </c>
      <c r="G22" s="379" t="s">
        <v>516</v>
      </c>
      <c r="H22" s="379" t="s">
        <v>517</v>
      </c>
      <c r="I22" s="381">
        <v>0.86</v>
      </c>
      <c r="J22" s="381">
        <v>200</v>
      </c>
      <c r="K22" s="382">
        <v>172</v>
      </c>
    </row>
    <row r="23" spans="1:11" ht="14.4" customHeight="1" x14ac:dyDescent="0.3">
      <c r="A23" s="377" t="s">
        <v>377</v>
      </c>
      <c r="B23" s="378" t="s">
        <v>470</v>
      </c>
      <c r="C23" s="379" t="s">
        <v>383</v>
      </c>
      <c r="D23" s="380" t="s">
        <v>471</v>
      </c>
      <c r="E23" s="379" t="s">
        <v>832</v>
      </c>
      <c r="F23" s="380" t="s">
        <v>833</v>
      </c>
      <c r="G23" s="379" t="s">
        <v>518</v>
      </c>
      <c r="H23" s="379" t="s">
        <v>519</v>
      </c>
      <c r="I23" s="381">
        <v>111.73</v>
      </c>
      <c r="J23" s="381">
        <v>20</v>
      </c>
      <c r="K23" s="382">
        <v>2234.59</v>
      </c>
    </row>
    <row r="24" spans="1:11" ht="14.4" customHeight="1" x14ac:dyDescent="0.3">
      <c r="A24" s="377" t="s">
        <v>377</v>
      </c>
      <c r="B24" s="378" t="s">
        <v>470</v>
      </c>
      <c r="C24" s="379" t="s">
        <v>383</v>
      </c>
      <c r="D24" s="380" t="s">
        <v>471</v>
      </c>
      <c r="E24" s="379" t="s">
        <v>832</v>
      </c>
      <c r="F24" s="380" t="s">
        <v>833</v>
      </c>
      <c r="G24" s="379" t="s">
        <v>520</v>
      </c>
      <c r="H24" s="379" t="s">
        <v>521</v>
      </c>
      <c r="I24" s="381">
        <v>64.41</v>
      </c>
      <c r="J24" s="381">
        <v>40</v>
      </c>
      <c r="K24" s="382">
        <v>2576.44</v>
      </c>
    </row>
    <row r="25" spans="1:11" ht="14.4" customHeight="1" x14ac:dyDescent="0.3">
      <c r="A25" s="377" t="s">
        <v>377</v>
      </c>
      <c r="B25" s="378" t="s">
        <v>470</v>
      </c>
      <c r="C25" s="379" t="s">
        <v>383</v>
      </c>
      <c r="D25" s="380" t="s">
        <v>471</v>
      </c>
      <c r="E25" s="379" t="s">
        <v>832</v>
      </c>
      <c r="F25" s="380" t="s">
        <v>833</v>
      </c>
      <c r="G25" s="379" t="s">
        <v>522</v>
      </c>
      <c r="H25" s="379" t="s">
        <v>523</v>
      </c>
      <c r="I25" s="381">
        <v>96.6</v>
      </c>
      <c r="J25" s="381">
        <v>30</v>
      </c>
      <c r="K25" s="382">
        <v>2898</v>
      </c>
    </row>
    <row r="26" spans="1:11" ht="14.4" customHeight="1" x14ac:dyDescent="0.3">
      <c r="A26" s="377" t="s">
        <v>377</v>
      </c>
      <c r="B26" s="378" t="s">
        <v>470</v>
      </c>
      <c r="C26" s="379" t="s">
        <v>383</v>
      </c>
      <c r="D26" s="380" t="s">
        <v>471</v>
      </c>
      <c r="E26" s="379" t="s">
        <v>832</v>
      </c>
      <c r="F26" s="380" t="s">
        <v>833</v>
      </c>
      <c r="G26" s="379" t="s">
        <v>524</v>
      </c>
      <c r="H26" s="379" t="s">
        <v>525</v>
      </c>
      <c r="I26" s="381">
        <v>664.6</v>
      </c>
      <c r="J26" s="381">
        <v>24</v>
      </c>
      <c r="K26" s="382">
        <v>15950.5</v>
      </c>
    </row>
    <row r="27" spans="1:11" ht="14.4" customHeight="1" x14ac:dyDescent="0.3">
      <c r="A27" s="377" t="s">
        <v>377</v>
      </c>
      <c r="B27" s="378" t="s">
        <v>470</v>
      </c>
      <c r="C27" s="379" t="s">
        <v>383</v>
      </c>
      <c r="D27" s="380" t="s">
        <v>471</v>
      </c>
      <c r="E27" s="379" t="s">
        <v>832</v>
      </c>
      <c r="F27" s="380" t="s">
        <v>833</v>
      </c>
      <c r="G27" s="379" t="s">
        <v>526</v>
      </c>
      <c r="H27" s="379" t="s">
        <v>527</v>
      </c>
      <c r="I27" s="381">
        <v>7.17</v>
      </c>
      <c r="J27" s="381">
        <v>1000</v>
      </c>
      <c r="K27" s="382">
        <v>7170</v>
      </c>
    </row>
    <row r="28" spans="1:11" ht="14.4" customHeight="1" x14ac:dyDescent="0.3">
      <c r="A28" s="377" t="s">
        <v>377</v>
      </c>
      <c r="B28" s="378" t="s">
        <v>470</v>
      </c>
      <c r="C28" s="379" t="s">
        <v>383</v>
      </c>
      <c r="D28" s="380" t="s">
        <v>471</v>
      </c>
      <c r="E28" s="379" t="s">
        <v>832</v>
      </c>
      <c r="F28" s="380" t="s">
        <v>833</v>
      </c>
      <c r="G28" s="379" t="s">
        <v>528</v>
      </c>
      <c r="H28" s="379" t="s">
        <v>529</v>
      </c>
      <c r="I28" s="381">
        <v>5.17</v>
      </c>
      <c r="J28" s="381">
        <v>80</v>
      </c>
      <c r="K28" s="382">
        <v>413.9</v>
      </c>
    </row>
    <row r="29" spans="1:11" ht="14.4" customHeight="1" x14ac:dyDescent="0.3">
      <c r="A29" s="377" t="s">
        <v>377</v>
      </c>
      <c r="B29" s="378" t="s">
        <v>470</v>
      </c>
      <c r="C29" s="379" t="s">
        <v>383</v>
      </c>
      <c r="D29" s="380" t="s">
        <v>471</v>
      </c>
      <c r="E29" s="379" t="s">
        <v>832</v>
      </c>
      <c r="F29" s="380" t="s">
        <v>833</v>
      </c>
      <c r="G29" s="379" t="s">
        <v>530</v>
      </c>
      <c r="H29" s="379" t="s">
        <v>531</v>
      </c>
      <c r="I29" s="381">
        <v>9.7749999999999986</v>
      </c>
      <c r="J29" s="381">
        <v>120</v>
      </c>
      <c r="K29" s="382">
        <v>1173.25</v>
      </c>
    </row>
    <row r="30" spans="1:11" ht="14.4" customHeight="1" x14ac:dyDescent="0.3">
      <c r="A30" s="377" t="s">
        <v>377</v>
      </c>
      <c r="B30" s="378" t="s">
        <v>470</v>
      </c>
      <c r="C30" s="379" t="s">
        <v>383</v>
      </c>
      <c r="D30" s="380" t="s">
        <v>471</v>
      </c>
      <c r="E30" s="379" t="s">
        <v>832</v>
      </c>
      <c r="F30" s="380" t="s">
        <v>833</v>
      </c>
      <c r="G30" s="379" t="s">
        <v>532</v>
      </c>
      <c r="H30" s="379" t="s">
        <v>533</v>
      </c>
      <c r="I30" s="381">
        <v>3.45</v>
      </c>
      <c r="J30" s="381">
        <v>50</v>
      </c>
      <c r="K30" s="382">
        <v>172.5</v>
      </c>
    </row>
    <row r="31" spans="1:11" ht="14.4" customHeight="1" x14ac:dyDescent="0.3">
      <c r="A31" s="377" t="s">
        <v>377</v>
      </c>
      <c r="B31" s="378" t="s">
        <v>470</v>
      </c>
      <c r="C31" s="379" t="s">
        <v>383</v>
      </c>
      <c r="D31" s="380" t="s">
        <v>471</v>
      </c>
      <c r="E31" s="379" t="s">
        <v>832</v>
      </c>
      <c r="F31" s="380" t="s">
        <v>833</v>
      </c>
      <c r="G31" s="379" t="s">
        <v>534</v>
      </c>
      <c r="H31" s="379" t="s">
        <v>535</v>
      </c>
      <c r="I31" s="381">
        <v>167.83</v>
      </c>
      <c r="J31" s="381">
        <v>105</v>
      </c>
      <c r="K31" s="382">
        <v>17622.169999999998</v>
      </c>
    </row>
    <row r="32" spans="1:11" ht="14.4" customHeight="1" x14ac:dyDescent="0.3">
      <c r="A32" s="377" t="s">
        <v>377</v>
      </c>
      <c r="B32" s="378" t="s">
        <v>470</v>
      </c>
      <c r="C32" s="379" t="s">
        <v>383</v>
      </c>
      <c r="D32" s="380" t="s">
        <v>471</v>
      </c>
      <c r="E32" s="379" t="s">
        <v>832</v>
      </c>
      <c r="F32" s="380" t="s">
        <v>833</v>
      </c>
      <c r="G32" s="379" t="s">
        <v>536</v>
      </c>
      <c r="H32" s="379" t="s">
        <v>537</v>
      </c>
      <c r="I32" s="381">
        <v>138</v>
      </c>
      <c r="J32" s="381">
        <v>105</v>
      </c>
      <c r="K32" s="382">
        <v>14490</v>
      </c>
    </row>
    <row r="33" spans="1:11" ht="14.4" customHeight="1" x14ac:dyDescent="0.3">
      <c r="A33" s="377" t="s">
        <v>377</v>
      </c>
      <c r="B33" s="378" t="s">
        <v>470</v>
      </c>
      <c r="C33" s="379" t="s">
        <v>383</v>
      </c>
      <c r="D33" s="380" t="s">
        <v>471</v>
      </c>
      <c r="E33" s="379" t="s">
        <v>832</v>
      </c>
      <c r="F33" s="380" t="s">
        <v>833</v>
      </c>
      <c r="G33" s="379" t="s">
        <v>538</v>
      </c>
      <c r="H33" s="379" t="s">
        <v>539</v>
      </c>
      <c r="I33" s="381">
        <v>15.75</v>
      </c>
      <c r="J33" s="381">
        <v>60</v>
      </c>
      <c r="K33" s="382">
        <v>945.05</v>
      </c>
    </row>
    <row r="34" spans="1:11" ht="14.4" customHeight="1" x14ac:dyDescent="0.3">
      <c r="A34" s="377" t="s">
        <v>377</v>
      </c>
      <c r="B34" s="378" t="s">
        <v>470</v>
      </c>
      <c r="C34" s="379" t="s">
        <v>383</v>
      </c>
      <c r="D34" s="380" t="s">
        <v>471</v>
      </c>
      <c r="E34" s="379" t="s">
        <v>834</v>
      </c>
      <c r="F34" s="380" t="s">
        <v>835</v>
      </c>
      <c r="G34" s="379" t="s">
        <v>540</v>
      </c>
      <c r="H34" s="379" t="s">
        <v>541</v>
      </c>
      <c r="I34" s="381">
        <v>11.66</v>
      </c>
      <c r="J34" s="381">
        <v>20</v>
      </c>
      <c r="K34" s="382">
        <v>233.2</v>
      </c>
    </row>
    <row r="35" spans="1:11" ht="14.4" customHeight="1" x14ac:dyDescent="0.3">
      <c r="A35" s="377" t="s">
        <v>377</v>
      </c>
      <c r="B35" s="378" t="s">
        <v>470</v>
      </c>
      <c r="C35" s="379" t="s">
        <v>383</v>
      </c>
      <c r="D35" s="380" t="s">
        <v>471</v>
      </c>
      <c r="E35" s="379" t="s">
        <v>834</v>
      </c>
      <c r="F35" s="380" t="s">
        <v>835</v>
      </c>
      <c r="G35" s="379" t="s">
        <v>542</v>
      </c>
      <c r="H35" s="379" t="s">
        <v>543</v>
      </c>
      <c r="I35" s="381">
        <v>16.77</v>
      </c>
      <c r="J35" s="381">
        <v>40</v>
      </c>
      <c r="K35" s="382">
        <v>670.83</v>
      </c>
    </row>
    <row r="36" spans="1:11" ht="14.4" customHeight="1" x14ac:dyDescent="0.3">
      <c r="A36" s="377" t="s">
        <v>377</v>
      </c>
      <c r="B36" s="378" t="s">
        <v>470</v>
      </c>
      <c r="C36" s="379" t="s">
        <v>383</v>
      </c>
      <c r="D36" s="380" t="s">
        <v>471</v>
      </c>
      <c r="E36" s="379" t="s">
        <v>834</v>
      </c>
      <c r="F36" s="380" t="s">
        <v>835</v>
      </c>
      <c r="G36" s="379" t="s">
        <v>544</v>
      </c>
      <c r="H36" s="379" t="s">
        <v>545</v>
      </c>
      <c r="I36" s="381">
        <v>2.9050000000000002</v>
      </c>
      <c r="J36" s="381">
        <v>600</v>
      </c>
      <c r="K36" s="382">
        <v>1743</v>
      </c>
    </row>
    <row r="37" spans="1:11" ht="14.4" customHeight="1" x14ac:dyDescent="0.3">
      <c r="A37" s="377" t="s">
        <v>377</v>
      </c>
      <c r="B37" s="378" t="s">
        <v>470</v>
      </c>
      <c r="C37" s="379" t="s">
        <v>383</v>
      </c>
      <c r="D37" s="380" t="s">
        <v>471</v>
      </c>
      <c r="E37" s="379" t="s">
        <v>834</v>
      </c>
      <c r="F37" s="380" t="s">
        <v>835</v>
      </c>
      <c r="G37" s="379" t="s">
        <v>546</v>
      </c>
      <c r="H37" s="379" t="s">
        <v>547</v>
      </c>
      <c r="I37" s="381">
        <v>7.43</v>
      </c>
      <c r="J37" s="381">
        <v>50</v>
      </c>
      <c r="K37" s="382">
        <v>371.5</v>
      </c>
    </row>
    <row r="38" spans="1:11" ht="14.4" customHeight="1" x14ac:dyDescent="0.3">
      <c r="A38" s="377" t="s">
        <v>377</v>
      </c>
      <c r="B38" s="378" t="s">
        <v>470</v>
      </c>
      <c r="C38" s="379" t="s">
        <v>383</v>
      </c>
      <c r="D38" s="380" t="s">
        <v>471</v>
      </c>
      <c r="E38" s="379" t="s">
        <v>834</v>
      </c>
      <c r="F38" s="380" t="s">
        <v>835</v>
      </c>
      <c r="G38" s="379" t="s">
        <v>548</v>
      </c>
      <c r="H38" s="379" t="s">
        <v>549</v>
      </c>
      <c r="I38" s="381">
        <v>9.56</v>
      </c>
      <c r="J38" s="381">
        <v>200</v>
      </c>
      <c r="K38" s="382">
        <v>1911.8</v>
      </c>
    </row>
    <row r="39" spans="1:11" ht="14.4" customHeight="1" x14ac:dyDescent="0.3">
      <c r="A39" s="377" t="s">
        <v>377</v>
      </c>
      <c r="B39" s="378" t="s">
        <v>470</v>
      </c>
      <c r="C39" s="379" t="s">
        <v>383</v>
      </c>
      <c r="D39" s="380" t="s">
        <v>471</v>
      </c>
      <c r="E39" s="379" t="s">
        <v>834</v>
      </c>
      <c r="F39" s="380" t="s">
        <v>835</v>
      </c>
      <c r="G39" s="379" t="s">
        <v>550</v>
      </c>
      <c r="H39" s="379" t="s">
        <v>551</v>
      </c>
      <c r="I39" s="381">
        <v>12.73</v>
      </c>
      <c r="J39" s="381">
        <v>200</v>
      </c>
      <c r="K39" s="382">
        <v>2546</v>
      </c>
    </row>
    <row r="40" spans="1:11" ht="14.4" customHeight="1" x14ac:dyDescent="0.3">
      <c r="A40" s="377" t="s">
        <v>377</v>
      </c>
      <c r="B40" s="378" t="s">
        <v>470</v>
      </c>
      <c r="C40" s="379" t="s">
        <v>383</v>
      </c>
      <c r="D40" s="380" t="s">
        <v>471</v>
      </c>
      <c r="E40" s="379" t="s">
        <v>834</v>
      </c>
      <c r="F40" s="380" t="s">
        <v>835</v>
      </c>
      <c r="G40" s="379" t="s">
        <v>552</v>
      </c>
      <c r="H40" s="379" t="s">
        <v>553</v>
      </c>
      <c r="I40" s="381">
        <v>12.73</v>
      </c>
      <c r="J40" s="381">
        <v>200</v>
      </c>
      <c r="K40" s="382">
        <v>2546</v>
      </c>
    </row>
    <row r="41" spans="1:11" ht="14.4" customHeight="1" x14ac:dyDescent="0.3">
      <c r="A41" s="377" t="s">
        <v>377</v>
      </c>
      <c r="B41" s="378" t="s">
        <v>470</v>
      </c>
      <c r="C41" s="379" t="s">
        <v>383</v>
      </c>
      <c r="D41" s="380" t="s">
        <v>471</v>
      </c>
      <c r="E41" s="379" t="s">
        <v>834</v>
      </c>
      <c r="F41" s="380" t="s">
        <v>835</v>
      </c>
      <c r="G41" s="379" t="s">
        <v>554</v>
      </c>
      <c r="H41" s="379" t="s">
        <v>555</v>
      </c>
      <c r="I41" s="381">
        <v>1.0900000000000001</v>
      </c>
      <c r="J41" s="381">
        <v>300</v>
      </c>
      <c r="K41" s="382">
        <v>327</v>
      </c>
    </row>
    <row r="42" spans="1:11" ht="14.4" customHeight="1" x14ac:dyDescent="0.3">
      <c r="A42" s="377" t="s">
        <v>377</v>
      </c>
      <c r="B42" s="378" t="s">
        <v>470</v>
      </c>
      <c r="C42" s="379" t="s">
        <v>383</v>
      </c>
      <c r="D42" s="380" t="s">
        <v>471</v>
      </c>
      <c r="E42" s="379" t="s">
        <v>834</v>
      </c>
      <c r="F42" s="380" t="s">
        <v>835</v>
      </c>
      <c r="G42" s="379" t="s">
        <v>556</v>
      </c>
      <c r="H42" s="379" t="s">
        <v>557</v>
      </c>
      <c r="I42" s="381">
        <v>1.6749999999999998</v>
      </c>
      <c r="J42" s="381">
        <v>700</v>
      </c>
      <c r="K42" s="382">
        <v>1174</v>
      </c>
    </row>
    <row r="43" spans="1:11" ht="14.4" customHeight="1" x14ac:dyDescent="0.3">
      <c r="A43" s="377" t="s">
        <v>377</v>
      </c>
      <c r="B43" s="378" t="s">
        <v>470</v>
      </c>
      <c r="C43" s="379" t="s">
        <v>383</v>
      </c>
      <c r="D43" s="380" t="s">
        <v>471</v>
      </c>
      <c r="E43" s="379" t="s">
        <v>834</v>
      </c>
      <c r="F43" s="380" t="s">
        <v>835</v>
      </c>
      <c r="G43" s="379" t="s">
        <v>558</v>
      </c>
      <c r="H43" s="379" t="s">
        <v>559</v>
      </c>
      <c r="I43" s="381">
        <v>0.48</v>
      </c>
      <c r="J43" s="381">
        <v>200</v>
      </c>
      <c r="K43" s="382">
        <v>96</v>
      </c>
    </row>
    <row r="44" spans="1:11" ht="14.4" customHeight="1" x14ac:dyDescent="0.3">
      <c r="A44" s="377" t="s">
        <v>377</v>
      </c>
      <c r="B44" s="378" t="s">
        <v>470</v>
      </c>
      <c r="C44" s="379" t="s">
        <v>383</v>
      </c>
      <c r="D44" s="380" t="s">
        <v>471</v>
      </c>
      <c r="E44" s="379" t="s">
        <v>834</v>
      </c>
      <c r="F44" s="380" t="s">
        <v>835</v>
      </c>
      <c r="G44" s="379" t="s">
        <v>560</v>
      </c>
      <c r="H44" s="379" t="s">
        <v>561</v>
      </c>
      <c r="I44" s="381">
        <v>0.67</v>
      </c>
      <c r="J44" s="381">
        <v>200</v>
      </c>
      <c r="K44" s="382">
        <v>134</v>
      </c>
    </row>
    <row r="45" spans="1:11" ht="14.4" customHeight="1" x14ac:dyDescent="0.3">
      <c r="A45" s="377" t="s">
        <v>377</v>
      </c>
      <c r="B45" s="378" t="s">
        <v>470</v>
      </c>
      <c r="C45" s="379" t="s">
        <v>383</v>
      </c>
      <c r="D45" s="380" t="s">
        <v>471</v>
      </c>
      <c r="E45" s="379" t="s">
        <v>834</v>
      </c>
      <c r="F45" s="380" t="s">
        <v>835</v>
      </c>
      <c r="G45" s="379" t="s">
        <v>562</v>
      </c>
      <c r="H45" s="379" t="s">
        <v>563</v>
      </c>
      <c r="I45" s="381">
        <v>6.23</v>
      </c>
      <c r="J45" s="381">
        <v>90</v>
      </c>
      <c r="K45" s="382">
        <v>560.70000000000005</v>
      </c>
    </row>
    <row r="46" spans="1:11" ht="14.4" customHeight="1" x14ac:dyDescent="0.3">
      <c r="A46" s="377" t="s">
        <v>377</v>
      </c>
      <c r="B46" s="378" t="s">
        <v>470</v>
      </c>
      <c r="C46" s="379" t="s">
        <v>383</v>
      </c>
      <c r="D46" s="380" t="s">
        <v>471</v>
      </c>
      <c r="E46" s="379" t="s">
        <v>834</v>
      </c>
      <c r="F46" s="380" t="s">
        <v>835</v>
      </c>
      <c r="G46" s="379" t="s">
        <v>564</v>
      </c>
      <c r="H46" s="379" t="s">
        <v>565</v>
      </c>
      <c r="I46" s="381">
        <v>80.574999999999989</v>
      </c>
      <c r="J46" s="381">
        <v>320</v>
      </c>
      <c r="K46" s="382">
        <v>25784</v>
      </c>
    </row>
    <row r="47" spans="1:11" ht="14.4" customHeight="1" x14ac:dyDescent="0.3">
      <c r="A47" s="377" t="s">
        <v>377</v>
      </c>
      <c r="B47" s="378" t="s">
        <v>470</v>
      </c>
      <c r="C47" s="379" t="s">
        <v>383</v>
      </c>
      <c r="D47" s="380" t="s">
        <v>471</v>
      </c>
      <c r="E47" s="379" t="s">
        <v>834</v>
      </c>
      <c r="F47" s="380" t="s">
        <v>835</v>
      </c>
      <c r="G47" s="379" t="s">
        <v>566</v>
      </c>
      <c r="H47" s="379" t="s">
        <v>567</v>
      </c>
      <c r="I47" s="381">
        <v>5.57</v>
      </c>
      <c r="J47" s="381">
        <v>250</v>
      </c>
      <c r="K47" s="382">
        <v>1392.5</v>
      </c>
    </row>
    <row r="48" spans="1:11" ht="14.4" customHeight="1" x14ac:dyDescent="0.3">
      <c r="A48" s="377" t="s">
        <v>377</v>
      </c>
      <c r="B48" s="378" t="s">
        <v>470</v>
      </c>
      <c r="C48" s="379" t="s">
        <v>383</v>
      </c>
      <c r="D48" s="380" t="s">
        <v>471</v>
      </c>
      <c r="E48" s="379" t="s">
        <v>834</v>
      </c>
      <c r="F48" s="380" t="s">
        <v>835</v>
      </c>
      <c r="G48" s="379" t="s">
        <v>568</v>
      </c>
      <c r="H48" s="379" t="s">
        <v>569</v>
      </c>
      <c r="I48" s="381">
        <v>217.8</v>
      </c>
      <c r="J48" s="381">
        <v>4</v>
      </c>
      <c r="K48" s="382">
        <v>871.2</v>
      </c>
    </row>
    <row r="49" spans="1:11" ht="14.4" customHeight="1" x14ac:dyDescent="0.3">
      <c r="A49" s="377" t="s">
        <v>377</v>
      </c>
      <c r="B49" s="378" t="s">
        <v>470</v>
      </c>
      <c r="C49" s="379" t="s">
        <v>383</v>
      </c>
      <c r="D49" s="380" t="s">
        <v>471</v>
      </c>
      <c r="E49" s="379" t="s">
        <v>834</v>
      </c>
      <c r="F49" s="380" t="s">
        <v>835</v>
      </c>
      <c r="G49" s="379" t="s">
        <v>570</v>
      </c>
      <c r="H49" s="379" t="s">
        <v>571</v>
      </c>
      <c r="I49" s="381">
        <v>9.68</v>
      </c>
      <c r="J49" s="381">
        <v>200</v>
      </c>
      <c r="K49" s="382">
        <v>1936</v>
      </c>
    </row>
    <row r="50" spans="1:11" ht="14.4" customHeight="1" x14ac:dyDescent="0.3">
      <c r="A50" s="377" t="s">
        <v>377</v>
      </c>
      <c r="B50" s="378" t="s">
        <v>470</v>
      </c>
      <c r="C50" s="379" t="s">
        <v>383</v>
      </c>
      <c r="D50" s="380" t="s">
        <v>471</v>
      </c>
      <c r="E50" s="379" t="s">
        <v>834</v>
      </c>
      <c r="F50" s="380" t="s">
        <v>835</v>
      </c>
      <c r="G50" s="379" t="s">
        <v>572</v>
      </c>
      <c r="H50" s="379" t="s">
        <v>573</v>
      </c>
      <c r="I50" s="381">
        <v>4.2350000000000003</v>
      </c>
      <c r="J50" s="381">
        <v>700</v>
      </c>
      <c r="K50" s="382">
        <v>2965</v>
      </c>
    </row>
    <row r="51" spans="1:11" ht="14.4" customHeight="1" x14ac:dyDescent="0.3">
      <c r="A51" s="377" t="s">
        <v>377</v>
      </c>
      <c r="B51" s="378" t="s">
        <v>470</v>
      </c>
      <c r="C51" s="379" t="s">
        <v>383</v>
      </c>
      <c r="D51" s="380" t="s">
        <v>471</v>
      </c>
      <c r="E51" s="379" t="s">
        <v>834</v>
      </c>
      <c r="F51" s="380" t="s">
        <v>835</v>
      </c>
      <c r="G51" s="379" t="s">
        <v>574</v>
      </c>
      <c r="H51" s="379" t="s">
        <v>575</v>
      </c>
      <c r="I51" s="381">
        <v>1063.58</v>
      </c>
      <c r="J51" s="381">
        <v>1</v>
      </c>
      <c r="K51" s="382">
        <v>1063.58</v>
      </c>
    </row>
    <row r="52" spans="1:11" ht="14.4" customHeight="1" x14ac:dyDescent="0.3">
      <c r="A52" s="377" t="s">
        <v>377</v>
      </c>
      <c r="B52" s="378" t="s">
        <v>470</v>
      </c>
      <c r="C52" s="379" t="s">
        <v>383</v>
      </c>
      <c r="D52" s="380" t="s">
        <v>471</v>
      </c>
      <c r="E52" s="379" t="s">
        <v>834</v>
      </c>
      <c r="F52" s="380" t="s">
        <v>835</v>
      </c>
      <c r="G52" s="379" t="s">
        <v>576</v>
      </c>
      <c r="H52" s="379" t="s">
        <v>577</v>
      </c>
      <c r="I52" s="381">
        <v>2.91</v>
      </c>
      <c r="J52" s="381">
        <v>400</v>
      </c>
      <c r="K52" s="382">
        <v>1164</v>
      </c>
    </row>
    <row r="53" spans="1:11" ht="14.4" customHeight="1" x14ac:dyDescent="0.3">
      <c r="A53" s="377" t="s">
        <v>377</v>
      </c>
      <c r="B53" s="378" t="s">
        <v>470</v>
      </c>
      <c r="C53" s="379" t="s">
        <v>383</v>
      </c>
      <c r="D53" s="380" t="s">
        <v>471</v>
      </c>
      <c r="E53" s="379" t="s">
        <v>834</v>
      </c>
      <c r="F53" s="380" t="s">
        <v>835</v>
      </c>
      <c r="G53" s="379" t="s">
        <v>578</v>
      </c>
      <c r="H53" s="379" t="s">
        <v>579</v>
      </c>
      <c r="I53" s="381">
        <v>2.9</v>
      </c>
      <c r="J53" s="381">
        <v>500</v>
      </c>
      <c r="K53" s="382">
        <v>1450</v>
      </c>
    </row>
    <row r="54" spans="1:11" ht="14.4" customHeight="1" x14ac:dyDescent="0.3">
      <c r="A54" s="377" t="s">
        <v>377</v>
      </c>
      <c r="B54" s="378" t="s">
        <v>470</v>
      </c>
      <c r="C54" s="379" t="s">
        <v>383</v>
      </c>
      <c r="D54" s="380" t="s">
        <v>471</v>
      </c>
      <c r="E54" s="379" t="s">
        <v>834</v>
      </c>
      <c r="F54" s="380" t="s">
        <v>835</v>
      </c>
      <c r="G54" s="379" t="s">
        <v>580</v>
      </c>
      <c r="H54" s="379" t="s">
        <v>581</v>
      </c>
      <c r="I54" s="381">
        <v>2.9033333333333338</v>
      </c>
      <c r="J54" s="381">
        <v>400</v>
      </c>
      <c r="K54" s="382">
        <v>1161</v>
      </c>
    </row>
    <row r="55" spans="1:11" ht="14.4" customHeight="1" x14ac:dyDescent="0.3">
      <c r="A55" s="377" t="s">
        <v>377</v>
      </c>
      <c r="B55" s="378" t="s">
        <v>470</v>
      </c>
      <c r="C55" s="379" t="s">
        <v>383</v>
      </c>
      <c r="D55" s="380" t="s">
        <v>471</v>
      </c>
      <c r="E55" s="379" t="s">
        <v>834</v>
      </c>
      <c r="F55" s="380" t="s">
        <v>835</v>
      </c>
      <c r="G55" s="379" t="s">
        <v>582</v>
      </c>
      <c r="H55" s="379" t="s">
        <v>583</v>
      </c>
      <c r="I55" s="381">
        <v>2.9</v>
      </c>
      <c r="J55" s="381">
        <v>400</v>
      </c>
      <c r="K55" s="382">
        <v>1160</v>
      </c>
    </row>
    <row r="56" spans="1:11" ht="14.4" customHeight="1" x14ac:dyDescent="0.3">
      <c r="A56" s="377" t="s">
        <v>377</v>
      </c>
      <c r="B56" s="378" t="s">
        <v>470</v>
      </c>
      <c r="C56" s="379" t="s">
        <v>383</v>
      </c>
      <c r="D56" s="380" t="s">
        <v>471</v>
      </c>
      <c r="E56" s="379" t="s">
        <v>834</v>
      </c>
      <c r="F56" s="380" t="s">
        <v>835</v>
      </c>
      <c r="G56" s="379" t="s">
        <v>584</v>
      </c>
      <c r="H56" s="379" t="s">
        <v>585</v>
      </c>
      <c r="I56" s="381">
        <v>2.9</v>
      </c>
      <c r="J56" s="381">
        <v>200</v>
      </c>
      <c r="K56" s="382">
        <v>580</v>
      </c>
    </row>
    <row r="57" spans="1:11" ht="14.4" customHeight="1" x14ac:dyDescent="0.3">
      <c r="A57" s="377" t="s">
        <v>377</v>
      </c>
      <c r="B57" s="378" t="s">
        <v>470</v>
      </c>
      <c r="C57" s="379" t="s">
        <v>383</v>
      </c>
      <c r="D57" s="380" t="s">
        <v>471</v>
      </c>
      <c r="E57" s="379" t="s">
        <v>834</v>
      </c>
      <c r="F57" s="380" t="s">
        <v>835</v>
      </c>
      <c r="G57" s="379" t="s">
        <v>586</v>
      </c>
      <c r="H57" s="379" t="s">
        <v>587</v>
      </c>
      <c r="I57" s="381">
        <v>4.3600000000000003</v>
      </c>
      <c r="J57" s="381">
        <v>100</v>
      </c>
      <c r="K57" s="382">
        <v>435.56</v>
      </c>
    </row>
    <row r="58" spans="1:11" ht="14.4" customHeight="1" x14ac:dyDescent="0.3">
      <c r="A58" s="377" t="s">
        <v>377</v>
      </c>
      <c r="B58" s="378" t="s">
        <v>470</v>
      </c>
      <c r="C58" s="379" t="s">
        <v>383</v>
      </c>
      <c r="D58" s="380" t="s">
        <v>471</v>
      </c>
      <c r="E58" s="379" t="s">
        <v>834</v>
      </c>
      <c r="F58" s="380" t="s">
        <v>835</v>
      </c>
      <c r="G58" s="379" t="s">
        <v>588</v>
      </c>
      <c r="H58" s="379" t="s">
        <v>589</v>
      </c>
      <c r="I58" s="381">
        <v>91.72</v>
      </c>
      <c r="J58" s="381">
        <v>110</v>
      </c>
      <c r="K58" s="382">
        <v>10089.140000000001</v>
      </c>
    </row>
    <row r="59" spans="1:11" ht="14.4" customHeight="1" x14ac:dyDescent="0.3">
      <c r="A59" s="377" t="s">
        <v>377</v>
      </c>
      <c r="B59" s="378" t="s">
        <v>470</v>
      </c>
      <c r="C59" s="379" t="s">
        <v>383</v>
      </c>
      <c r="D59" s="380" t="s">
        <v>471</v>
      </c>
      <c r="E59" s="379" t="s">
        <v>834</v>
      </c>
      <c r="F59" s="380" t="s">
        <v>835</v>
      </c>
      <c r="G59" s="379" t="s">
        <v>590</v>
      </c>
      <c r="H59" s="379" t="s">
        <v>591</v>
      </c>
      <c r="I59" s="381">
        <v>12.1</v>
      </c>
      <c r="J59" s="381">
        <v>100</v>
      </c>
      <c r="K59" s="382">
        <v>1210</v>
      </c>
    </row>
    <row r="60" spans="1:11" ht="14.4" customHeight="1" x14ac:dyDescent="0.3">
      <c r="A60" s="377" t="s">
        <v>377</v>
      </c>
      <c r="B60" s="378" t="s">
        <v>470</v>
      </c>
      <c r="C60" s="379" t="s">
        <v>383</v>
      </c>
      <c r="D60" s="380" t="s">
        <v>471</v>
      </c>
      <c r="E60" s="379" t="s">
        <v>834</v>
      </c>
      <c r="F60" s="380" t="s">
        <v>835</v>
      </c>
      <c r="G60" s="379" t="s">
        <v>592</v>
      </c>
      <c r="H60" s="379" t="s">
        <v>593</v>
      </c>
      <c r="I60" s="381">
        <v>13.2</v>
      </c>
      <c r="J60" s="381">
        <v>20</v>
      </c>
      <c r="K60" s="382">
        <v>264</v>
      </c>
    </row>
    <row r="61" spans="1:11" ht="14.4" customHeight="1" x14ac:dyDescent="0.3">
      <c r="A61" s="377" t="s">
        <v>377</v>
      </c>
      <c r="B61" s="378" t="s">
        <v>470</v>
      </c>
      <c r="C61" s="379" t="s">
        <v>383</v>
      </c>
      <c r="D61" s="380" t="s">
        <v>471</v>
      </c>
      <c r="E61" s="379" t="s">
        <v>834</v>
      </c>
      <c r="F61" s="380" t="s">
        <v>835</v>
      </c>
      <c r="G61" s="379" t="s">
        <v>594</v>
      </c>
      <c r="H61" s="379" t="s">
        <v>595</v>
      </c>
      <c r="I61" s="381">
        <v>13.2</v>
      </c>
      <c r="J61" s="381">
        <v>20</v>
      </c>
      <c r="K61" s="382">
        <v>264</v>
      </c>
    </row>
    <row r="62" spans="1:11" ht="14.4" customHeight="1" x14ac:dyDescent="0.3">
      <c r="A62" s="377" t="s">
        <v>377</v>
      </c>
      <c r="B62" s="378" t="s">
        <v>470</v>
      </c>
      <c r="C62" s="379" t="s">
        <v>383</v>
      </c>
      <c r="D62" s="380" t="s">
        <v>471</v>
      </c>
      <c r="E62" s="379" t="s">
        <v>834</v>
      </c>
      <c r="F62" s="380" t="s">
        <v>835</v>
      </c>
      <c r="G62" s="379" t="s">
        <v>596</v>
      </c>
      <c r="H62" s="379" t="s">
        <v>597</v>
      </c>
      <c r="I62" s="381">
        <v>21.24</v>
      </c>
      <c r="J62" s="381">
        <v>300</v>
      </c>
      <c r="K62" s="382">
        <v>6372</v>
      </c>
    </row>
    <row r="63" spans="1:11" ht="14.4" customHeight="1" x14ac:dyDescent="0.3">
      <c r="A63" s="377" t="s">
        <v>377</v>
      </c>
      <c r="B63" s="378" t="s">
        <v>470</v>
      </c>
      <c r="C63" s="379" t="s">
        <v>383</v>
      </c>
      <c r="D63" s="380" t="s">
        <v>471</v>
      </c>
      <c r="E63" s="379" t="s">
        <v>834</v>
      </c>
      <c r="F63" s="380" t="s">
        <v>835</v>
      </c>
      <c r="G63" s="379" t="s">
        <v>598</v>
      </c>
      <c r="H63" s="379" t="s">
        <v>599</v>
      </c>
      <c r="I63" s="381">
        <v>6.65</v>
      </c>
      <c r="J63" s="381">
        <v>50</v>
      </c>
      <c r="K63" s="382">
        <v>332.5</v>
      </c>
    </row>
    <row r="64" spans="1:11" ht="14.4" customHeight="1" x14ac:dyDescent="0.3">
      <c r="A64" s="377" t="s">
        <v>377</v>
      </c>
      <c r="B64" s="378" t="s">
        <v>470</v>
      </c>
      <c r="C64" s="379" t="s">
        <v>383</v>
      </c>
      <c r="D64" s="380" t="s">
        <v>471</v>
      </c>
      <c r="E64" s="379" t="s">
        <v>834</v>
      </c>
      <c r="F64" s="380" t="s">
        <v>835</v>
      </c>
      <c r="G64" s="379" t="s">
        <v>600</v>
      </c>
      <c r="H64" s="379" t="s">
        <v>601</v>
      </c>
      <c r="I64" s="381">
        <v>6.66</v>
      </c>
      <c r="J64" s="381">
        <v>50</v>
      </c>
      <c r="K64" s="382">
        <v>333</v>
      </c>
    </row>
    <row r="65" spans="1:11" ht="14.4" customHeight="1" x14ac:dyDescent="0.3">
      <c r="A65" s="377" t="s">
        <v>377</v>
      </c>
      <c r="B65" s="378" t="s">
        <v>470</v>
      </c>
      <c r="C65" s="379" t="s">
        <v>383</v>
      </c>
      <c r="D65" s="380" t="s">
        <v>471</v>
      </c>
      <c r="E65" s="379" t="s">
        <v>834</v>
      </c>
      <c r="F65" s="380" t="s">
        <v>835</v>
      </c>
      <c r="G65" s="379" t="s">
        <v>602</v>
      </c>
      <c r="H65" s="379" t="s">
        <v>603</v>
      </c>
      <c r="I65" s="381">
        <v>2.34</v>
      </c>
      <c r="J65" s="381">
        <v>200</v>
      </c>
      <c r="K65" s="382">
        <v>468</v>
      </c>
    </row>
    <row r="66" spans="1:11" ht="14.4" customHeight="1" x14ac:dyDescent="0.3">
      <c r="A66" s="377" t="s">
        <v>377</v>
      </c>
      <c r="B66" s="378" t="s">
        <v>470</v>
      </c>
      <c r="C66" s="379" t="s">
        <v>383</v>
      </c>
      <c r="D66" s="380" t="s">
        <v>471</v>
      </c>
      <c r="E66" s="379" t="s">
        <v>834</v>
      </c>
      <c r="F66" s="380" t="s">
        <v>835</v>
      </c>
      <c r="G66" s="379" t="s">
        <v>604</v>
      </c>
      <c r="H66" s="379" t="s">
        <v>605</v>
      </c>
      <c r="I66" s="381">
        <v>19.71</v>
      </c>
      <c r="J66" s="381">
        <v>100</v>
      </c>
      <c r="K66" s="382">
        <v>1971.09</v>
      </c>
    </row>
    <row r="67" spans="1:11" ht="14.4" customHeight="1" x14ac:dyDescent="0.3">
      <c r="A67" s="377" t="s">
        <v>377</v>
      </c>
      <c r="B67" s="378" t="s">
        <v>470</v>
      </c>
      <c r="C67" s="379" t="s">
        <v>383</v>
      </c>
      <c r="D67" s="380" t="s">
        <v>471</v>
      </c>
      <c r="E67" s="379" t="s">
        <v>834</v>
      </c>
      <c r="F67" s="380" t="s">
        <v>835</v>
      </c>
      <c r="G67" s="379" t="s">
        <v>606</v>
      </c>
      <c r="H67" s="379" t="s">
        <v>607</v>
      </c>
      <c r="I67" s="381">
        <v>496.35</v>
      </c>
      <c r="J67" s="381">
        <v>10</v>
      </c>
      <c r="K67" s="382">
        <v>4963.54</v>
      </c>
    </row>
    <row r="68" spans="1:11" ht="14.4" customHeight="1" x14ac:dyDescent="0.3">
      <c r="A68" s="377" t="s">
        <v>377</v>
      </c>
      <c r="B68" s="378" t="s">
        <v>470</v>
      </c>
      <c r="C68" s="379" t="s">
        <v>383</v>
      </c>
      <c r="D68" s="380" t="s">
        <v>471</v>
      </c>
      <c r="E68" s="379" t="s">
        <v>834</v>
      </c>
      <c r="F68" s="380" t="s">
        <v>835</v>
      </c>
      <c r="G68" s="379" t="s">
        <v>608</v>
      </c>
      <c r="H68" s="379" t="s">
        <v>609</v>
      </c>
      <c r="I68" s="381">
        <v>839.98</v>
      </c>
      <c r="J68" s="381">
        <v>10</v>
      </c>
      <c r="K68" s="382">
        <v>8399.76</v>
      </c>
    </row>
    <row r="69" spans="1:11" ht="14.4" customHeight="1" x14ac:dyDescent="0.3">
      <c r="A69" s="377" t="s">
        <v>377</v>
      </c>
      <c r="B69" s="378" t="s">
        <v>470</v>
      </c>
      <c r="C69" s="379" t="s">
        <v>383</v>
      </c>
      <c r="D69" s="380" t="s">
        <v>471</v>
      </c>
      <c r="E69" s="379" t="s">
        <v>834</v>
      </c>
      <c r="F69" s="380" t="s">
        <v>835</v>
      </c>
      <c r="G69" s="379" t="s">
        <v>610</v>
      </c>
      <c r="H69" s="379" t="s">
        <v>611</v>
      </c>
      <c r="I69" s="381">
        <v>181.5</v>
      </c>
      <c r="J69" s="381">
        <v>20</v>
      </c>
      <c r="K69" s="382">
        <v>3630</v>
      </c>
    </row>
    <row r="70" spans="1:11" ht="14.4" customHeight="1" x14ac:dyDescent="0.3">
      <c r="A70" s="377" t="s">
        <v>377</v>
      </c>
      <c r="B70" s="378" t="s">
        <v>470</v>
      </c>
      <c r="C70" s="379" t="s">
        <v>383</v>
      </c>
      <c r="D70" s="380" t="s">
        <v>471</v>
      </c>
      <c r="E70" s="379" t="s">
        <v>834</v>
      </c>
      <c r="F70" s="380" t="s">
        <v>835</v>
      </c>
      <c r="G70" s="379" t="s">
        <v>612</v>
      </c>
      <c r="H70" s="379" t="s">
        <v>613</v>
      </c>
      <c r="I70" s="381">
        <v>267.41000000000003</v>
      </c>
      <c r="J70" s="381">
        <v>40</v>
      </c>
      <c r="K70" s="382">
        <v>10696.39</v>
      </c>
    </row>
    <row r="71" spans="1:11" ht="14.4" customHeight="1" x14ac:dyDescent="0.3">
      <c r="A71" s="377" t="s">
        <v>377</v>
      </c>
      <c r="B71" s="378" t="s">
        <v>470</v>
      </c>
      <c r="C71" s="379" t="s">
        <v>383</v>
      </c>
      <c r="D71" s="380" t="s">
        <v>471</v>
      </c>
      <c r="E71" s="379" t="s">
        <v>834</v>
      </c>
      <c r="F71" s="380" t="s">
        <v>835</v>
      </c>
      <c r="G71" s="379" t="s">
        <v>614</v>
      </c>
      <c r="H71" s="379" t="s">
        <v>615</v>
      </c>
      <c r="I71" s="381">
        <v>7.51</v>
      </c>
      <c r="J71" s="381">
        <v>45</v>
      </c>
      <c r="K71" s="382">
        <v>338.13</v>
      </c>
    </row>
    <row r="72" spans="1:11" ht="14.4" customHeight="1" x14ac:dyDescent="0.3">
      <c r="A72" s="377" t="s">
        <v>377</v>
      </c>
      <c r="B72" s="378" t="s">
        <v>470</v>
      </c>
      <c r="C72" s="379" t="s">
        <v>383</v>
      </c>
      <c r="D72" s="380" t="s">
        <v>471</v>
      </c>
      <c r="E72" s="379" t="s">
        <v>834</v>
      </c>
      <c r="F72" s="380" t="s">
        <v>835</v>
      </c>
      <c r="G72" s="379" t="s">
        <v>616</v>
      </c>
      <c r="H72" s="379" t="s">
        <v>617</v>
      </c>
      <c r="I72" s="381">
        <v>111.55</v>
      </c>
      <c r="J72" s="381">
        <v>50</v>
      </c>
      <c r="K72" s="382">
        <v>5577.5</v>
      </c>
    </row>
    <row r="73" spans="1:11" ht="14.4" customHeight="1" x14ac:dyDescent="0.3">
      <c r="A73" s="377" t="s">
        <v>377</v>
      </c>
      <c r="B73" s="378" t="s">
        <v>470</v>
      </c>
      <c r="C73" s="379" t="s">
        <v>383</v>
      </c>
      <c r="D73" s="380" t="s">
        <v>471</v>
      </c>
      <c r="E73" s="379" t="s">
        <v>834</v>
      </c>
      <c r="F73" s="380" t="s">
        <v>835</v>
      </c>
      <c r="G73" s="379" t="s">
        <v>618</v>
      </c>
      <c r="H73" s="379" t="s">
        <v>619</v>
      </c>
      <c r="I73" s="381">
        <v>171.82</v>
      </c>
      <c r="J73" s="381">
        <v>10</v>
      </c>
      <c r="K73" s="382">
        <v>1718.2</v>
      </c>
    </row>
    <row r="74" spans="1:11" ht="14.4" customHeight="1" x14ac:dyDescent="0.3">
      <c r="A74" s="377" t="s">
        <v>377</v>
      </c>
      <c r="B74" s="378" t="s">
        <v>470</v>
      </c>
      <c r="C74" s="379" t="s">
        <v>383</v>
      </c>
      <c r="D74" s="380" t="s">
        <v>471</v>
      </c>
      <c r="E74" s="379" t="s">
        <v>834</v>
      </c>
      <c r="F74" s="380" t="s">
        <v>835</v>
      </c>
      <c r="G74" s="379" t="s">
        <v>620</v>
      </c>
      <c r="H74" s="379" t="s">
        <v>621</v>
      </c>
      <c r="I74" s="381">
        <v>1839.22</v>
      </c>
      <c r="J74" s="381">
        <v>10</v>
      </c>
      <c r="K74" s="382">
        <v>18392.22</v>
      </c>
    </row>
    <row r="75" spans="1:11" ht="14.4" customHeight="1" x14ac:dyDescent="0.3">
      <c r="A75" s="377" t="s">
        <v>377</v>
      </c>
      <c r="B75" s="378" t="s">
        <v>470</v>
      </c>
      <c r="C75" s="379" t="s">
        <v>383</v>
      </c>
      <c r="D75" s="380" t="s">
        <v>471</v>
      </c>
      <c r="E75" s="379" t="s">
        <v>834</v>
      </c>
      <c r="F75" s="380" t="s">
        <v>835</v>
      </c>
      <c r="G75" s="379" t="s">
        <v>622</v>
      </c>
      <c r="H75" s="379" t="s">
        <v>623</v>
      </c>
      <c r="I75" s="381">
        <v>144.80000000000001</v>
      </c>
      <c r="J75" s="381">
        <v>10</v>
      </c>
      <c r="K75" s="382">
        <v>1448.01</v>
      </c>
    </row>
    <row r="76" spans="1:11" ht="14.4" customHeight="1" x14ac:dyDescent="0.3">
      <c r="A76" s="377" t="s">
        <v>377</v>
      </c>
      <c r="B76" s="378" t="s">
        <v>470</v>
      </c>
      <c r="C76" s="379" t="s">
        <v>383</v>
      </c>
      <c r="D76" s="380" t="s">
        <v>471</v>
      </c>
      <c r="E76" s="379" t="s">
        <v>836</v>
      </c>
      <c r="F76" s="380" t="s">
        <v>837</v>
      </c>
      <c r="G76" s="379" t="s">
        <v>624</v>
      </c>
      <c r="H76" s="379" t="s">
        <v>625</v>
      </c>
      <c r="I76" s="381">
        <v>997.52</v>
      </c>
      <c r="J76" s="381">
        <v>48</v>
      </c>
      <c r="K76" s="382">
        <v>47881.15</v>
      </c>
    </row>
    <row r="77" spans="1:11" ht="14.4" customHeight="1" x14ac:dyDescent="0.3">
      <c r="A77" s="377" t="s">
        <v>377</v>
      </c>
      <c r="B77" s="378" t="s">
        <v>470</v>
      </c>
      <c r="C77" s="379" t="s">
        <v>383</v>
      </c>
      <c r="D77" s="380" t="s">
        <v>471</v>
      </c>
      <c r="E77" s="379" t="s">
        <v>836</v>
      </c>
      <c r="F77" s="380" t="s">
        <v>837</v>
      </c>
      <c r="G77" s="379" t="s">
        <v>626</v>
      </c>
      <c r="H77" s="379" t="s">
        <v>627</v>
      </c>
      <c r="I77" s="381">
        <v>1818.74</v>
      </c>
      <c r="J77" s="381">
        <v>180</v>
      </c>
      <c r="K77" s="382">
        <v>327372.98</v>
      </c>
    </row>
    <row r="78" spans="1:11" ht="14.4" customHeight="1" x14ac:dyDescent="0.3">
      <c r="A78" s="377" t="s">
        <v>377</v>
      </c>
      <c r="B78" s="378" t="s">
        <v>470</v>
      </c>
      <c r="C78" s="379" t="s">
        <v>383</v>
      </c>
      <c r="D78" s="380" t="s">
        <v>471</v>
      </c>
      <c r="E78" s="379" t="s">
        <v>836</v>
      </c>
      <c r="F78" s="380" t="s">
        <v>837</v>
      </c>
      <c r="G78" s="379" t="s">
        <v>628</v>
      </c>
      <c r="H78" s="379" t="s">
        <v>629</v>
      </c>
      <c r="I78" s="381">
        <v>88285.23000000001</v>
      </c>
      <c r="J78" s="381">
        <v>7</v>
      </c>
      <c r="K78" s="382">
        <v>618499.73</v>
      </c>
    </row>
    <row r="79" spans="1:11" ht="14.4" customHeight="1" x14ac:dyDescent="0.3">
      <c r="A79" s="377" t="s">
        <v>377</v>
      </c>
      <c r="B79" s="378" t="s">
        <v>470</v>
      </c>
      <c r="C79" s="379" t="s">
        <v>383</v>
      </c>
      <c r="D79" s="380" t="s">
        <v>471</v>
      </c>
      <c r="E79" s="379" t="s">
        <v>836</v>
      </c>
      <c r="F79" s="380" t="s">
        <v>837</v>
      </c>
      <c r="G79" s="379" t="s">
        <v>630</v>
      </c>
      <c r="H79" s="379" t="s">
        <v>631</v>
      </c>
      <c r="I79" s="381">
        <v>88285.23000000001</v>
      </c>
      <c r="J79" s="381">
        <v>7</v>
      </c>
      <c r="K79" s="382">
        <v>618499.73</v>
      </c>
    </row>
    <row r="80" spans="1:11" ht="14.4" customHeight="1" x14ac:dyDescent="0.3">
      <c r="A80" s="377" t="s">
        <v>377</v>
      </c>
      <c r="B80" s="378" t="s">
        <v>470</v>
      </c>
      <c r="C80" s="379" t="s">
        <v>383</v>
      </c>
      <c r="D80" s="380" t="s">
        <v>471</v>
      </c>
      <c r="E80" s="379" t="s">
        <v>836</v>
      </c>
      <c r="F80" s="380" t="s">
        <v>837</v>
      </c>
      <c r="G80" s="379" t="s">
        <v>632</v>
      </c>
      <c r="H80" s="379" t="s">
        <v>633</v>
      </c>
      <c r="I80" s="381">
        <v>811.81500000000005</v>
      </c>
      <c r="J80" s="381">
        <v>50</v>
      </c>
      <c r="K80" s="382">
        <v>40510.800000000003</v>
      </c>
    </row>
    <row r="81" spans="1:11" ht="14.4" customHeight="1" x14ac:dyDescent="0.3">
      <c r="A81" s="377" t="s">
        <v>377</v>
      </c>
      <c r="B81" s="378" t="s">
        <v>470</v>
      </c>
      <c r="C81" s="379" t="s">
        <v>383</v>
      </c>
      <c r="D81" s="380" t="s">
        <v>471</v>
      </c>
      <c r="E81" s="379" t="s">
        <v>836</v>
      </c>
      <c r="F81" s="380" t="s">
        <v>837</v>
      </c>
      <c r="G81" s="379" t="s">
        <v>634</v>
      </c>
      <c r="H81" s="379" t="s">
        <v>635</v>
      </c>
      <c r="I81" s="381">
        <v>1010.41</v>
      </c>
      <c r="J81" s="381">
        <v>60</v>
      </c>
      <c r="K81" s="382">
        <v>60624.62999999999</v>
      </c>
    </row>
    <row r="82" spans="1:11" ht="14.4" customHeight="1" x14ac:dyDescent="0.3">
      <c r="A82" s="377" t="s">
        <v>377</v>
      </c>
      <c r="B82" s="378" t="s">
        <v>470</v>
      </c>
      <c r="C82" s="379" t="s">
        <v>383</v>
      </c>
      <c r="D82" s="380" t="s">
        <v>471</v>
      </c>
      <c r="E82" s="379" t="s">
        <v>836</v>
      </c>
      <c r="F82" s="380" t="s">
        <v>837</v>
      </c>
      <c r="G82" s="379" t="s">
        <v>636</v>
      </c>
      <c r="H82" s="379" t="s">
        <v>637</v>
      </c>
      <c r="I82" s="381">
        <v>1190.1400000000001</v>
      </c>
      <c r="J82" s="381">
        <v>80</v>
      </c>
      <c r="K82" s="382">
        <v>95211.420000000013</v>
      </c>
    </row>
    <row r="83" spans="1:11" ht="14.4" customHeight="1" x14ac:dyDescent="0.3">
      <c r="A83" s="377" t="s">
        <v>377</v>
      </c>
      <c r="B83" s="378" t="s">
        <v>470</v>
      </c>
      <c r="C83" s="379" t="s">
        <v>383</v>
      </c>
      <c r="D83" s="380" t="s">
        <v>471</v>
      </c>
      <c r="E83" s="379" t="s">
        <v>836</v>
      </c>
      <c r="F83" s="380" t="s">
        <v>837</v>
      </c>
      <c r="G83" s="379" t="s">
        <v>638</v>
      </c>
      <c r="H83" s="379" t="s">
        <v>639</v>
      </c>
      <c r="I83" s="381">
        <v>128310.33500000001</v>
      </c>
      <c r="J83" s="381">
        <v>7</v>
      </c>
      <c r="K83" s="382">
        <v>898799.62</v>
      </c>
    </row>
    <row r="84" spans="1:11" ht="14.4" customHeight="1" x14ac:dyDescent="0.3">
      <c r="A84" s="377" t="s">
        <v>377</v>
      </c>
      <c r="B84" s="378" t="s">
        <v>470</v>
      </c>
      <c r="C84" s="379" t="s">
        <v>383</v>
      </c>
      <c r="D84" s="380" t="s">
        <v>471</v>
      </c>
      <c r="E84" s="379" t="s">
        <v>836</v>
      </c>
      <c r="F84" s="380" t="s">
        <v>837</v>
      </c>
      <c r="G84" s="379" t="s">
        <v>640</v>
      </c>
      <c r="H84" s="379" t="s">
        <v>641</v>
      </c>
      <c r="I84" s="381">
        <v>108350.05499999999</v>
      </c>
      <c r="J84" s="381">
        <v>7</v>
      </c>
      <c r="K84" s="382">
        <v>759067.85000000009</v>
      </c>
    </row>
    <row r="85" spans="1:11" ht="14.4" customHeight="1" x14ac:dyDescent="0.3">
      <c r="A85" s="377" t="s">
        <v>377</v>
      </c>
      <c r="B85" s="378" t="s">
        <v>470</v>
      </c>
      <c r="C85" s="379" t="s">
        <v>383</v>
      </c>
      <c r="D85" s="380" t="s">
        <v>471</v>
      </c>
      <c r="E85" s="379" t="s">
        <v>836</v>
      </c>
      <c r="F85" s="380" t="s">
        <v>837</v>
      </c>
      <c r="G85" s="379" t="s">
        <v>642</v>
      </c>
      <c r="H85" s="379" t="s">
        <v>643</v>
      </c>
      <c r="I85" s="381">
        <v>13821.83</v>
      </c>
      <c r="J85" s="381">
        <v>2</v>
      </c>
      <c r="K85" s="382">
        <v>27643.66</v>
      </c>
    </row>
    <row r="86" spans="1:11" ht="14.4" customHeight="1" x14ac:dyDescent="0.3">
      <c r="A86" s="377" t="s">
        <v>377</v>
      </c>
      <c r="B86" s="378" t="s">
        <v>470</v>
      </c>
      <c r="C86" s="379" t="s">
        <v>383</v>
      </c>
      <c r="D86" s="380" t="s">
        <v>471</v>
      </c>
      <c r="E86" s="379" t="s">
        <v>836</v>
      </c>
      <c r="F86" s="380" t="s">
        <v>837</v>
      </c>
      <c r="G86" s="379" t="s">
        <v>644</v>
      </c>
      <c r="H86" s="379" t="s">
        <v>645</v>
      </c>
      <c r="I86" s="381">
        <v>602.87</v>
      </c>
      <c r="J86" s="381">
        <v>20</v>
      </c>
      <c r="K86" s="382">
        <v>12057.41</v>
      </c>
    </row>
    <row r="87" spans="1:11" ht="14.4" customHeight="1" x14ac:dyDescent="0.3">
      <c r="A87" s="377" t="s">
        <v>377</v>
      </c>
      <c r="B87" s="378" t="s">
        <v>470</v>
      </c>
      <c r="C87" s="379" t="s">
        <v>383</v>
      </c>
      <c r="D87" s="380" t="s">
        <v>471</v>
      </c>
      <c r="E87" s="379" t="s">
        <v>836</v>
      </c>
      <c r="F87" s="380" t="s">
        <v>837</v>
      </c>
      <c r="G87" s="379" t="s">
        <v>646</v>
      </c>
      <c r="H87" s="379" t="s">
        <v>647</v>
      </c>
      <c r="I87" s="381">
        <v>425.31</v>
      </c>
      <c r="J87" s="381">
        <v>10</v>
      </c>
      <c r="K87" s="382">
        <v>4253.1499999999996</v>
      </c>
    </row>
    <row r="88" spans="1:11" ht="14.4" customHeight="1" x14ac:dyDescent="0.3">
      <c r="A88" s="377" t="s">
        <v>377</v>
      </c>
      <c r="B88" s="378" t="s">
        <v>470</v>
      </c>
      <c r="C88" s="379" t="s">
        <v>383</v>
      </c>
      <c r="D88" s="380" t="s">
        <v>471</v>
      </c>
      <c r="E88" s="379" t="s">
        <v>836</v>
      </c>
      <c r="F88" s="380" t="s">
        <v>837</v>
      </c>
      <c r="G88" s="379" t="s">
        <v>648</v>
      </c>
      <c r="H88" s="379" t="s">
        <v>649</v>
      </c>
      <c r="I88" s="381">
        <v>5315.53</v>
      </c>
      <c r="J88" s="381">
        <v>1</v>
      </c>
      <c r="K88" s="382">
        <v>5315.53</v>
      </c>
    </row>
    <row r="89" spans="1:11" ht="14.4" customHeight="1" x14ac:dyDescent="0.3">
      <c r="A89" s="377" t="s">
        <v>377</v>
      </c>
      <c r="B89" s="378" t="s">
        <v>470</v>
      </c>
      <c r="C89" s="379" t="s">
        <v>383</v>
      </c>
      <c r="D89" s="380" t="s">
        <v>471</v>
      </c>
      <c r="E89" s="379" t="s">
        <v>838</v>
      </c>
      <c r="F89" s="380" t="s">
        <v>839</v>
      </c>
      <c r="G89" s="379" t="s">
        <v>650</v>
      </c>
      <c r="H89" s="379" t="s">
        <v>651</v>
      </c>
      <c r="I89" s="381">
        <v>95.72</v>
      </c>
      <c r="J89" s="381">
        <v>30</v>
      </c>
      <c r="K89" s="382">
        <v>2871.65</v>
      </c>
    </row>
    <row r="90" spans="1:11" ht="14.4" customHeight="1" x14ac:dyDescent="0.3">
      <c r="A90" s="377" t="s">
        <v>377</v>
      </c>
      <c r="B90" s="378" t="s">
        <v>470</v>
      </c>
      <c r="C90" s="379" t="s">
        <v>383</v>
      </c>
      <c r="D90" s="380" t="s">
        <v>471</v>
      </c>
      <c r="E90" s="379" t="s">
        <v>840</v>
      </c>
      <c r="F90" s="380" t="s">
        <v>841</v>
      </c>
      <c r="G90" s="379" t="s">
        <v>652</v>
      </c>
      <c r="H90" s="379" t="s">
        <v>653</v>
      </c>
      <c r="I90" s="381">
        <v>131.47</v>
      </c>
      <c r="J90" s="381">
        <v>60</v>
      </c>
      <c r="K90" s="382">
        <v>7888.43</v>
      </c>
    </row>
    <row r="91" spans="1:11" ht="14.4" customHeight="1" x14ac:dyDescent="0.3">
      <c r="A91" s="377" t="s">
        <v>377</v>
      </c>
      <c r="B91" s="378" t="s">
        <v>470</v>
      </c>
      <c r="C91" s="379" t="s">
        <v>383</v>
      </c>
      <c r="D91" s="380" t="s">
        <v>471</v>
      </c>
      <c r="E91" s="379" t="s">
        <v>840</v>
      </c>
      <c r="F91" s="380" t="s">
        <v>841</v>
      </c>
      <c r="G91" s="379" t="s">
        <v>654</v>
      </c>
      <c r="H91" s="379" t="s">
        <v>655</v>
      </c>
      <c r="I91" s="381">
        <v>234.44</v>
      </c>
      <c r="J91" s="381">
        <v>132</v>
      </c>
      <c r="K91" s="382">
        <v>30945.840000000004</v>
      </c>
    </row>
    <row r="92" spans="1:11" ht="14.4" customHeight="1" x14ac:dyDescent="0.3">
      <c r="A92" s="377" t="s">
        <v>377</v>
      </c>
      <c r="B92" s="378" t="s">
        <v>470</v>
      </c>
      <c r="C92" s="379" t="s">
        <v>383</v>
      </c>
      <c r="D92" s="380" t="s">
        <v>471</v>
      </c>
      <c r="E92" s="379" t="s">
        <v>840</v>
      </c>
      <c r="F92" s="380" t="s">
        <v>841</v>
      </c>
      <c r="G92" s="379" t="s">
        <v>656</v>
      </c>
      <c r="H92" s="379" t="s">
        <v>657</v>
      </c>
      <c r="I92" s="381">
        <v>59.77</v>
      </c>
      <c r="J92" s="381">
        <v>144</v>
      </c>
      <c r="K92" s="382">
        <v>8607.52</v>
      </c>
    </row>
    <row r="93" spans="1:11" ht="14.4" customHeight="1" x14ac:dyDescent="0.3">
      <c r="A93" s="377" t="s">
        <v>377</v>
      </c>
      <c r="B93" s="378" t="s">
        <v>470</v>
      </c>
      <c r="C93" s="379" t="s">
        <v>383</v>
      </c>
      <c r="D93" s="380" t="s">
        <v>471</v>
      </c>
      <c r="E93" s="379" t="s">
        <v>840</v>
      </c>
      <c r="F93" s="380" t="s">
        <v>841</v>
      </c>
      <c r="G93" s="379" t="s">
        <v>658</v>
      </c>
      <c r="H93" s="379" t="s">
        <v>659</v>
      </c>
      <c r="I93" s="381">
        <v>34.5</v>
      </c>
      <c r="J93" s="381">
        <v>540</v>
      </c>
      <c r="K93" s="382">
        <v>18630</v>
      </c>
    </row>
    <row r="94" spans="1:11" ht="14.4" customHeight="1" x14ac:dyDescent="0.3">
      <c r="A94" s="377" t="s">
        <v>377</v>
      </c>
      <c r="B94" s="378" t="s">
        <v>470</v>
      </c>
      <c r="C94" s="379" t="s">
        <v>383</v>
      </c>
      <c r="D94" s="380" t="s">
        <v>471</v>
      </c>
      <c r="E94" s="379" t="s">
        <v>840</v>
      </c>
      <c r="F94" s="380" t="s">
        <v>841</v>
      </c>
      <c r="G94" s="379" t="s">
        <v>660</v>
      </c>
      <c r="H94" s="379" t="s">
        <v>661</v>
      </c>
      <c r="I94" s="381">
        <v>35.619999999999997</v>
      </c>
      <c r="J94" s="381">
        <v>72</v>
      </c>
      <c r="K94" s="382">
        <v>2564.3200000000002</v>
      </c>
    </row>
    <row r="95" spans="1:11" ht="14.4" customHeight="1" x14ac:dyDescent="0.3">
      <c r="A95" s="377" t="s">
        <v>377</v>
      </c>
      <c r="B95" s="378" t="s">
        <v>470</v>
      </c>
      <c r="C95" s="379" t="s">
        <v>383</v>
      </c>
      <c r="D95" s="380" t="s">
        <v>471</v>
      </c>
      <c r="E95" s="379" t="s">
        <v>840</v>
      </c>
      <c r="F95" s="380" t="s">
        <v>841</v>
      </c>
      <c r="G95" s="379" t="s">
        <v>662</v>
      </c>
      <c r="H95" s="379" t="s">
        <v>663</v>
      </c>
      <c r="I95" s="381">
        <v>414.29</v>
      </c>
      <c r="J95" s="381">
        <v>12</v>
      </c>
      <c r="K95" s="382">
        <v>4971.45</v>
      </c>
    </row>
    <row r="96" spans="1:11" ht="14.4" customHeight="1" x14ac:dyDescent="0.3">
      <c r="A96" s="377" t="s">
        <v>377</v>
      </c>
      <c r="B96" s="378" t="s">
        <v>470</v>
      </c>
      <c r="C96" s="379" t="s">
        <v>383</v>
      </c>
      <c r="D96" s="380" t="s">
        <v>471</v>
      </c>
      <c r="E96" s="379" t="s">
        <v>840</v>
      </c>
      <c r="F96" s="380" t="s">
        <v>841</v>
      </c>
      <c r="G96" s="379" t="s">
        <v>664</v>
      </c>
      <c r="H96" s="379" t="s">
        <v>665</v>
      </c>
      <c r="I96" s="381">
        <v>50.12</v>
      </c>
      <c r="J96" s="381">
        <v>576</v>
      </c>
      <c r="K96" s="382">
        <v>28868.47</v>
      </c>
    </row>
    <row r="97" spans="1:11" ht="14.4" customHeight="1" x14ac:dyDescent="0.3">
      <c r="A97" s="377" t="s">
        <v>377</v>
      </c>
      <c r="B97" s="378" t="s">
        <v>470</v>
      </c>
      <c r="C97" s="379" t="s">
        <v>383</v>
      </c>
      <c r="D97" s="380" t="s">
        <v>471</v>
      </c>
      <c r="E97" s="379" t="s">
        <v>840</v>
      </c>
      <c r="F97" s="380" t="s">
        <v>841</v>
      </c>
      <c r="G97" s="379" t="s">
        <v>666</v>
      </c>
      <c r="H97" s="379" t="s">
        <v>667</v>
      </c>
      <c r="I97" s="381">
        <v>50.12</v>
      </c>
      <c r="J97" s="381">
        <v>144</v>
      </c>
      <c r="K97" s="382">
        <v>7216.85</v>
      </c>
    </row>
    <row r="98" spans="1:11" ht="14.4" customHeight="1" x14ac:dyDescent="0.3">
      <c r="A98" s="377" t="s">
        <v>377</v>
      </c>
      <c r="B98" s="378" t="s">
        <v>470</v>
      </c>
      <c r="C98" s="379" t="s">
        <v>383</v>
      </c>
      <c r="D98" s="380" t="s">
        <v>471</v>
      </c>
      <c r="E98" s="379" t="s">
        <v>840</v>
      </c>
      <c r="F98" s="380" t="s">
        <v>841</v>
      </c>
      <c r="G98" s="379" t="s">
        <v>668</v>
      </c>
      <c r="H98" s="379" t="s">
        <v>669</v>
      </c>
      <c r="I98" s="381">
        <v>50.12</v>
      </c>
      <c r="J98" s="381">
        <v>180</v>
      </c>
      <c r="K98" s="382">
        <v>9021.06</v>
      </c>
    </row>
    <row r="99" spans="1:11" ht="14.4" customHeight="1" x14ac:dyDescent="0.3">
      <c r="A99" s="377" t="s">
        <v>377</v>
      </c>
      <c r="B99" s="378" t="s">
        <v>470</v>
      </c>
      <c r="C99" s="379" t="s">
        <v>383</v>
      </c>
      <c r="D99" s="380" t="s">
        <v>471</v>
      </c>
      <c r="E99" s="379" t="s">
        <v>840</v>
      </c>
      <c r="F99" s="380" t="s">
        <v>841</v>
      </c>
      <c r="G99" s="379" t="s">
        <v>670</v>
      </c>
      <c r="H99" s="379" t="s">
        <v>671</v>
      </c>
      <c r="I99" s="381">
        <v>34.880000000000003</v>
      </c>
      <c r="J99" s="381">
        <v>720</v>
      </c>
      <c r="K99" s="382">
        <v>25113.24</v>
      </c>
    </row>
    <row r="100" spans="1:11" ht="14.4" customHeight="1" x14ac:dyDescent="0.3">
      <c r="A100" s="377" t="s">
        <v>377</v>
      </c>
      <c r="B100" s="378" t="s">
        <v>470</v>
      </c>
      <c r="C100" s="379" t="s">
        <v>383</v>
      </c>
      <c r="D100" s="380" t="s">
        <v>471</v>
      </c>
      <c r="E100" s="379" t="s">
        <v>840</v>
      </c>
      <c r="F100" s="380" t="s">
        <v>841</v>
      </c>
      <c r="G100" s="379" t="s">
        <v>672</v>
      </c>
      <c r="H100" s="379" t="s">
        <v>673</v>
      </c>
      <c r="I100" s="381">
        <v>36.19</v>
      </c>
      <c r="J100" s="381">
        <v>84</v>
      </c>
      <c r="K100" s="382">
        <v>3040.01</v>
      </c>
    </row>
    <row r="101" spans="1:11" ht="14.4" customHeight="1" x14ac:dyDescent="0.3">
      <c r="A101" s="377" t="s">
        <v>377</v>
      </c>
      <c r="B101" s="378" t="s">
        <v>470</v>
      </c>
      <c r="C101" s="379" t="s">
        <v>383</v>
      </c>
      <c r="D101" s="380" t="s">
        <v>471</v>
      </c>
      <c r="E101" s="379" t="s">
        <v>840</v>
      </c>
      <c r="F101" s="380" t="s">
        <v>841</v>
      </c>
      <c r="G101" s="379" t="s">
        <v>674</v>
      </c>
      <c r="H101" s="379" t="s">
        <v>675</v>
      </c>
      <c r="I101" s="381">
        <v>34.119999999999997</v>
      </c>
      <c r="J101" s="381">
        <v>72</v>
      </c>
      <c r="K101" s="382">
        <v>2456.64</v>
      </c>
    </row>
    <row r="102" spans="1:11" ht="14.4" customHeight="1" x14ac:dyDescent="0.3">
      <c r="A102" s="377" t="s">
        <v>377</v>
      </c>
      <c r="B102" s="378" t="s">
        <v>470</v>
      </c>
      <c r="C102" s="379" t="s">
        <v>383</v>
      </c>
      <c r="D102" s="380" t="s">
        <v>471</v>
      </c>
      <c r="E102" s="379" t="s">
        <v>840</v>
      </c>
      <c r="F102" s="380" t="s">
        <v>841</v>
      </c>
      <c r="G102" s="379" t="s">
        <v>676</v>
      </c>
      <c r="H102" s="379" t="s">
        <v>677</v>
      </c>
      <c r="I102" s="381">
        <v>190.53</v>
      </c>
      <c r="J102" s="381">
        <v>120</v>
      </c>
      <c r="K102" s="382">
        <v>22863.73</v>
      </c>
    </row>
    <row r="103" spans="1:11" ht="14.4" customHeight="1" x14ac:dyDescent="0.3">
      <c r="A103" s="377" t="s">
        <v>377</v>
      </c>
      <c r="B103" s="378" t="s">
        <v>470</v>
      </c>
      <c r="C103" s="379" t="s">
        <v>383</v>
      </c>
      <c r="D103" s="380" t="s">
        <v>471</v>
      </c>
      <c r="E103" s="379" t="s">
        <v>840</v>
      </c>
      <c r="F103" s="380" t="s">
        <v>841</v>
      </c>
      <c r="G103" s="379" t="s">
        <v>678</v>
      </c>
      <c r="H103" s="379" t="s">
        <v>679</v>
      </c>
      <c r="I103" s="381">
        <v>31.36</v>
      </c>
      <c r="J103" s="381">
        <v>960</v>
      </c>
      <c r="K103" s="382">
        <v>30108.83</v>
      </c>
    </row>
    <row r="104" spans="1:11" ht="14.4" customHeight="1" x14ac:dyDescent="0.3">
      <c r="A104" s="377" t="s">
        <v>377</v>
      </c>
      <c r="B104" s="378" t="s">
        <v>470</v>
      </c>
      <c r="C104" s="379" t="s">
        <v>383</v>
      </c>
      <c r="D104" s="380" t="s">
        <v>471</v>
      </c>
      <c r="E104" s="379" t="s">
        <v>840</v>
      </c>
      <c r="F104" s="380" t="s">
        <v>841</v>
      </c>
      <c r="G104" s="379" t="s">
        <v>680</v>
      </c>
      <c r="H104" s="379" t="s">
        <v>681</v>
      </c>
      <c r="I104" s="381">
        <v>30.32</v>
      </c>
      <c r="J104" s="381">
        <v>960</v>
      </c>
      <c r="K104" s="382">
        <v>29105.119999999999</v>
      </c>
    </row>
    <row r="105" spans="1:11" ht="14.4" customHeight="1" x14ac:dyDescent="0.3">
      <c r="A105" s="377" t="s">
        <v>377</v>
      </c>
      <c r="B105" s="378" t="s">
        <v>470</v>
      </c>
      <c r="C105" s="379" t="s">
        <v>383</v>
      </c>
      <c r="D105" s="380" t="s">
        <v>471</v>
      </c>
      <c r="E105" s="379" t="s">
        <v>840</v>
      </c>
      <c r="F105" s="380" t="s">
        <v>841</v>
      </c>
      <c r="G105" s="379" t="s">
        <v>682</v>
      </c>
      <c r="H105" s="379" t="s">
        <v>683</v>
      </c>
      <c r="I105" s="381">
        <v>32.409999999999997</v>
      </c>
      <c r="J105" s="381">
        <v>720</v>
      </c>
      <c r="K105" s="382">
        <v>23334.42</v>
      </c>
    </row>
    <row r="106" spans="1:11" ht="14.4" customHeight="1" x14ac:dyDescent="0.3">
      <c r="A106" s="377" t="s">
        <v>377</v>
      </c>
      <c r="B106" s="378" t="s">
        <v>470</v>
      </c>
      <c r="C106" s="379" t="s">
        <v>383</v>
      </c>
      <c r="D106" s="380" t="s">
        <v>471</v>
      </c>
      <c r="E106" s="379" t="s">
        <v>840</v>
      </c>
      <c r="F106" s="380" t="s">
        <v>841</v>
      </c>
      <c r="G106" s="379" t="s">
        <v>684</v>
      </c>
      <c r="H106" s="379" t="s">
        <v>685</v>
      </c>
      <c r="I106" s="381">
        <v>133.27000000000001</v>
      </c>
      <c r="J106" s="381">
        <v>60</v>
      </c>
      <c r="K106" s="382">
        <v>7995.95</v>
      </c>
    </row>
    <row r="107" spans="1:11" ht="14.4" customHeight="1" x14ac:dyDescent="0.3">
      <c r="A107" s="377" t="s">
        <v>377</v>
      </c>
      <c r="B107" s="378" t="s">
        <v>470</v>
      </c>
      <c r="C107" s="379" t="s">
        <v>383</v>
      </c>
      <c r="D107" s="380" t="s">
        <v>471</v>
      </c>
      <c r="E107" s="379" t="s">
        <v>840</v>
      </c>
      <c r="F107" s="380" t="s">
        <v>841</v>
      </c>
      <c r="G107" s="379" t="s">
        <v>686</v>
      </c>
      <c r="H107" s="379" t="s">
        <v>687</v>
      </c>
      <c r="I107" s="381">
        <v>54.11</v>
      </c>
      <c r="J107" s="381">
        <v>72</v>
      </c>
      <c r="K107" s="382">
        <v>3895.74</v>
      </c>
    </row>
    <row r="108" spans="1:11" ht="14.4" customHeight="1" x14ac:dyDescent="0.3">
      <c r="A108" s="377" t="s">
        <v>377</v>
      </c>
      <c r="B108" s="378" t="s">
        <v>470</v>
      </c>
      <c r="C108" s="379" t="s">
        <v>383</v>
      </c>
      <c r="D108" s="380" t="s">
        <v>471</v>
      </c>
      <c r="E108" s="379" t="s">
        <v>840</v>
      </c>
      <c r="F108" s="380" t="s">
        <v>841</v>
      </c>
      <c r="G108" s="379" t="s">
        <v>688</v>
      </c>
      <c r="H108" s="379" t="s">
        <v>689</v>
      </c>
      <c r="I108" s="381">
        <v>315.33</v>
      </c>
      <c r="J108" s="381">
        <v>180</v>
      </c>
      <c r="K108" s="382">
        <v>56758.54</v>
      </c>
    </row>
    <row r="109" spans="1:11" ht="14.4" customHeight="1" x14ac:dyDescent="0.3">
      <c r="A109" s="377" t="s">
        <v>377</v>
      </c>
      <c r="B109" s="378" t="s">
        <v>470</v>
      </c>
      <c r="C109" s="379" t="s">
        <v>383</v>
      </c>
      <c r="D109" s="380" t="s">
        <v>471</v>
      </c>
      <c r="E109" s="379" t="s">
        <v>840</v>
      </c>
      <c r="F109" s="380" t="s">
        <v>841</v>
      </c>
      <c r="G109" s="379" t="s">
        <v>690</v>
      </c>
      <c r="H109" s="379" t="s">
        <v>691</v>
      </c>
      <c r="I109" s="381">
        <v>232.16</v>
      </c>
      <c r="J109" s="381">
        <v>72</v>
      </c>
      <c r="K109" s="382">
        <v>16715.25</v>
      </c>
    </row>
    <row r="110" spans="1:11" ht="14.4" customHeight="1" x14ac:dyDescent="0.3">
      <c r="A110" s="377" t="s">
        <v>377</v>
      </c>
      <c r="B110" s="378" t="s">
        <v>470</v>
      </c>
      <c r="C110" s="379" t="s">
        <v>383</v>
      </c>
      <c r="D110" s="380" t="s">
        <v>471</v>
      </c>
      <c r="E110" s="379" t="s">
        <v>840</v>
      </c>
      <c r="F110" s="380" t="s">
        <v>841</v>
      </c>
      <c r="G110" s="379" t="s">
        <v>692</v>
      </c>
      <c r="H110" s="379" t="s">
        <v>693</v>
      </c>
      <c r="I110" s="381">
        <v>77.02</v>
      </c>
      <c r="J110" s="381">
        <v>72</v>
      </c>
      <c r="K110" s="382">
        <v>5545.12</v>
      </c>
    </row>
    <row r="111" spans="1:11" ht="14.4" customHeight="1" x14ac:dyDescent="0.3">
      <c r="A111" s="377" t="s">
        <v>377</v>
      </c>
      <c r="B111" s="378" t="s">
        <v>470</v>
      </c>
      <c r="C111" s="379" t="s">
        <v>383</v>
      </c>
      <c r="D111" s="380" t="s">
        <v>471</v>
      </c>
      <c r="E111" s="379" t="s">
        <v>840</v>
      </c>
      <c r="F111" s="380" t="s">
        <v>841</v>
      </c>
      <c r="G111" s="379" t="s">
        <v>694</v>
      </c>
      <c r="H111" s="379" t="s">
        <v>695</v>
      </c>
      <c r="I111" s="381">
        <v>161.16999999999999</v>
      </c>
      <c r="J111" s="381">
        <v>120</v>
      </c>
      <c r="K111" s="382">
        <v>19340.41</v>
      </c>
    </row>
    <row r="112" spans="1:11" ht="14.4" customHeight="1" x14ac:dyDescent="0.3">
      <c r="A112" s="377" t="s">
        <v>377</v>
      </c>
      <c r="B112" s="378" t="s">
        <v>470</v>
      </c>
      <c r="C112" s="379" t="s">
        <v>383</v>
      </c>
      <c r="D112" s="380" t="s">
        <v>471</v>
      </c>
      <c r="E112" s="379" t="s">
        <v>840</v>
      </c>
      <c r="F112" s="380" t="s">
        <v>841</v>
      </c>
      <c r="G112" s="379" t="s">
        <v>696</v>
      </c>
      <c r="H112" s="379" t="s">
        <v>697</v>
      </c>
      <c r="I112" s="381">
        <v>114.2</v>
      </c>
      <c r="J112" s="381">
        <v>180</v>
      </c>
      <c r="K112" s="382">
        <v>20556.830000000002</v>
      </c>
    </row>
    <row r="113" spans="1:11" ht="14.4" customHeight="1" x14ac:dyDescent="0.3">
      <c r="A113" s="377" t="s">
        <v>377</v>
      </c>
      <c r="B113" s="378" t="s">
        <v>470</v>
      </c>
      <c r="C113" s="379" t="s">
        <v>383</v>
      </c>
      <c r="D113" s="380" t="s">
        <v>471</v>
      </c>
      <c r="E113" s="379" t="s">
        <v>840</v>
      </c>
      <c r="F113" s="380" t="s">
        <v>841</v>
      </c>
      <c r="G113" s="379" t="s">
        <v>698</v>
      </c>
      <c r="H113" s="379" t="s">
        <v>699</v>
      </c>
      <c r="I113" s="381">
        <v>130.97666666666666</v>
      </c>
      <c r="J113" s="381">
        <v>216</v>
      </c>
      <c r="K113" s="382">
        <v>28290.629999999997</v>
      </c>
    </row>
    <row r="114" spans="1:11" ht="14.4" customHeight="1" x14ac:dyDescent="0.3">
      <c r="A114" s="377" t="s">
        <v>377</v>
      </c>
      <c r="B114" s="378" t="s">
        <v>470</v>
      </c>
      <c r="C114" s="379" t="s">
        <v>383</v>
      </c>
      <c r="D114" s="380" t="s">
        <v>471</v>
      </c>
      <c r="E114" s="379" t="s">
        <v>840</v>
      </c>
      <c r="F114" s="380" t="s">
        <v>841</v>
      </c>
      <c r="G114" s="379" t="s">
        <v>700</v>
      </c>
      <c r="H114" s="379" t="s">
        <v>701</v>
      </c>
      <c r="I114" s="381">
        <v>44.53</v>
      </c>
      <c r="J114" s="381">
        <v>108</v>
      </c>
      <c r="K114" s="382">
        <v>4809.0200000000004</v>
      </c>
    </row>
    <row r="115" spans="1:11" ht="14.4" customHeight="1" x14ac:dyDescent="0.3">
      <c r="A115" s="377" t="s">
        <v>377</v>
      </c>
      <c r="B115" s="378" t="s">
        <v>470</v>
      </c>
      <c r="C115" s="379" t="s">
        <v>383</v>
      </c>
      <c r="D115" s="380" t="s">
        <v>471</v>
      </c>
      <c r="E115" s="379" t="s">
        <v>840</v>
      </c>
      <c r="F115" s="380" t="s">
        <v>841</v>
      </c>
      <c r="G115" s="379" t="s">
        <v>702</v>
      </c>
      <c r="H115" s="379" t="s">
        <v>703</v>
      </c>
      <c r="I115" s="381">
        <v>120.35</v>
      </c>
      <c r="J115" s="381">
        <v>96</v>
      </c>
      <c r="K115" s="382">
        <v>11554.05</v>
      </c>
    </row>
    <row r="116" spans="1:11" ht="14.4" customHeight="1" x14ac:dyDescent="0.3">
      <c r="A116" s="377" t="s">
        <v>377</v>
      </c>
      <c r="B116" s="378" t="s">
        <v>470</v>
      </c>
      <c r="C116" s="379" t="s">
        <v>383</v>
      </c>
      <c r="D116" s="380" t="s">
        <v>471</v>
      </c>
      <c r="E116" s="379" t="s">
        <v>840</v>
      </c>
      <c r="F116" s="380" t="s">
        <v>841</v>
      </c>
      <c r="G116" s="379" t="s">
        <v>704</v>
      </c>
      <c r="H116" s="379" t="s">
        <v>705</v>
      </c>
      <c r="I116" s="381">
        <v>75.040000000000006</v>
      </c>
      <c r="J116" s="381">
        <v>108</v>
      </c>
      <c r="K116" s="382">
        <v>8104.32</v>
      </c>
    </row>
    <row r="117" spans="1:11" ht="14.4" customHeight="1" x14ac:dyDescent="0.3">
      <c r="A117" s="377" t="s">
        <v>377</v>
      </c>
      <c r="B117" s="378" t="s">
        <v>470</v>
      </c>
      <c r="C117" s="379" t="s">
        <v>383</v>
      </c>
      <c r="D117" s="380" t="s">
        <v>471</v>
      </c>
      <c r="E117" s="379" t="s">
        <v>840</v>
      </c>
      <c r="F117" s="380" t="s">
        <v>841</v>
      </c>
      <c r="G117" s="379" t="s">
        <v>706</v>
      </c>
      <c r="H117" s="379" t="s">
        <v>707</v>
      </c>
      <c r="I117" s="381">
        <v>48.5</v>
      </c>
      <c r="J117" s="381">
        <v>36</v>
      </c>
      <c r="K117" s="382">
        <v>1745.84</v>
      </c>
    </row>
    <row r="118" spans="1:11" ht="14.4" customHeight="1" x14ac:dyDescent="0.3">
      <c r="A118" s="377" t="s">
        <v>377</v>
      </c>
      <c r="B118" s="378" t="s">
        <v>470</v>
      </c>
      <c r="C118" s="379" t="s">
        <v>383</v>
      </c>
      <c r="D118" s="380" t="s">
        <v>471</v>
      </c>
      <c r="E118" s="379" t="s">
        <v>840</v>
      </c>
      <c r="F118" s="380" t="s">
        <v>841</v>
      </c>
      <c r="G118" s="379" t="s">
        <v>708</v>
      </c>
      <c r="H118" s="379" t="s">
        <v>709</v>
      </c>
      <c r="I118" s="381">
        <v>60.43</v>
      </c>
      <c r="J118" s="381">
        <v>216</v>
      </c>
      <c r="K118" s="382">
        <v>13053.420000000002</v>
      </c>
    </row>
    <row r="119" spans="1:11" ht="14.4" customHeight="1" x14ac:dyDescent="0.3">
      <c r="A119" s="377" t="s">
        <v>377</v>
      </c>
      <c r="B119" s="378" t="s">
        <v>470</v>
      </c>
      <c r="C119" s="379" t="s">
        <v>383</v>
      </c>
      <c r="D119" s="380" t="s">
        <v>471</v>
      </c>
      <c r="E119" s="379" t="s">
        <v>840</v>
      </c>
      <c r="F119" s="380" t="s">
        <v>841</v>
      </c>
      <c r="G119" s="379" t="s">
        <v>710</v>
      </c>
      <c r="H119" s="379" t="s">
        <v>711</v>
      </c>
      <c r="I119" s="381">
        <v>154.77000000000001</v>
      </c>
      <c r="J119" s="381">
        <v>48</v>
      </c>
      <c r="K119" s="382">
        <v>7429</v>
      </c>
    </row>
    <row r="120" spans="1:11" ht="14.4" customHeight="1" x14ac:dyDescent="0.3">
      <c r="A120" s="377" t="s">
        <v>377</v>
      </c>
      <c r="B120" s="378" t="s">
        <v>470</v>
      </c>
      <c r="C120" s="379" t="s">
        <v>383</v>
      </c>
      <c r="D120" s="380" t="s">
        <v>471</v>
      </c>
      <c r="E120" s="379" t="s">
        <v>840</v>
      </c>
      <c r="F120" s="380" t="s">
        <v>841</v>
      </c>
      <c r="G120" s="379" t="s">
        <v>712</v>
      </c>
      <c r="H120" s="379" t="s">
        <v>713</v>
      </c>
      <c r="I120" s="381">
        <v>153.66999999999999</v>
      </c>
      <c r="J120" s="381">
        <v>252</v>
      </c>
      <c r="K120" s="382">
        <v>38724.519999999997</v>
      </c>
    </row>
    <row r="121" spans="1:11" ht="14.4" customHeight="1" x14ac:dyDescent="0.3">
      <c r="A121" s="377" t="s">
        <v>377</v>
      </c>
      <c r="B121" s="378" t="s">
        <v>470</v>
      </c>
      <c r="C121" s="379" t="s">
        <v>383</v>
      </c>
      <c r="D121" s="380" t="s">
        <v>471</v>
      </c>
      <c r="E121" s="379" t="s">
        <v>840</v>
      </c>
      <c r="F121" s="380" t="s">
        <v>841</v>
      </c>
      <c r="G121" s="379" t="s">
        <v>714</v>
      </c>
      <c r="H121" s="379" t="s">
        <v>715</v>
      </c>
      <c r="I121" s="381">
        <v>41.9</v>
      </c>
      <c r="J121" s="381">
        <v>720</v>
      </c>
      <c r="K121" s="382">
        <v>30167.49</v>
      </c>
    </row>
    <row r="122" spans="1:11" ht="14.4" customHeight="1" x14ac:dyDescent="0.3">
      <c r="A122" s="377" t="s">
        <v>377</v>
      </c>
      <c r="B122" s="378" t="s">
        <v>470</v>
      </c>
      <c r="C122" s="379" t="s">
        <v>383</v>
      </c>
      <c r="D122" s="380" t="s">
        <v>471</v>
      </c>
      <c r="E122" s="379" t="s">
        <v>840</v>
      </c>
      <c r="F122" s="380" t="s">
        <v>841</v>
      </c>
      <c r="G122" s="379" t="s">
        <v>716</v>
      </c>
      <c r="H122" s="379" t="s">
        <v>717</v>
      </c>
      <c r="I122" s="381">
        <v>69.36</v>
      </c>
      <c r="J122" s="381">
        <v>72</v>
      </c>
      <c r="K122" s="382">
        <v>4993.99</v>
      </c>
    </row>
    <row r="123" spans="1:11" ht="14.4" customHeight="1" x14ac:dyDescent="0.3">
      <c r="A123" s="377" t="s">
        <v>377</v>
      </c>
      <c r="B123" s="378" t="s">
        <v>470</v>
      </c>
      <c r="C123" s="379" t="s">
        <v>383</v>
      </c>
      <c r="D123" s="380" t="s">
        <v>471</v>
      </c>
      <c r="E123" s="379" t="s">
        <v>842</v>
      </c>
      <c r="F123" s="380" t="s">
        <v>843</v>
      </c>
      <c r="G123" s="379" t="s">
        <v>718</v>
      </c>
      <c r="H123" s="379" t="s">
        <v>719</v>
      </c>
      <c r="I123" s="381">
        <v>0.3</v>
      </c>
      <c r="J123" s="381">
        <v>200</v>
      </c>
      <c r="K123" s="382">
        <v>60</v>
      </c>
    </row>
    <row r="124" spans="1:11" ht="14.4" customHeight="1" x14ac:dyDescent="0.3">
      <c r="A124" s="377" t="s">
        <v>377</v>
      </c>
      <c r="B124" s="378" t="s">
        <v>470</v>
      </c>
      <c r="C124" s="379" t="s">
        <v>383</v>
      </c>
      <c r="D124" s="380" t="s">
        <v>471</v>
      </c>
      <c r="E124" s="379" t="s">
        <v>842</v>
      </c>
      <c r="F124" s="380" t="s">
        <v>843</v>
      </c>
      <c r="G124" s="379" t="s">
        <v>720</v>
      </c>
      <c r="H124" s="379" t="s">
        <v>721</v>
      </c>
      <c r="I124" s="381">
        <v>0.3</v>
      </c>
      <c r="J124" s="381">
        <v>100</v>
      </c>
      <c r="K124" s="382">
        <v>30</v>
      </c>
    </row>
    <row r="125" spans="1:11" ht="14.4" customHeight="1" x14ac:dyDescent="0.3">
      <c r="A125" s="377" t="s">
        <v>377</v>
      </c>
      <c r="B125" s="378" t="s">
        <v>470</v>
      </c>
      <c r="C125" s="379" t="s">
        <v>383</v>
      </c>
      <c r="D125" s="380" t="s">
        <v>471</v>
      </c>
      <c r="E125" s="379" t="s">
        <v>842</v>
      </c>
      <c r="F125" s="380" t="s">
        <v>843</v>
      </c>
      <c r="G125" s="379" t="s">
        <v>722</v>
      </c>
      <c r="H125" s="379" t="s">
        <v>723</v>
      </c>
      <c r="I125" s="381">
        <v>10.99</v>
      </c>
      <c r="J125" s="381">
        <v>100</v>
      </c>
      <c r="K125" s="382">
        <v>1098.68</v>
      </c>
    </row>
    <row r="126" spans="1:11" ht="14.4" customHeight="1" x14ac:dyDescent="0.3">
      <c r="A126" s="377" t="s">
        <v>377</v>
      </c>
      <c r="B126" s="378" t="s">
        <v>470</v>
      </c>
      <c r="C126" s="379" t="s">
        <v>383</v>
      </c>
      <c r="D126" s="380" t="s">
        <v>471</v>
      </c>
      <c r="E126" s="379" t="s">
        <v>842</v>
      </c>
      <c r="F126" s="380" t="s">
        <v>843</v>
      </c>
      <c r="G126" s="379" t="s">
        <v>724</v>
      </c>
      <c r="H126" s="379" t="s">
        <v>725</v>
      </c>
      <c r="I126" s="381">
        <v>10.45</v>
      </c>
      <c r="J126" s="381">
        <v>50</v>
      </c>
      <c r="K126" s="382">
        <v>522.72</v>
      </c>
    </row>
    <row r="127" spans="1:11" ht="14.4" customHeight="1" x14ac:dyDescent="0.3">
      <c r="A127" s="377" t="s">
        <v>377</v>
      </c>
      <c r="B127" s="378" t="s">
        <v>470</v>
      </c>
      <c r="C127" s="379" t="s">
        <v>383</v>
      </c>
      <c r="D127" s="380" t="s">
        <v>471</v>
      </c>
      <c r="E127" s="379" t="s">
        <v>842</v>
      </c>
      <c r="F127" s="380" t="s">
        <v>843</v>
      </c>
      <c r="G127" s="379" t="s">
        <v>726</v>
      </c>
      <c r="H127" s="379" t="s">
        <v>727</v>
      </c>
      <c r="I127" s="381">
        <v>10.984999999999999</v>
      </c>
      <c r="J127" s="381">
        <v>100</v>
      </c>
      <c r="K127" s="382">
        <v>1098.52</v>
      </c>
    </row>
    <row r="128" spans="1:11" ht="14.4" customHeight="1" x14ac:dyDescent="0.3">
      <c r="A128" s="377" t="s">
        <v>377</v>
      </c>
      <c r="B128" s="378" t="s">
        <v>470</v>
      </c>
      <c r="C128" s="379" t="s">
        <v>383</v>
      </c>
      <c r="D128" s="380" t="s">
        <v>471</v>
      </c>
      <c r="E128" s="379" t="s">
        <v>842</v>
      </c>
      <c r="F128" s="380" t="s">
        <v>843</v>
      </c>
      <c r="G128" s="379" t="s">
        <v>728</v>
      </c>
      <c r="H128" s="379" t="s">
        <v>729</v>
      </c>
      <c r="I128" s="381">
        <v>25.51</v>
      </c>
      <c r="J128" s="381">
        <v>24</v>
      </c>
      <c r="K128" s="382">
        <v>612.29999999999995</v>
      </c>
    </row>
    <row r="129" spans="1:11" ht="14.4" customHeight="1" x14ac:dyDescent="0.3">
      <c r="A129" s="377" t="s">
        <v>377</v>
      </c>
      <c r="B129" s="378" t="s">
        <v>470</v>
      </c>
      <c r="C129" s="379" t="s">
        <v>383</v>
      </c>
      <c r="D129" s="380" t="s">
        <v>471</v>
      </c>
      <c r="E129" s="379" t="s">
        <v>842</v>
      </c>
      <c r="F129" s="380" t="s">
        <v>843</v>
      </c>
      <c r="G129" s="379" t="s">
        <v>730</v>
      </c>
      <c r="H129" s="379" t="s">
        <v>731</v>
      </c>
      <c r="I129" s="381">
        <v>21.68</v>
      </c>
      <c r="J129" s="381">
        <v>24</v>
      </c>
      <c r="K129" s="382">
        <v>520.29999999999995</v>
      </c>
    </row>
    <row r="130" spans="1:11" ht="14.4" customHeight="1" x14ac:dyDescent="0.3">
      <c r="A130" s="377" t="s">
        <v>377</v>
      </c>
      <c r="B130" s="378" t="s">
        <v>470</v>
      </c>
      <c r="C130" s="379" t="s">
        <v>383</v>
      </c>
      <c r="D130" s="380" t="s">
        <v>471</v>
      </c>
      <c r="E130" s="379" t="s">
        <v>842</v>
      </c>
      <c r="F130" s="380" t="s">
        <v>843</v>
      </c>
      <c r="G130" s="379" t="s">
        <v>732</v>
      </c>
      <c r="H130" s="379" t="s">
        <v>733</v>
      </c>
      <c r="I130" s="381">
        <v>13.21</v>
      </c>
      <c r="J130" s="381">
        <v>100</v>
      </c>
      <c r="K130" s="382">
        <v>1321.32</v>
      </c>
    </row>
    <row r="131" spans="1:11" ht="14.4" customHeight="1" x14ac:dyDescent="0.3">
      <c r="A131" s="377" t="s">
        <v>377</v>
      </c>
      <c r="B131" s="378" t="s">
        <v>470</v>
      </c>
      <c r="C131" s="379" t="s">
        <v>383</v>
      </c>
      <c r="D131" s="380" t="s">
        <v>471</v>
      </c>
      <c r="E131" s="379" t="s">
        <v>842</v>
      </c>
      <c r="F131" s="380" t="s">
        <v>843</v>
      </c>
      <c r="G131" s="379" t="s">
        <v>734</v>
      </c>
      <c r="H131" s="379" t="s">
        <v>735</v>
      </c>
      <c r="I131" s="381">
        <v>10.984999999999999</v>
      </c>
      <c r="J131" s="381">
        <v>160</v>
      </c>
      <c r="K131" s="382">
        <v>1757.24</v>
      </c>
    </row>
    <row r="132" spans="1:11" ht="14.4" customHeight="1" x14ac:dyDescent="0.3">
      <c r="A132" s="377" t="s">
        <v>377</v>
      </c>
      <c r="B132" s="378" t="s">
        <v>470</v>
      </c>
      <c r="C132" s="379" t="s">
        <v>383</v>
      </c>
      <c r="D132" s="380" t="s">
        <v>471</v>
      </c>
      <c r="E132" s="379" t="s">
        <v>842</v>
      </c>
      <c r="F132" s="380" t="s">
        <v>843</v>
      </c>
      <c r="G132" s="379" t="s">
        <v>736</v>
      </c>
      <c r="H132" s="379" t="s">
        <v>737</v>
      </c>
      <c r="I132" s="381">
        <v>25.51</v>
      </c>
      <c r="J132" s="381">
        <v>24</v>
      </c>
      <c r="K132" s="382">
        <v>612.29999999999995</v>
      </c>
    </row>
    <row r="133" spans="1:11" ht="14.4" customHeight="1" x14ac:dyDescent="0.3">
      <c r="A133" s="377" t="s">
        <v>377</v>
      </c>
      <c r="B133" s="378" t="s">
        <v>470</v>
      </c>
      <c r="C133" s="379" t="s">
        <v>383</v>
      </c>
      <c r="D133" s="380" t="s">
        <v>471</v>
      </c>
      <c r="E133" s="379" t="s">
        <v>842</v>
      </c>
      <c r="F133" s="380" t="s">
        <v>843</v>
      </c>
      <c r="G133" s="379" t="s">
        <v>738</v>
      </c>
      <c r="H133" s="379" t="s">
        <v>739</v>
      </c>
      <c r="I133" s="381">
        <v>25.51</v>
      </c>
      <c r="J133" s="381">
        <v>24</v>
      </c>
      <c r="K133" s="382">
        <v>612.29999999999995</v>
      </c>
    </row>
    <row r="134" spans="1:11" ht="14.4" customHeight="1" x14ac:dyDescent="0.3">
      <c r="A134" s="377" t="s">
        <v>377</v>
      </c>
      <c r="B134" s="378" t="s">
        <v>470</v>
      </c>
      <c r="C134" s="379" t="s">
        <v>383</v>
      </c>
      <c r="D134" s="380" t="s">
        <v>471</v>
      </c>
      <c r="E134" s="379" t="s">
        <v>842</v>
      </c>
      <c r="F134" s="380" t="s">
        <v>843</v>
      </c>
      <c r="G134" s="379" t="s">
        <v>740</v>
      </c>
      <c r="H134" s="379" t="s">
        <v>741</v>
      </c>
      <c r="I134" s="381">
        <v>25.51</v>
      </c>
      <c r="J134" s="381">
        <v>24</v>
      </c>
      <c r="K134" s="382">
        <v>612.29999999999995</v>
      </c>
    </row>
    <row r="135" spans="1:11" ht="14.4" customHeight="1" x14ac:dyDescent="0.3">
      <c r="A135" s="377" t="s">
        <v>377</v>
      </c>
      <c r="B135" s="378" t="s">
        <v>470</v>
      </c>
      <c r="C135" s="379" t="s">
        <v>383</v>
      </c>
      <c r="D135" s="380" t="s">
        <v>471</v>
      </c>
      <c r="E135" s="379" t="s">
        <v>842</v>
      </c>
      <c r="F135" s="380" t="s">
        <v>843</v>
      </c>
      <c r="G135" s="379" t="s">
        <v>742</v>
      </c>
      <c r="H135" s="379" t="s">
        <v>743</v>
      </c>
      <c r="I135" s="381">
        <v>10.45</v>
      </c>
      <c r="J135" s="381">
        <v>50</v>
      </c>
      <c r="K135" s="382">
        <v>522.72</v>
      </c>
    </row>
    <row r="136" spans="1:11" ht="14.4" customHeight="1" x14ac:dyDescent="0.3">
      <c r="A136" s="377" t="s">
        <v>377</v>
      </c>
      <c r="B136" s="378" t="s">
        <v>470</v>
      </c>
      <c r="C136" s="379" t="s">
        <v>383</v>
      </c>
      <c r="D136" s="380" t="s">
        <v>471</v>
      </c>
      <c r="E136" s="379" t="s">
        <v>842</v>
      </c>
      <c r="F136" s="380" t="s">
        <v>843</v>
      </c>
      <c r="G136" s="379" t="s">
        <v>744</v>
      </c>
      <c r="H136" s="379" t="s">
        <v>745</v>
      </c>
      <c r="I136" s="381">
        <v>13.21</v>
      </c>
      <c r="J136" s="381">
        <v>100</v>
      </c>
      <c r="K136" s="382">
        <v>1321.32</v>
      </c>
    </row>
    <row r="137" spans="1:11" ht="14.4" customHeight="1" x14ac:dyDescent="0.3">
      <c r="A137" s="377" t="s">
        <v>377</v>
      </c>
      <c r="B137" s="378" t="s">
        <v>470</v>
      </c>
      <c r="C137" s="379" t="s">
        <v>383</v>
      </c>
      <c r="D137" s="380" t="s">
        <v>471</v>
      </c>
      <c r="E137" s="379" t="s">
        <v>844</v>
      </c>
      <c r="F137" s="380" t="s">
        <v>845</v>
      </c>
      <c r="G137" s="379" t="s">
        <v>746</v>
      </c>
      <c r="H137" s="379" t="s">
        <v>747</v>
      </c>
      <c r="I137" s="381">
        <v>16.21</v>
      </c>
      <c r="J137" s="381">
        <v>300</v>
      </c>
      <c r="K137" s="382">
        <v>4864.2</v>
      </c>
    </row>
    <row r="138" spans="1:11" ht="14.4" customHeight="1" x14ac:dyDescent="0.3">
      <c r="A138" s="377" t="s">
        <v>377</v>
      </c>
      <c r="B138" s="378" t="s">
        <v>470</v>
      </c>
      <c r="C138" s="379" t="s">
        <v>383</v>
      </c>
      <c r="D138" s="380" t="s">
        <v>471</v>
      </c>
      <c r="E138" s="379" t="s">
        <v>844</v>
      </c>
      <c r="F138" s="380" t="s">
        <v>845</v>
      </c>
      <c r="G138" s="379" t="s">
        <v>748</v>
      </c>
      <c r="H138" s="379" t="s">
        <v>749</v>
      </c>
      <c r="I138" s="381">
        <v>20.693333333333332</v>
      </c>
      <c r="J138" s="381">
        <v>200</v>
      </c>
      <c r="K138" s="382">
        <v>4138.3999999999996</v>
      </c>
    </row>
    <row r="139" spans="1:11" ht="14.4" customHeight="1" x14ac:dyDescent="0.3">
      <c r="A139" s="377" t="s">
        <v>377</v>
      </c>
      <c r="B139" s="378" t="s">
        <v>470</v>
      </c>
      <c r="C139" s="379" t="s">
        <v>383</v>
      </c>
      <c r="D139" s="380" t="s">
        <v>471</v>
      </c>
      <c r="E139" s="379" t="s">
        <v>844</v>
      </c>
      <c r="F139" s="380" t="s">
        <v>845</v>
      </c>
      <c r="G139" s="379" t="s">
        <v>750</v>
      </c>
      <c r="H139" s="379" t="s">
        <v>751</v>
      </c>
      <c r="I139" s="381">
        <v>16.21</v>
      </c>
      <c r="J139" s="381">
        <v>300</v>
      </c>
      <c r="K139" s="382">
        <v>4864.3999999999996</v>
      </c>
    </row>
    <row r="140" spans="1:11" ht="14.4" customHeight="1" x14ac:dyDescent="0.3">
      <c r="A140" s="377" t="s">
        <v>377</v>
      </c>
      <c r="B140" s="378" t="s">
        <v>470</v>
      </c>
      <c r="C140" s="379" t="s">
        <v>383</v>
      </c>
      <c r="D140" s="380" t="s">
        <v>471</v>
      </c>
      <c r="E140" s="379" t="s">
        <v>844</v>
      </c>
      <c r="F140" s="380" t="s">
        <v>845</v>
      </c>
      <c r="G140" s="379" t="s">
        <v>752</v>
      </c>
      <c r="H140" s="379" t="s">
        <v>753</v>
      </c>
      <c r="I140" s="381">
        <v>11.01</v>
      </c>
      <c r="J140" s="381">
        <v>1440</v>
      </c>
      <c r="K140" s="382">
        <v>15854.4</v>
      </c>
    </row>
    <row r="141" spans="1:11" ht="14.4" customHeight="1" x14ac:dyDescent="0.3">
      <c r="A141" s="377" t="s">
        <v>377</v>
      </c>
      <c r="B141" s="378" t="s">
        <v>470</v>
      </c>
      <c r="C141" s="379" t="s">
        <v>383</v>
      </c>
      <c r="D141" s="380" t="s">
        <v>471</v>
      </c>
      <c r="E141" s="379" t="s">
        <v>844</v>
      </c>
      <c r="F141" s="380" t="s">
        <v>845</v>
      </c>
      <c r="G141" s="379" t="s">
        <v>754</v>
      </c>
      <c r="H141" s="379" t="s">
        <v>755</v>
      </c>
      <c r="I141" s="381">
        <v>11.01</v>
      </c>
      <c r="J141" s="381">
        <v>1440</v>
      </c>
      <c r="K141" s="382">
        <v>15854.4</v>
      </c>
    </row>
    <row r="142" spans="1:11" ht="14.4" customHeight="1" x14ac:dyDescent="0.3">
      <c r="A142" s="377" t="s">
        <v>377</v>
      </c>
      <c r="B142" s="378" t="s">
        <v>470</v>
      </c>
      <c r="C142" s="379" t="s">
        <v>383</v>
      </c>
      <c r="D142" s="380" t="s">
        <v>471</v>
      </c>
      <c r="E142" s="379" t="s">
        <v>844</v>
      </c>
      <c r="F142" s="380" t="s">
        <v>845</v>
      </c>
      <c r="G142" s="379" t="s">
        <v>756</v>
      </c>
      <c r="H142" s="379" t="s">
        <v>757</v>
      </c>
      <c r="I142" s="381">
        <v>11.01</v>
      </c>
      <c r="J142" s="381">
        <v>1440</v>
      </c>
      <c r="K142" s="382">
        <v>15854.4</v>
      </c>
    </row>
    <row r="143" spans="1:11" ht="14.4" customHeight="1" x14ac:dyDescent="0.3">
      <c r="A143" s="377" t="s">
        <v>377</v>
      </c>
      <c r="B143" s="378" t="s">
        <v>470</v>
      </c>
      <c r="C143" s="379" t="s">
        <v>383</v>
      </c>
      <c r="D143" s="380" t="s">
        <v>471</v>
      </c>
      <c r="E143" s="379" t="s">
        <v>844</v>
      </c>
      <c r="F143" s="380" t="s">
        <v>845</v>
      </c>
      <c r="G143" s="379" t="s">
        <v>758</v>
      </c>
      <c r="H143" s="379" t="s">
        <v>759</v>
      </c>
      <c r="I143" s="381">
        <v>0.71</v>
      </c>
      <c r="J143" s="381">
        <v>2000</v>
      </c>
      <c r="K143" s="382">
        <v>1420</v>
      </c>
    </row>
    <row r="144" spans="1:11" ht="14.4" customHeight="1" x14ac:dyDescent="0.3">
      <c r="A144" s="377" t="s">
        <v>377</v>
      </c>
      <c r="B144" s="378" t="s">
        <v>470</v>
      </c>
      <c r="C144" s="379" t="s">
        <v>383</v>
      </c>
      <c r="D144" s="380" t="s">
        <v>471</v>
      </c>
      <c r="E144" s="379" t="s">
        <v>844</v>
      </c>
      <c r="F144" s="380" t="s">
        <v>845</v>
      </c>
      <c r="G144" s="379" t="s">
        <v>760</v>
      </c>
      <c r="H144" s="379" t="s">
        <v>761</v>
      </c>
      <c r="I144" s="381">
        <v>0.71</v>
      </c>
      <c r="J144" s="381">
        <v>10000</v>
      </c>
      <c r="K144" s="382">
        <v>7100</v>
      </c>
    </row>
    <row r="145" spans="1:11" ht="14.4" customHeight="1" x14ac:dyDescent="0.3">
      <c r="A145" s="377" t="s">
        <v>377</v>
      </c>
      <c r="B145" s="378" t="s">
        <v>470</v>
      </c>
      <c r="C145" s="379" t="s">
        <v>383</v>
      </c>
      <c r="D145" s="380" t="s">
        <v>471</v>
      </c>
      <c r="E145" s="379" t="s">
        <v>846</v>
      </c>
      <c r="F145" s="380" t="s">
        <v>847</v>
      </c>
      <c r="G145" s="379" t="s">
        <v>762</v>
      </c>
      <c r="H145" s="379" t="s">
        <v>763</v>
      </c>
      <c r="I145" s="381">
        <v>38.68</v>
      </c>
      <c r="J145" s="381">
        <v>170</v>
      </c>
      <c r="K145" s="382">
        <v>6601.880000000001</v>
      </c>
    </row>
    <row r="146" spans="1:11" ht="14.4" customHeight="1" x14ac:dyDescent="0.3">
      <c r="A146" s="377" t="s">
        <v>377</v>
      </c>
      <c r="B146" s="378" t="s">
        <v>470</v>
      </c>
      <c r="C146" s="379" t="s">
        <v>383</v>
      </c>
      <c r="D146" s="380" t="s">
        <v>471</v>
      </c>
      <c r="E146" s="379" t="s">
        <v>846</v>
      </c>
      <c r="F146" s="380" t="s">
        <v>847</v>
      </c>
      <c r="G146" s="379" t="s">
        <v>764</v>
      </c>
      <c r="H146" s="379" t="s">
        <v>765</v>
      </c>
      <c r="I146" s="381">
        <v>56.39</v>
      </c>
      <c r="J146" s="381">
        <v>120</v>
      </c>
      <c r="K146" s="382">
        <v>6766.32</v>
      </c>
    </row>
    <row r="147" spans="1:11" ht="14.4" customHeight="1" x14ac:dyDescent="0.3">
      <c r="A147" s="377" t="s">
        <v>377</v>
      </c>
      <c r="B147" s="378" t="s">
        <v>470</v>
      </c>
      <c r="C147" s="379" t="s">
        <v>383</v>
      </c>
      <c r="D147" s="380" t="s">
        <v>471</v>
      </c>
      <c r="E147" s="379" t="s">
        <v>846</v>
      </c>
      <c r="F147" s="380" t="s">
        <v>847</v>
      </c>
      <c r="G147" s="379" t="s">
        <v>766</v>
      </c>
      <c r="H147" s="379" t="s">
        <v>767</v>
      </c>
      <c r="I147" s="381">
        <v>13.79</v>
      </c>
      <c r="J147" s="381">
        <v>50</v>
      </c>
      <c r="K147" s="382">
        <v>689.7</v>
      </c>
    </row>
    <row r="148" spans="1:11" ht="14.4" customHeight="1" x14ac:dyDescent="0.3">
      <c r="A148" s="377" t="s">
        <v>377</v>
      </c>
      <c r="B148" s="378" t="s">
        <v>470</v>
      </c>
      <c r="C148" s="379" t="s">
        <v>383</v>
      </c>
      <c r="D148" s="380" t="s">
        <v>471</v>
      </c>
      <c r="E148" s="379" t="s">
        <v>846</v>
      </c>
      <c r="F148" s="380" t="s">
        <v>847</v>
      </c>
      <c r="G148" s="379" t="s">
        <v>768</v>
      </c>
      <c r="H148" s="379" t="s">
        <v>769</v>
      </c>
      <c r="I148" s="381">
        <v>31.34</v>
      </c>
      <c r="J148" s="381">
        <v>50</v>
      </c>
      <c r="K148" s="382">
        <v>1566.95</v>
      </c>
    </row>
    <row r="149" spans="1:11" ht="14.4" customHeight="1" x14ac:dyDescent="0.3">
      <c r="A149" s="377" t="s">
        <v>377</v>
      </c>
      <c r="B149" s="378" t="s">
        <v>470</v>
      </c>
      <c r="C149" s="379" t="s">
        <v>383</v>
      </c>
      <c r="D149" s="380" t="s">
        <v>471</v>
      </c>
      <c r="E149" s="379" t="s">
        <v>846</v>
      </c>
      <c r="F149" s="380" t="s">
        <v>847</v>
      </c>
      <c r="G149" s="379" t="s">
        <v>770</v>
      </c>
      <c r="H149" s="379" t="s">
        <v>771</v>
      </c>
      <c r="I149" s="381">
        <v>50.65</v>
      </c>
      <c r="J149" s="381">
        <v>800</v>
      </c>
      <c r="K149" s="382">
        <v>40520.78</v>
      </c>
    </row>
    <row r="150" spans="1:11" ht="14.4" customHeight="1" x14ac:dyDescent="0.3">
      <c r="A150" s="377" t="s">
        <v>377</v>
      </c>
      <c r="B150" s="378" t="s">
        <v>470</v>
      </c>
      <c r="C150" s="379" t="s">
        <v>383</v>
      </c>
      <c r="D150" s="380" t="s">
        <v>471</v>
      </c>
      <c r="E150" s="379" t="s">
        <v>846</v>
      </c>
      <c r="F150" s="380" t="s">
        <v>847</v>
      </c>
      <c r="G150" s="379" t="s">
        <v>772</v>
      </c>
      <c r="H150" s="379" t="s">
        <v>773</v>
      </c>
      <c r="I150" s="381">
        <v>10.74</v>
      </c>
      <c r="J150" s="381">
        <v>100</v>
      </c>
      <c r="K150" s="382">
        <v>1074.48</v>
      </c>
    </row>
    <row r="151" spans="1:11" ht="14.4" customHeight="1" x14ac:dyDescent="0.3">
      <c r="A151" s="377" t="s">
        <v>377</v>
      </c>
      <c r="B151" s="378" t="s">
        <v>470</v>
      </c>
      <c r="C151" s="379" t="s">
        <v>383</v>
      </c>
      <c r="D151" s="380" t="s">
        <v>471</v>
      </c>
      <c r="E151" s="379" t="s">
        <v>846</v>
      </c>
      <c r="F151" s="380" t="s">
        <v>847</v>
      </c>
      <c r="G151" s="379" t="s">
        <v>774</v>
      </c>
      <c r="H151" s="379" t="s">
        <v>775</v>
      </c>
      <c r="I151" s="381">
        <v>91.84</v>
      </c>
      <c r="J151" s="381">
        <v>100</v>
      </c>
      <c r="K151" s="382">
        <v>9183.84</v>
      </c>
    </row>
    <row r="152" spans="1:11" ht="14.4" customHeight="1" x14ac:dyDescent="0.3">
      <c r="A152" s="377" t="s">
        <v>377</v>
      </c>
      <c r="B152" s="378" t="s">
        <v>470</v>
      </c>
      <c r="C152" s="379" t="s">
        <v>388</v>
      </c>
      <c r="D152" s="380" t="s">
        <v>472</v>
      </c>
      <c r="E152" s="379" t="s">
        <v>832</v>
      </c>
      <c r="F152" s="380" t="s">
        <v>833</v>
      </c>
      <c r="G152" s="379" t="s">
        <v>776</v>
      </c>
      <c r="H152" s="379" t="s">
        <v>777</v>
      </c>
      <c r="I152" s="381">
        <v>183.09</v>
      </c>
      <c r="J152" s="381">
        <v>3</v>
      </c>
      <c r="K152" s="382">
        <v>549.27</v>
      </c>
    </row>
    <row r="153" spans="1:11" ht="14.4" customHeight="1" x14ac:dyDescent="0.3">
      <c r="A153" s="377" t="s">
        <v>377</v>
      </c>
      <c r="B153" s="378" t="s">
        <v>470</v>
      </c>
      <c r="C153" s="379" t="s">
        <v>388</v>
      </c>
      <c r="D153" s="380" t="s">
        <v>472</v>
      </c>
      <c r="E153" s="379" t="s">
        <v>832</v>
      </c>
      <c r="F153" s="380" t="s">
        <v>833</v>
      </c>
      <c r="G153" s="379" t="s">
        <v>778</v>
      </c>
      <c r="H153" s="379" t="s">
        <v>779</v>
      </c>
      <c r="I153" s="381">
        <v>2.4</v>
      </c>
      <c r="J153" s="381">
        <v>120</v>
      </c>
      <c r="K153" s="382">
        <v>288</v>
      </c>
    </row>
    <row r="154" spans="1:11" ht="14.4" customHeight="1" x14ac:dyDescent="0.3">
      <c r="A154" s="377" t="s">
        <v>377</v>
      </c>
      <c r="B154" s="378" t="s">
        <v>470</v>
      </c>
      <c r="C154" s="379" t="s">
        <v>388</v>
      </c>
      <c r="D154" s="380" t="s">
        <v>472</v>
      </c>
      <c r="E154" s="379" t="s">
        <v>832</v>
      </c>
      <c r="F154" s="380" t="s">
        <v>833</v>
      </c>
      <c r="G154" s="379" t="s">
        <v>780</v>
      </c>
      <c r="H154" s="379" t="s">
        <v>781</v>
      </c>
      <c r="I154" s="381">
        <v>0.4</v>
      </c>
      <c r="J154" s="381">
        <v>12000</v>
      </c>
      <c r="K154" s="382">
        <v>4800</v>
      </c>
    </row>
    <row r="155" spans="1:11" ht="14.4" customHeight="1" x14ac:dyDescent="0.3">
      <c r="A155" s="377" t="s">
        <v>377</v>
      </c>
      <c r="B155" s="378" t="s">
        <v>470</v>
      </c>
      <c r="C155" s="379" t="s">
        <v>388</v>
      </c>
      <c r="D155" s="380" t="s">
        <v>472</v>
      </c>
      <c r="E155" s="379" t="s">
        <v>832</v>
      </c>
      <c r="F155" s="380" t="s">
        <v>833</v>
      </c>
      <c r="G155" s="379" t="s">
        <v>782</v>
      </c>
      <c r="H155" s="379" t="s">
        <v>783</v>
      </c>
      <c r="I155" s="381">
        <v>65.2</v>
      </c>
      <c r="J155" s="381">
        <v>80</v>
      </c>
      <c r="K155" s="382">
        <v>5216</v>
      </c>
    </row>
    <row r="156" spans="1:11" ht="14.4" customHeight="1" x14ac:dyDescent="0.3">
      <c r="A156" s="377" t="s">
        <v>377</v>
      </c>
      <c r="B156" s="378" t="s">
        <v>470</v>
      </c>
      <c r="C156" s="379" t="s">
        <v>388</v>
      </c>
      <c r="D156" s="380" t="s">
        <v>472</v>
      </c>
      <c r="E156" s="379" t="s">
        <v>832</v>
      </c>
      <c r="F156" s="380" t="s">
        <v>833</v>
      </c>
      <c r="G156" s="379" t="s">
        <v>784</v>
      </c>
      <c r="H156" s="379" t="s">
        <v>785</v>
      </c>
      <c r="I156" s="381">
        <v>0.14000000000000001</v>
      </c>
      <c r="J156" s="381">
        <v>100</v>
      </c>
      <c r="K156" s="382">
        <v>14</v>
      </c>
    </row>
    <row r="157" spans="1:11" ht="14.4" customHeight="1" x14ac:dyDescent="0.3">
      <c r="A157" s="377" t="s">
        <v>377</v>
      </c>
      <c r="B157" s="378" t="s">
        <v>470</v>
      </c>
      <c r="C157" s="379" t="s">
        <v>388</v>
      </c>
      <c r="D157" s="380" t="s">
        <v>472</v>
      </c>
      <c r="E157" s="379" t="s">
        <v>832</v>
      </c>
      <c r="F157" s="380" t="s">
        <v>833</v>
      </c>
      <c r="G157" s="379" t="s">
        <v>786</v>
      </c>
      <c r="H157" s="379" t="s">
        <v>787</v>
      </c>
      <c r="I157" s="381">
        <v>15.53</v>
      </c>
      <c r="J157" s="381">
        <v>80</v>
      </c>
      <c r="K157" s="382">
        <v>1242.3900000000001</v>
      </c>
    </row>
    <row r="158" spans="1:11" ht="14.4" customHeight="1" x14ac:dyDescent="0.3">
      <c r="A158" s="377" t="s">
        <v>377</v>
      </c>
      <c r="B158" s="378" t="s">
        <v>470</v>
      </c>
      <c r="C158" s="379" t="s">
        <v>388</v>
      </c>
      <c r="D158" s="380" t="s">
        <v>472</v>
      </c>
      <c r="E158" s="379" t="s">
        <v>832</v>
      </c>
      <c r="F158" s="380" t="s">
        <v>833</v>
      </c>
      <c r="G158" s="379" t="s">
        <v>492</v>
      </c>
      <c r="H158" s="379" t="s">
        <v>493</v>
      </c>
      <c r="I158" s="381">
        <v>0.43</v>
      </c>
      <c r="J158" s="381">
        <v>2000</v>
      </c>
      <c r="K158" s="382">
        <v>860</v>
      </c>
    </row>
    <row r="159" spans="1:11" ht="14.4" customHeight="1" x14ac:dyDescent="0.3">
      <c r="A159" s="377" t="s">
        <v>377</v>
      </c>
      <c r="B159" s="378" t="s">
        <v>470</v>
      </c>
      <c r="C159" s="379" t="s">
        <v>388</v>
      </c>
      <c r="D159" s="380" t="s">
        <v>472</v>
      </c>
      <c r="E159" s="379" t="s">
        <v>832</v>
      </c>
      <c r="F159" s="380" t="s">
        <v>833</v>
      </c>
      <c r="G159" s="379" t="s">
        <v>496</v>
      </c>
      <c r="H159" s="379" t="s">
        <v>497</v>
      </c>
      <c r="I159" s="381">
        <v>54.86</v>
      </c>
      <c r="J159" s="381">
        <v>130</v>
      </c>
      <c r="K159" s="382">
        <v>7131.8</v>
      </c>
    </row>
    <row r="160" spans="1:11" ht="14.4" customHeight="1" x14ac:dyDescent="0.3">
      <c r="A160" s="377" t="s">
        <v>377</v>
      </c>
      <c r="B160" s="378" t="s">
        <v>470</v>
      </c>
      <c r="C160" s="379" t="s">
        <v>388</v>
      </c>
      <c r="D160" s="380" t="s">
        <v>472</v>
      </c>
      <c r="E160" s="379" t="s">
        <v>832</v>
      </c>
      <c r="F160" s="380" t="s">
        <v>833</v>
      </c>
      <c r="G160" s="379" t="s">
        <v>506</v>
      </c>
      <c r="H160" s="379" t="s">
        <v>507</v>
      </c>
      <c r="I160" s="381">
        <v>357.46</v>
      </c>
      <c r="J160" s="381">
        <v>48</v>
      </c>
      <c r="K160" s="382">
        <v>17158.080000000002</v>
      </c>
    </row>
    <row r="161" spans="1:11" ht="14.4" customHeight="1" x14ac:dyDescent="0.3">
      <c r="A161" s="377" t="s">
        <v>377</v>
      </c>
      <c r="B161" s="378" t="s">
        <v>470</v>
      </c>
      <c r="C161" s="379" t="s">
        <v>388</v>
      </c>
      <c r="D161" s="380" t="s">
        <v>472</v>
      </c>
      <c r="E161" s="379" t="s">
        <v>832</v>
      </c>
      <c r="F161" s="380" t="s">
        <v>833</v>
      </c>
      <c r="G161" s="379" t="s">
        <v>508</v>
      </c>
      <c r="H161" s="379" t="s">
        <v>509</v>
      </c>
      <c r="I161" s="381">
        <v>64.91</v>
      </c>
      <c r="J161" s="381">
        <v>156</v>
      </c>
      <c r="K161" s="382">
        <v>10125.82</v>
      </c>
    </row>
    <row r="162" spans="1:11" ht="14.4" customHeight="1" x14ac:dyDescent="0.3">
      <c r="A162" s="377" t="s">
        <v>377</v>
      </c>
      <c r="B162" s="378" t="s">
        <v>470</v>
      </c>
      <c r="C162" s="379" t="s">
        <v>388</v>
      </c>
      <c r="D162" s="380" t="s">
        <v>472</v>
      </c>
      <c r="E162" s="379" t="s">
        <v>832</v>
      </c>
      <c r="F162" s="380" t="s">
        <v>833</v>
      </c>
      <c r="G162" s="379" t="s">
        <v>788</v>
      </c>
      <c r="H162" s="379" t="s">
        <v>789</v>
      </c>
      <c r="I162" s="381">
        <v>10.72</v>
      </c>
      <c r="J162" s="381">
        <v>120</v>
      </c>
      <c r="K162" s="382">
        <v>1286.1600000000001</v>
      </c>
    </row>
    <row r="163" spans="1:11" ht="14.4" customHeight="1" x14ac:dyDescent="0.3">
      <c r="A163" s="377" t="s">
        <v>377</v>
      </c>
      <c r="B163" s="378" t="s">
        <v>470</v>
      </c>
      <c r="C163" s="379" t="s">
        <v>388</v>
      </c>
      <c r="D163" s="380" t="s">
        <v>472</v>
      </c>
      <c r="E163" s="379" t="s">
        <v>832</v>
      </c>
      <c r="F163" s="380" t="s">
        <v>833</v>
      </c>
      <c r="G163" s="379" t="s">
        <v>790</v>
      </c>
      <c r="H163" s="379" t="s">
        <v>791</v>
      </c>
      <c r="I163" s="381">
        <v>9.27</v>
      </c>
      <c r="J163" s="381">
        <v>120</v>
      </c>
      <c r="K163" s="382">
        <v>1112.28</v>
      </c>
    </row>
    <row r="164" spans="1:11" ht="14.4" customHeight="1" x14ac:dyDescent="0.3">
      <c r="A164" s="377" t="s">
        <v>377</v>
      </c>
      <c r="B164" s="378" t="s">
        <v>470</v>
      </c>
      <c r="C164" s="379" t="s">
        <v>388</v>
      </c>
      <c r="D164" s="380" t="s">
        <v>472</v>
      </c>
      <c r="E164" s="379" t="s">
        <v>832</v>
      </c>
      <c r="F164" s="380" t="s">
        <v>833</v>
      </c>
      <c r="G164" s="379" t="s">
        <v>512</v>
      </c>
      <c r="H164" s="379" t="s">
        <v>513</v>
      </c>
      <c r="I164" s="381">
        <v>214.035</v>
      </c>
      <c r="J164" s="381">
        <v>12</v>
      </c>
      <c r="K164" s="382">
        <v>2568.38</v>
      </c>
    </row>
    <row r="165" spans="1:11" ht="14.4" customHeight="1" x14ac:dyDescent="0.3">
      <c r="A165" s="377" t="s">
        <v>377</v>
      </c>
      <c r="B165" s="378" t="s">
        <v>470</v>
      </c>
      <c r="C165" s="379" t="s">
        <v>388</v>
      </c>
      <c r="D165" s="380" t="s">
        <v>472</v>
      </c>
      <c r="E165" s="379" t="s">
        <v>832</v>
      </c>
      <c r="F165" s="380" t="s">
        <v>833</v>
      </c>
      <c r="G165" s="379" t="s">
        <v>792</v>
      </c>
      <c r="H165" s="379" t="s">
        <v>793</v>
      </c>
      <c r="I165" s="381">
        <v>0.89</v>
      </c>
      <c r="J165" s="381">
        <v>500</v>
      </c>
      <c r="K165" s="382">
        <v>443.46</v>
      </c>
    </row>
    <row r="166" spans="1:11" ht="14.4" customHeight="1" x14ac:dyDescent="0.3">
      <c r="A166" s="377" t="s">
        <v>377</v>
      </c>
      <c r="B166" s="378" t="s">
        <v>470</v>
      </c>
      <c r="C166" s="379" t="s">
        <v>388</v>
      </c>
      <c r="D166" s="380" t="s">
        <v>472</v>
      </c>
      <c r="E166" s="379" t="s">
        <v>832</v>
      </c>
      <c r="F166" s="380" t="s">
        <v>833</v>
      </c>
      <c r="G166" s="379" t="s">
        <v>516</v>
      </c>
      <c r="H166" s="379" t="s">
        <v>517</v>
      </c>
      <c r="I166" s="381">
        <v>0.86</v>
      </c>
      <c r="J166" s="381">
        <v>400</v>
      </c>
      <c r="K166" s="382">
        <v>344</v>
      </c>
    </row>
    <row r="167" spans="1:11" ht="14.4" customHeight="1" x14ac:dyDescent="0.3">
      <c r="A167" s="377" t="s">
        <v>377</v>
      </c>
      <c r="B167" s="378" t="s">
        <v>470</v>
      </c>
      <c r="C167" s="379" t="s">
        <v>388</v>
      </c>
      <c r="D167" s="380" t="s">
        <v>472</v>
      </c>
      <c r="E167" s="379" t="s">
        <v>832</v>
      </c>
      <c r="F167" s="380" t="s">
        <v>833</v>
      </c>
      <c r="G167" s="379" t="s">
        <v>794</v>
      </c>
      <c r="H167" s="379" t="s">
        <v>795</v>
      </c>
      <c r="I167" s="381">
        <v>1.51</v>
      </c>
      <c r="J167" s="381">
        <v>400</v>
      </c>
      <c r="K167" s="382">
        <v>604</v>
      </c>
    </row>
    <row r="168" spans="1:11" ht="14.4" customHeight="1" x14ac:dyDescent="0.3">
      <c r="A168" s="377" t="s">
        <v>377</v>
      </c>
      <c r="B168" s="378" t="s">
        <v>470</v>
      </c>
      <c r="C168" s="379" t="s">
        <v>388</v>
      </c>
      <c r="D168" s="380" t="s">
        <v>472</v>
      </c>
      <c r="E168" s="379" t="s">
        <v>832</v>
      </c>
      <c r="F168" s="380" t="s">
        <v>833</v>
      </c>
      <c r="G168" s="379" t="s">
        <v>796</v>
      </c>
      <c r="H168" s="379" t="s">
        <v>797</v>
      </c>
      <c r="I168" s="381">
        <v>2.06</v>
      </c>
      <c r="J168" s="381">
        <v>400</v>
      </c>
      <c r="K168" s="382">
        <v>824</v>
      </c>
    </row>
    <row r="169" spans="1:11" ht="14.4" customHeight="1" x14ac:dyDescent="0.3">
      <c r="A169" s="377" t="s">
        <v>377</v>
      </c>
      <c r="B169" s="378" t="s">
        <v>470</v>
      </c>
      <c r="C169" s="379" t="s">
        <v>388</v>
      </c>
      <c r="D169" s="380" t="s">
        <v>472</v>
      </c>
      <c r="E169" s="379" t="s">
        <v>832</v>
      </c>
      <c r="F169" s="380" t="s">
        <v>833</v>
      </c>
      <c r="G169" s="379" t="s">
        <v>798</v>
      </c>
      <c r="H169" s="379" t="s">
        <v>799</v>
      </c>
      <c r="I169" s="381">
        <v>3.36</v>
      </c>
      <c r="J169" s="381">
        <v>400</v>
      </c>
      <c r="K169" s="382">
        <v>1344</v>
      </c>
    </row>
    <row r="170" spans="1:11" ht="14.4" customHeight="1" x14ac:dyDescent="0.3">
      <c r="A170" s="377" t="s">
        <v>377</v>
      </c>
      <c r="B170" s="378" t="s">
        <v>470</v>
      </c>
      <c r="C170" s="379" t="s">
        <v>388</v>
      </c>
      <c r="D170" s="380" t="s">
        <v>472</v>
      </c>
      <c r="E170" s="379" t="s">
        <v>832</v>
      </c>
      <c r="F170" s="380" t="s">
        <v>833</v>
      </c>
      <c r="G170" s="379" t="s">
        <v>800</v>
      </c>
      <c r="H170" s="379" t="s">
        <v>801</v>
      </c>
      <c r="I170" s="381">
        <v>0.28000000000000003</v>
      </c>
      <c r="J170" s="381">
        <v>24000</v>
      </c>
      <c r="K170" s="382">
        <v>6762</v>
      </c>
    </row>
    <row r="171" spans="1:11" ht="14.4" customHeight="1" x14ac:dyDescent="0.3">
      <c r="A171" s="377" t="s">
        <v>377</v>
      </c>
      <c r="B171" s="378" t="s">
        <v>470</v>
      </c>
      <c r="C171" s="379" t="s">
        <v>388</v>
      </c>
      <c r="D171" s="380" t="s">
        <v>472</v>
      </c>
      <c r="E171" s="379" t="s">
        <v>832</v>
      </c>
      <c r="F171" s="380" t="s">
        <v>833</v>
      </c>
      <c r="G171" s="379" t="s">
        <v>524</v>
      </c>
      <c r="H171" s="379" t="s">
        <v>525</v>
      </c>
      <c r="I171" s="381">
        <v>664.6</v>
      </c>
      <c r="J171" s="381">
        <v>48</v>
      </c>
      <c r="K171" s="382">
        <v>31901</v>
      </c>
    </row>
    <row r="172" spans="1:11" ht="14.4" customHeight="1" x14ac:dyDescent="0.3">
      <c r="A172" s="377" t="s">
        <v>377</v>
      </c>
      <c r="B172" s="378" t="s">
        <v>470</v>
      </c>
      <c r="C172" s="379" t="s">
        <v>388</v>
      </c>
      <c r="D172" s="380" t="s">
        <v>472</v>
      </c>
      <c r="E172" s="379" t="s">
        <v>832</v>
      </c>
      <c r="F172" s="380" t="s">
        <v>833</v>
      </c>
      <c r="G172" s="379" t="s">
        <v>526</v>
      </c>
      <c r="H172" s="379" t="s">
        <v>527</v>
      </c>
      <c r="I172" s="381">
        <v>7.17</v>
      </c>
      <c r="J172" s="381">
        <v>2000</v>
      </c>
      <c r="K172" s="382">
        <v>14349.75</v>
      </c>
    </row>
    <row r="173" spans="1:11" ht="14.4" customHeight="1" x14ac:dyDescent="0.3">
      <c r="A173" s="377" t="s">
        <v>377</v>
      </c>
      <c r="B173" s="378" t="s">
        <v>470</v>
      </c>
      <c r="C173" s="379" t="s">
        <v>388</v>
      </c>
      <c r="D173" s="380" t="s">
        <v>472</v>
      </c>
      <c r="E173" s="379" t="s">
        <v>832</v>
      </c>
      <c r="F173" s="380" t="s">
        <v>833</v>
      </c>
      <c r="G173" s="379" t="s">
        <v>802</v>
      </c>
      <c r="H173" s="379" t="s">
        <v>803</v>
      </c>
      <c r="I173" s="381">
        <v>2.62</v>
      </c>
      <c r="J173" s="381">
        <v>300</v>
      </c>
      <c r="K173" s="382">
        <v>786.59999999999991</v>
      </c>
    </row>
    <row r="174" spans="1:11" ht="14.4" customHeight="1" x14ac:dyDescent="0.3">
      <c r="A174" s="377" t="s">
        <v>377</v>
      </c>
      <c r="B174" s="378" t="s">
        <v>470</v>
      </c>
      <c r="C174" s="379" t="s">
        <v>388</v>
      </c>
      <c r="D174" s="380" t="s">
        <v>472</v>
      </c>
      <c r="E174" s="379" t="s">
        <v>832</v>
      </c>
      <c r="F174" s="380" t="s">
        <v>833</v>
      </c>
      <c r="G174" s="379" t="s">
        <v>804</v>
      </c>
      <c r="H174" s="379" t="s">
        <v>805</v>
      </c>
      <c r="I174" s="381">
        <v>4.5199999999999996</v>
      </c>
      <c r="J174" s="381">
        <v>1000</v>
      </c>
      <c r="K174" s="382">
        <v>4519.5</v>
      </c>
    </row>
    <row r="175" spans="1:11" ht="14.4" customHeight="1" x14ac:dyDescent="0.3">
      <c r="A175" s="377" t="s">
        <v>377</v>
      </c>
      <c r="B175" s="378" t="s">
        <v>470</v>
      </c>
      <c r="C175" s="379" t="s">
        <v>388</v>
      </c>
      <c r="D175" s="380" t="s">
        <v>472</v>
      </c>
      <c r="E175" s="379" t="s">
        <v>832</v>
      </c>
      <c r="F175" s="380" t="s">
        <v>833</v>
      </c>
      <c r="G175" s="379" t="s">
        <v>806</v>
      </c>
      <c r="H175" s="379" t="s">
        <v>807</v>
      </c>
      <c r="I175" s="381">
        <v>262.68</v>
      </c>
      <c r="J175" s="381">
        <v>48</v>
      </c>
      <c r="K175" s="382">
        <v>12608.6</v>
      </c>
    </row>
    <row r="176" spans="1:11" ht="14.4" customHeight="1" x14ac:dyDescent="0.3">
      <c r="A176" s="377" t="s">
        <v>377</v>
      </c>
      <c r="B176" s="378" t="s">
        <v>470</v>
      </c>
      <c r="C176" s="379" t="s">
        <v>388</v>
      </c>
      <c r="D176" s="380" t="s">
        <v>472</v>
      </c>
      <c r="E176" s="379" t="s">
        <v>832</v>
      </c>
      <c r="F176" s="380" t="s">
        <v>833</v>
      </c>
      <c r="G176" s="379" t="s">
        <v>808</v>
      </c>
      <c r="H176" s="379" t="s">
        <v>809</v>
      </c>
      <c r="I176" s="381">
        <v>69</v>
      </c>
      <c r="J176" s="381">
        <v>80</v>
      </c>
      <c r="K176" s="382">
        <v>5520</v>
      </c>
    </row>
    <row r="177" spans="1:11" ht="14.4" customHeight="1" x14ac:dyDescent="0.3">
      <c r="A177" s="377" t="s">
        <v>377</v>
      </c>
      <c r="B177" s="378" t="s">
        <v>470</v>
      </c>
      <c r="C177" s="379" t="s">
        <v>388</v>
      </c>
      <c r="D177" s="380" t="s">
        <v>472</v>
      </c>
      <c r="E177" s="379" t="s">
        <v>832</v>
      </c>
      <c r="F177" s="380" t="s">
        <v>833</v>
      </c>
      <c r="G177" s="379" t="s">
        <v>810</v>
      </c>
      <c r="H177" s="379" t="s">
        <v>811</v>
      </c>
      <c r="I177" s="381">
        <v>123.05</v>
      </c>
      <c r="J177" s="381">
        <v>100</v>
      </c>
      <c r="K177" s="382">
        <v>12305</v>
      </c>
    </row>
    <row r="178" spans="1:11" ht="14.4" customHeight="1" x14ac:dyDescent="0.3">
      <c r="A178" s="377" t="s">
        <v>377</v>
      </c>
      <c r="B178" s="378" t="s">
        <v>470</v>
      </c>
      <c r="C178" s="379" t="s">
        <v>388</v>
      </c>
      <c r="D178" s="380" t="s">
        <v>472</v>
      </c>
      <c r="E178" s="379" t="s">
        <v>832</v>
      </c>
      <c r="F178" s="380" t="s">
        <v>833</v>
      </c>
      <c r="G178" s="379" t="s">
        <v>812</v>
      </c>
      <c r="H178" s="379" t="s">
        <v>813</v>
      </c>
      <c r="I178" s="381">
        <v>1147.32</v>
      </c>
      <c r="J178" s="381">
        <v>24</v>
      </c>
      <c r="K178" s="382">
        <v>27535.599999999999</v>
      </c>
    </row>
    <row r="179" spans="1:11" ht="14.4" customHeight="1" x14ac:dyDescent="0.3">
      <c r="A179" s="377" t="s">
        <v>377</v>
      </c>
      <c r="B179" s="378" t="s">
        <v>470</v>
      </c>
      <c r="C179" s="379" t="s">
        <v>388</v>
      </c>
      <c r="D179" s="380" t="s">
        <v>472</v>
      </c>
      <c r="E179" s="379" t="s">
        <v>834</v>
      </c>
      <c r="F179" s="380" t="s">
        <v>835</v>
      </c>
      <c r="G179" s="379" t="s">
        <v>540</v>
      </c>
      <c r="H179" s="379" t="s">
        <v>541</v>
      </c>
      <c r="I179" s="381">
        <v>11.64</v>
      </c>
      <c r="J179" s="381">
        <v>80</v>
      </c>
      <c r="K179" s="382">
        <v>931.2</v>
      </c>
    </row>
    <row r="180" spans="1:11" ht="14.4" customHeight="1" x14ac:dyDescent="0.3">
      <c r="A180" s="377" t="s">
        <v>377</v>
      </c>
      <c r="B180" s="378" t="s">
        <v>470</v>
      </c>
      <c r="C180" s="379" t="s">
        <v>388</v>
      </c>
      <c r="D180" s="380" t="s">
        <v>472</v>
      </c>
      <c r="E180" s="379" t="s">
        <v>834</v>
      </c>
      <c r="F180" s="380" t="s">
        <v>835</v>
      </c>
      <c r="G180" s="379" t="s">
        <v>542</v>
      </c>
      <c r="H180" s="379" t="s">
        <v>543</v>
      </c>
      <c r="I180" s="381">
        <v>16.399999999999999</v>
      </c>
      <c r="J180" s="381">
        <v>80</v>
      </c>
      <c r="K180" s="382">
        <v>1311.64</v>
      </c>
    </row>
    <row r="181" spans="1:11" ht="14.4" customHeight="1" x14ac:dyDescent="0.3">
      <c r="A181" s="377" t="s">
        <v>377</v>
      </c>
      <c r="B181" s="378" t="s">
        <v>470</v>
      </c>
      <c r="C181" s="379" t="s">
        <v>388</v>
      </c>
      <c r="D181" s="380" t="s">
        <v>472</v>
      </c>
      <c r="E181" s="379" t="s">
        <v>834</v>
      </c>
      <c r="F181" s="380" t="s">
        <v>835</v>
      </c>
      <c r="G181" s="379" t="s">
        <v>556</v>
      </c>
      <c r="H181" s="379" t="s">
        <v>557</v>
      </c>
      <c r="I181" s="381">
        <v>1.67</v>
      </c>
      <c r="J181" s="381">
        <v>100</v>
      </c>
      <c r="K181" s="382">
        <v>167</v>
      </c>
    </row>
    <row r="182" spans="1:11" ht="14.4" customHeight="1" x14ac:dyDescent="0.3">
      <c r="A182" s="377" t="s">
        <v>377</v>
      </c>
      <c r="B182" s="378" t="s">
        <v>470</v>
      </c>
      <c r="C182" s="379" t="s">
        <v>388</v>
      </c>
      <c r="D182" s="380" t="s">
        <v>472</v>
      </c>
      <c r="E182" s="379" t="s">
        <v>834</v>
      </c>
      <c r="F182" s="380" t="s">
        <v>835</v>
      </c>
      <c r="G182" s="379" t="s">
        <v>558</v>
      </c>
      <c r="H182" s="379" t="s">
        <v>559</v>
      </c>
      <c r="I182" s="381">
        <v>0.48</v>
      </c>
      <c r="J182" s="381">
        <v>100</v>
      </c>
      <c r="K182" s="382">
        <v>48</v>
      </c>
    </row>
    <row r="183" spans="1:11" ht="14.4" customHeight="1" x14ac:dyDescent="0.3">
      <c r="A183" s="377" t="s">
        <v>377</v>
      </c>
      <c r="B183" s="378" t="s">
        <v>470</v>
      </c>
      <c r="C183" s="379" t="s">
        <v>388</v>
      </c>
      <c r="D183" s="380" t="s">
        <v>472</v>
      </c>
      <c r="E183" s="379" t="s">
        <v>834</v>
      </c>
      <c r="F183" s="380" t="s">
        <v>835</v>
      </c>
      <c r="G183" s="379" t="s">
        <v>564</v>
      </c>
      <c r="H183" s="379" t="s">
        <v>565</v>
      </c>
      <c r="I183" s="381">
        <v>80.576666666666654</v>
      </c>
      <c r="J183" s="381">
        <v>360</v>
      </c>
      <c r="K183" s="382">
        <v>29006.799999999999</v>
      </c>
    </row>
    <row r="184" spans="1:11" ht="14.4" customHeight="1" x14ac:dyDescent="0.3">
      <c r="A184" s="377" t="s">
        <v>377</v>
      </c>
      <c r="B184" s="378" t="s">
        <v>470</v>
      </c>
      <c r="C184" s="379" t="s">
        <v>388</v>
      </c>
      <c r="D184" s="380" t="s">
        <v>472</v>
      </c>
      <c r="E184" s="379" t="s">
        <v>834</v>
      </c>
      <c r="F184" s="380" t="s">
        <v>835</v>
      </c>
      <c r="G184" s="379" t="s">
        <v>814</v>
      </c>
      <c r="H184" s="379" t="s">
        <v>815</v>
      </c>
      <c r="I184" s="381">
        <v>3749.5</v>
      </c>
      <c r="J184" s="381">
        <v>10</v>
      </c>
      <c r="K184" s="382">
        <v>37495</v>
      </c>
    </row>
    <row r="185" spans="1:11" ht="14.4" customHeight="1" x14ac:dyDescent="0.3">
      <c r="A185" s="377" t="s">
        <v>377</v>
      </c>
      <c r="B185" s="378" t="s">
        <v>470</v>
      </c>
      <c r="C185" s="379" t="s">
        <v>388</v>
      </c>
      <c r="D185" s="380" t="s">
        <v>472</v>
      </c>
      <c r="E185" s="379" t="s">
        <v>834</v>
      </c>
      <c r="F185" s="380" t="s">
        <v>835</v>
      </c>
      <c r="G185" s="379" t="s">
        <v>816</v>
      </c>
      <c r="H185" s="379" t="s">
        <v>817</v>
      </c>
      <c r="I185" s="381">
        <v>350.9</v>
      </c>
      <c r="J185" s="381">
        <v>40</v>
      </c>
      <c r="K185" s="382">
        <v>14036</v>
      </c>
    </row>
    <row r="186" spans="1:11" ht="14.4" customHeight="1" x14ac:dyDescent="0.3">
      <c r="A186" s="377" t="s">
        <v>377</v>
      </c>
      <c r="B186" s="378" t="s">
        <v>470</v>
      </c>
      <c r="C186" s="379" t="s">
        <v>388</v>
      </c>
      <c r="D186" s="380" t="s">
        <v>472</v>
      </c>
      <c r="E186" s="379" t="s">
        <v>834</v>
      </c>
      <c r="F186" s="380" t="s">
        <v>835</v>
      </c>
      <c r="G186" s="379" t="s">
        <v>818</v>
      </c>
      <c r="H186" s="379" t="s">
        <v>819</v>
      </c>
      <c r="I186" s="381">
        <v>64.13</v>
      </c>
      <c r="J186" s="381">
        <v>24</v>
      </c>
      <c r="K186" s="382">
        <v>1539.12</v>
      </c>
    </row>
    <row r="187" spans="1:11" ht="14.4" customHeight="1" x14ac:dyDescent="0.3">
      <c r="A187" s="377" t="s">
        <v>377</v>
      </c>
      <c r="B187" s="378" t="s">
        <v>470</v>
      </c>
      <c r="C187" s="379" t="s">
        <v>388</v>
      </c>
      <c r="D187" s="380" t="s">
        <v>472</v>
      </c>
      <c r="E187" s="379" t="s">
        <v>834</v>
      </c>
      <c r="F187" s="380" t="s">
        <v>835</v>
      </c>
      <c r="G187" s="379" t="s">
        <v>820</v>
      </c>
      <c r="H187" s="379" t="s">
        <v>821</v>
      </c>
      <c r="I187" s="381">
        <v>482.79</v>
      </c>
      <c r="J187" s="381">
        <v>25</v>
      </c>
      <c r="K187" s="382">
        <v>12069.75</v>
      </c>
    </row>
    <row r="188" spans="1:11" ht="14.4" customHeight="1" x14ac:dyDescent="0.3">
      <c r="A188" s="377" t="s">
        <v>377</v>
      </c>
      <c r="B188" s="378" t="s">
        <v>470</v>
      </c>
      <c r="C188" s="379" t="s">
        <v>388</v>
      </c>
      <c r="D188" s="380" t="s">
        <v>472</v>
      </c>
      <c r="E188" s="379" t="s">
        <v>834</v>
      </c>
      <c r="F188" s="380" t="s">
        <v>835</v>
      </c>
      <c r="G188" s="379" t="s">
        <v>822</v>
      </c>
      <c r="H188" s="379" t="s">
        <v>823</v>
      </c>
      <c r="I188" s="381">
        <v>6.05</v>
      </c>
      <c r="J188" s="381">
        <v>180</v>
      </c>
      <c r="K188" s="382">
        <v>1089</v>
      </c>
    </row>
    <row r="189" spans="1:11" ht="14.4" customHeight="1" x14ac:dyDescent="0.3">
      <c r="A189" s="377" t="s">
        <v>377</v>
      </c>
      <c r="B189" s="378" t="s">
        <v>470</v>
      </c>
      <c r="C189" s="379" t="s">
        <v>388</v>
      </c>
      <c r="D189" s="380" t="s">
        <v>472</v>
      </c>
      <c r="E189" s="379" t="s">
        <v>840</v>
      </c>
      <c r="F189" s="380" t="s">
        <v>841</v>
      </c>
      <c r="G189" s="379" t="s">
        <v>674</v>
      </c>
      <c r="H189" s="379" t="s">
        <v>675</v>
      </c>
      <c r="I189" s="381">
        <v>34.119999999999997</v>
      </c>
      <c r="J189" s="381">
        <v>72</v>
      </c>
      <c r="K189" s="382">
        <v>2456.6799999999998</v>
      </c>
    </row>
    <row r="190" spans="1:11" ht="14.4" customHeight="1" x14ac:dyDescent="0.3">
      <c r="A190" s="377" t="s">
        <v>377</v>
      </c>
      <c r="B190" s="378" t="s">
        <v>470</v>
      </c>
      <c r="C190" s="379" t="s">
        <v>388</v>
      </c>
      <c r="D190" s="380" t="s">
        <v>472</v>
      </c>
      <c r="E190" s="379" t="s">
        <v>840</v>
      </c>
      <c r="F190" s="380" t="s">
        <v>841</v>
      </c>
      <c r="G190" s="379" t="s">
        <v>678</v>
      </c>
      <c r="H190" s="379" t="s">
        <v>679</v>
      </c>
      <c r="I190" s="381">
        <v>31.36</v>
      </c>
      <c r="J190" s="381">
        <v>720</v>
      </c>
      <c r="K190" s="382">
        <v>22581.63</v>
      </c>
    </row>
    <row r="191" spans="1:11" ht="14.4" customHeight="1" x14ac:dyDescent="0.3">
      <c r="A191" s="377" t="s">
        <v>377</v>
      </c>
      <c r="B191" s="378" t="s">
        <v>470</v>
      </c>
      <c r="C191" s="379" t="s">
        <v>388</v>
      </c>
      <c r="D191" s="380" t="s">
        <v>472</v>
      </c>
      <c r="E191" s="379" t="s">
        <v>840</v>
      </c>
      <c r="F191" s="380" t="s">
        <v>841</v>
      </c>
      <c r="G191" s="379" t="s">
        <v>680</v>
      </c>
      <c r="H191" s="379" t="s">
        <v>681</v>
      </c>
      <c r="I191" s="381">
        <v>30.32</v>
      </c>
      <c r="J191" s="381">
        <v>720</v>
      </c>
      <c r="K191" s="382">
        <v>21828.84</v>
      </c>
    </row>
    <row r="192" spans="1:11" ht="14.4" customHeight="1" x14ac:dyDescent="0.3">
      <c r="A192" s="377" t="s">
        <v>377</v>
      </c>
      <c r="B192" s="378" t="s">
        <v>470</v>
      </c>
      <c r="C192" s="379" t="s">
        <v>388</v>
      </c>
      <c r="D192" s="380" t="s">
        <v>472</v>
      </c>
      <c r="E192" s="379" t="s">
        <v>840</v>
      </c>
      <c r="F192" s="380" t="s">
        <v>841</v>
      </c>
      <c r="G192" s="379" t="s">
        <v>824</v>
      </c>
      <c r="H192" s="379" t="s">
        <v>825</v>
      </c>
      <c r="I192" s="381">
        <v>315.33</v>
      </c>
      <c r="J192" s="381">
        <v>36</v>
      </c>
      <c r="K192" s="382">
        <v>11351.71</v>
      </c>
    </row>
    <row r="193" spans="1:11" ht="14.4" customHeight="1" x14ac:dyDescent="0.3">
      <c r="A193" s="377" t="s">
        <v>377</v>
      </c>
      <c r="B193" s="378" t="s">
        <v>470</v>
      </c>
      <c r="C193" s="379" t="s">
        <v>388</v>
      </c>
      <c r="D193" s="380" t="s">
        <v>472</v>
      </c>
      <c r="E193" s="379" t="s">
        <v>840</v>
      </c>
      <c r="F193" s="380" t="s">
        <v>841</v>
      </c>
      <c r="G193" s="379" t="s">
        <v>826</v>
      </c>
      <c r="H193" s="379" t="s">
        <v>827</v>
      </c>
      <c r="I193" s="381">
        <v>86.19</v>
      </c>
      <c r="J193" s="381">
        <v>36</v>
      </c>
      <c r="K193" s="382">
        <v>3102.72</v>
      </c>
    </row>
    <row r="194" spans="1:11" ht="14.4" customHeight="1" x14ac:dyDescent="0.3">
      <c r="A194" s="377" t="s">
        <v>377</v>
      </c>
      <c r="B194" s="378" t="s">
        <v>470</v>
      </c>
      <c r="C194" s="379" t="s">
        <v>388</v>
      </c>
      <c r="D194" s="380" t="s">
        <v>472</v>
      </c>
      <c r="E194" s="379" t="s">
        <v>840</v>
      </c>
      <c r="F194" s="380" t="s">
        <v>841</v>
      </c>
      <c r="G194" s="379" t="s">
        <v>698</v>
      </c>
      <c r="H194" s="379" t="s">
        <v>699</v>
      </c>
      <c r="I194" s="381">
        <v>130.97999999999999</v>
      </c>
      <c r="J194" s="381">
        <v>36</v>
      </c>
      <c r="K194" s="382">
        <v>4715.18</v>
      </c>
    </row>
    <row r="195" spans="1:11" ht="14.4" customHeight="1" x14ac:dyDescent="0.3">
      <c r="A195" s="377" t="s">
        <v>377</v>
      </c>
      <c r="B195" s="378" t="s">
        <v>470</v>
      </c>
      <c r="C195" s="379" t="s">
        <v>388</v>
      </c>
      <c r="D195" s="380" t="s">
        <v>472</v>
      </c>
      <c r="E195" s="379" t="s">
        <v>840</v>
      </c>
      <c r="F195" s="380" t="s">
        <v>841</v>
      </c>
      <c r="G195" s="379" t="s">
        <v>828</v>
      </c>
      <c r="H195" s="379" t="s">
        <v>829</v>
      </c>
      <c r="I195" s="381">
        <v>97.34</v>
      </c>
      <c r="J195" s="381">
        <v>36</v>
      </c>
      <c r="K195" s="382">
        <v>3504.34</v>
      </c>
    </row>
    <row r="196" spans="1:11" ht="14.4" customHeight="1" x14ac:dyDescent="0.3">
      <c r="A196" s="377" t="s">
        <v>377</v>
      </c>
      <c r="B196" s="378" t="s">
        <v>470</v>
      </c>
      <c r="C196" s="379" t="s">
        <v>388</v>
      </c>
      <c r="D196" s="380" t="s">
        <v>472</v>
      </c>
      <c r="E196" s="379" t="s">
        <v>844</v>
      </c>
      <c r="F196" s="380" t="s">
        <v>845</v>
      </c>
      <c r="G196" s="379" t="s">
        <v>754</v>
      </c>
      <c r="H196" s="379" t="s">
        <v>755</v>
      </c>
      <c r="I196" s="381">
        <v>11.01</v>
      </c>
      <c r="J196" s="381">
        <v>480</v>
      </c>
      <c r="K196" s="382">
        <v>5284.7999999999993</v>
      </c>
    </row>
    <row r="197" spans="1:11" ht="14.4" customHeight="1" x14ac:dyDescent="0.3">
      <c r="A197" s="377" t="s">
        <v>377</v>
      </c>
      <c r="B197" s="378" t="s">
        <v>470</v>
      </c>
      <c r="C197" s="379" t="s">
        <v>388</v>
      </c>
      <c r="D197" s="380" t="s">
        <v>472</v>
      </c>
      <c r="E197" s="379" t="s">
        <v>844</v>
      </c>
      <c r="F197" s="380" t="s">
        <v>845</v>
      </c>
      <c r="G197" s="379" t="s">
        <v>756</v>
      </c>
      <c r="H197" s="379" t="s">
        <v>757</v>
      </c>
      <c r="I197" s="381">
        <v>11.01</v>
      </c>
      <c r="J197" s="381">
        <v>480</v>
      </c>
      <c r="K197" s="382">
        <v>5284.8</v>
      </c>
    </row>
    <row r="198" spans="1:11" ht="14.4" customHeight="1" x14ac:dyDescent="0.3">
      <c r="A198" s="377" t="s">
        <v>377</v>
      </c>
      <c r="B198" s="378" t="s">
        <v>470</v>
      </c>
      <c r="C198" s="379" t="s">
        <v>388</v>
      </c>
      <c r="D198" s="380" t="s">
        <v>472</v>
      </c>
      <c r="E198" s="379" t="s">
        <v>846</v>
      </c>
      <c r="F198" s="380" t="s">
        <v>847</v>
      </c>
      <c r="G198" s="379" t="s">
        <v>830</v>
      </c>
      <c r="H198" s="379" t="s">
        <v>831</v>
      </c>
      <c r="I198" s="381">
        <v>68.510000000000005</v>
      </c>
      <c r="J198" s="381">
        <v>500</v>
      </c>
      <c r="K198" s="382">
        <v>34255.160000000003</v>
      </c>
    </row>
    <row r="199" spans="1:11" ht="14.4" customHeight="1" x14ac:dyDescent="0.3">
      <c r="A199" s="377" t="s">
        <v>377</v>
      </c>
      <c r="B199" s="378" t="s">
        <v>470</v>
      </c>
      <c r="C199" s="379" t="s">
        <v>388</v>
      </c>
      <c r="D199" s="380" t="s">
        <v>472</v>
      </c>
      <c r="E199" s="379" t="s">
        <v>846</v>
      </c>
      <c r="F199" s="380" t="s">
        <v>847</v>
      </c>
      <c r="G199" s="379" t="s">
        <v>762</v>
      </c>
      <c r="H199" s="379" t="s">
        <v>763</v>
      </c>
      <c r="I199" s="381">
        <v>36.06</v>
      </c>
      <c r="J199" s="381">
        <v>60</v>
      </c>
      <c r="K199" s="382">
        <v>2163.36</v>
      </c>
    </row>
    <row r="200" spans="1:11" ht="14.4" customHeight="1" x14ac:dyDescent="0.3">
      <c r="A200" s="377" t="s">
        <v>377</v>
      </c>
      <c r="B200" s="378" t="s">
        <v>470</v>
      </c>
      <c r="C200" s="379" t="s">
        <v>388</v>
      </c>
      <c r="D200" s="380" t="s">
        <v>472</v>
      </c>
      <c r="E200" s="379" t="s">
        <v>846</v>
      </c>
      <c r="F200" s="380" t="s">
        <v>847</v>
      </c>
      <c r="G200" s="379" t="s">
        <v>770</v>
      </c>
      <c r="H200" s="379" t="s">
        <v>771</v>
      </c>
      <c r="I200" s="381">
        <v>50.65</v>
      </c>
      <c r="J200" s="381">
        <v>600</v>
      </c>
      <c r="K200" s="382">
        <v>30390</v>
      </c>
    </row>
    <row r="201" spans="1:11" ht="14.4" customHeight="1" thickBot="1" x14ac:dyDescent="0.35">
      <c r="A201" s="383" t="s">
        <v>377</v>
      </c>
      <c r="B201" s="384" t="s">
        <v>470</v>
      </c>
      <c r="C201" s="385" t="s">
        <v>388</v>
      </c>
      <c r="D201" s="386" t="s">
        <v>472</v>
      </c>
      <c r="E201" s="385" t="s">
        <v>846</v>
      </c>
      <c r="F201" s="386" t="s">
        <v>847</v>
      </c>
      <c r="G201" s="385" t="s">
        <v>772</v>
      </c>
      <c r="H201" s="385" t="s">
        <v>773</v>
      </c>
      <c r="I201" s="387">
        <v>10.74</v>
      </c>
      <c r="J201" s="387">
        <v>50</v>
      </c>
      <c r="K201" s="388">
        <v>537.24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8" width="13.109375" hidden="1" customWidth="1"/>
    <col min="29" max="29" width="13.109375" customWidth="1"/>
    <col min="30" max="33" width="13.109375" hidden="1" customWidth="1"/>
  </cols>
  <sheetData>
    <row r="1" spans="1:34" ht="18.600000000000001" thickBot="1" x14ac:dyDescent="0.4">
      <c r="A1" s="328" t="s">
        <v>64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</row>
    <row r="2" spans="1:34" ht="15" thickBot="1" x14ac:dyDescent="0.35">
      <c r="A2" s="188" t="s">
        <v>219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</row>
    <row r="3" spans="1:34" x14ac:dyDescent="0.3">
      <c r="A3" s="207" t="s">
        <v>146</v>
      </c>
      <c r="B3" s="329" t="s">
        <v>127</v>
      </c>
      <c r="C3" s="190">
        <v>0</v>
      </c>
      <c r="D3" s="191">
        <v>101</v>
      </c>
      <c r="E3" s="191">
        <v>102</v>
      </c>
      <c r="F3" s="210">
        <v>305</v>
      </c>
      <c r="G3" s="210">
        <v>306</v>
      </c>
      <c r="H3" s="210">
        <v>408</v>
      </c>
      <c r="I3" s="210">
        <v>409</v>
      </c>
      <c r="J3" s="210">
        <v>410</v>
      </c>
      <c r="K3" s="210">
        <v>415</v>
      </c>
      <c r="L3" s="210">
        <v>416</v>
      </c>
      <c r="M3" s="210">
        <v>418</v>
      </c>
      <c r="N3" s="210">
        <v>419</v>
      </c>
      <c r="O3" s="210">
        <v>420</v>
      </c>
      <c r="P3" s="210">
        <v>421</v>
      </c>
      <c r="Q3" s="210">
        <v>522</v>
      </c>
      <c r="R3" s="210">
        <v>523</v>
      </c>
      <c r="S3" s="210">
        <v>524</v>
      </c>
      <c r="T3" s="210">
        <v>525</v>
      </c>
      <c r="U3" s="210">
        <v>526</v>
      </c>
      <c r="V3" s="210">
        <v>527</v>
      </c>
      <c r="W3" s="210">
        <v>528</v>
      </c>
      <c r="X3" s="210">
        <v>629</v>
      </c>
      <c r="Y3" s="210">
        <v>630</v>
      </c>
      <c r="Z3" s="210">
        <v>636</v>
      </c>
      <c r="AA3" s="210">
        <v>637</v>
      </c>
      <c r="AB3" s="210">
        <v>640</v>
      </c>
      <c r="AC3" s="210">
        <v>642</v>
      </c>
      <c r="AD3" s="210">
        <v>743</v>
      </c>
      <c r="AE3" s="191">
        <v>745</v>
      </c>
      <c r="AF3" s="191">
        <v>746</v>
      </c>
      <c r="AG3" s="440">
        <v>930</v>
      </c>
      <c r="AH3" s="456"/>
    </row>
    <row r="4" spans="1:34" ht="36.6" outlineLevel="1" thickBot="1" x14ac:dyDescent="0.35">
      <c r="A4" s="208">
        <v>2015</v>
      </c>
      <c r="B4" s="330"/>
      <c r="C4" s="192" t="s">
        <v>128</v>
      </c>
      <c r="D4" s="193" t="s">
        <v>129</v>
      </c>
      <c r="E4" s="193" t="s">
        <v>130</v>
      </c>
      <c r="F4" s="211" t="s">
        <v>158</v>
      </c>
      <c r="G4" s="211" t="s">
        <v>159</v>
      </c>
      <c r="H4" s="211" t="s">
        <v>160</v>
      </c>
      <c r="I4" s="211" t="s">
        <v>161</v>
      </c>
      <c r="J4" s="211" t="s">
        <v>162</v>
      </c>
      <c r="K4" s="211" t="s">
        <v>163</v>
      </c>
      <c r="L4" s="211" t="s">
        <v>164</v>
      </c>
      <c r="M4" s="211" t="s">
        <v>165</v>
      </c>
      <c r="N4" s="211" t="s">
        <v>166</v>
      </c>
      <c r="O4" s="211" t="s">
        <v>167</v>
      </c>
      <c r="P4" s="211" t="s">
        <v>168</v>
      </c>
      <c r="Q4" s="211" t="s">
        <v>169</v>
      </c>
      <c r="R4" s="211" t="s">
        <v>170</v>
      </c>
      <c r="S4" s="211" t="s">
        <v>171</v>
      </c>
      <c r="T4" s="211" t="s">
        <v>172</v>
      </c>
      <c r="U4" s="211" t="s">
        <v>173</v>
      </c>
      <c r="V4" s="211" t="s">
        <v>174</v>
      </c>
      <c r="W4" s="211" t="s">
        <v>183</v>
      </c>
      <c r="X4" s="211" t="s">
        <v>175</v>
      </c>
      <c r="Y4" s="211" t="s">
        <v>184</v>
      </c>
      <c r="Z4" s="211" t="s">
        <v>176</v>
      </c>
      <c r="AA4" s="211" t="s">
        <v>177</v>
      </c>
      <c r="AB4" s="211" t="s">
        <v>178</v>
      </c>
      <c r="AC4" s="211" t="s">
        <v>179</v>
      </c>
      <c r="AD4" s="211" t="s">
        <v>180</v>
      </c>
      <c r="AE4" s="193" t="s">
        <v>181</v>
      </c>
      <c r="AF4" s="193" t="s">
        <v>182</v>
      </c>
      <c r="AG4" s="441" t="s">
        <v>148</v>
      </c>
      <c r="AH4" s="456"/>
    </row>
    <row r="5" spans="1:34" x14ac:dyDescent="0.3">
      <c r="A5" s="194" t="s">
        <v>131</v>
      </c>
      <c r="B5" s="230"/>
      <c r="C5" s="231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442"/>
      <c r="AH5" s="456"/>
    </row>
    <row r="6" spans="1:34" ht="15" collapsed="1" thickBot="1" x14ac:dyDescent="0.35">
      <c r="A6" s="195" t="s">
        <v>58</v>
      </c>
      <c r="B6" s="233">
        <f xml:space="preserve">
TRUNC(IF($A$4&lt;=12,SUMIFS('ON Data'!F:F,'ON Data'!$D:$D,$A$4,'ON Data'!$E:$E,1),SUMIFS('ON Data'!F:F,'ON Data'!$E:$E,1)/'ON Data'!$D$3),1)</f>
        <v>54.1</v>
      </c>
      <c r="C6" s="234">
        <f xml:space="preserve">
TRUNC(IF($A$4&lt;=12,SUMIFS('ON Data'!G:G,'ON Data'!$D:$D,$A$4,'ON Data'!$E:$E,1),SUMIFS('ON Data'!G:G,'ON Data'!$E:$E,1)/'ON Data'!$D$3),1)</f>
        <v>0</v>
      </c>
      <c r="D6" s="235">
        <f xml:space="preserve">
TRUNC(IF($A$4&lt;=12,SUMIFS('ON Data'!H:H,'ON Data'!$D:$D,$A$4,'ON Data'!$E:$E,1),SUMIFS('ON Data'!H:H,'ON Data'!$E:$E,1)/'ON Data'!$D$3),1)</f>
        <v>0.1</v>
      </c>
      <c r="E6" s="235">
        <f xml:space="preserve">
TRUNC(IF($A$4&lt;=12,SUMIFS('ON Data'!I:I,'ON Data'!$D:$D,$A$4,'ON Data'!$E:$E,1),SUMIFS('ON Data'!I:I,'ON Data'!$E:$E,1)/'ON Data'!$D$3),1)</f>
        <v>0</v>
      </c>
      <c r="F6" s="235">
        <f xml:space="preserve">
TRUNC(IF($A$4&lt;=12,SUMIFS('ON Data'!K:K,'ON Data'!$D:$D,$A$4,'ON Data'!$E:$E,1),SUMIFS('ON Data'!K:K,'ON Data'!$E:$E,1)/'ON Data'!$D$3),1)</f>
        <v>41</v>
      </c>
      <c r="G6" s="235">
        <f xml:space="preserve">
TRUNC(IF($A$4&lt;=12,SUMIFS('ON Data'!L:L,'ON Data'!$D:$D,$A$4,'ON Data'!$E:$E,1),SUMIFS('ON Data'!L:L,'ON Data'!$E:$E,1)/'ON Data'!$D$3),1)</f>
        <v>0</v>
      </c>
      <c r="H6" s="235">
        <f xml:space="preserve">
TRUNC(IF($A$4&lt;=12,SUMIFS('ON Data'!M:M,'ON Data'!$D:$D,$A$4,'ON Data'!$E:$E,1),SUMIFS('ON Data'!M:M,'ON Data'!$E:$E,1)/'ON Data'!$D$3),1)</f>
        <v>0</v>
      </c>
      <c r="I6" s="235">
        <f xml:space="preserve">
TRUNC(IF($A$4&lt;=12,SUMIFS('ON Data'!N:N,'ON Data'!$D:$D,$A$4,'ON Data'!$E:$E,1),SUMIFS('ON Data'!N:N,'ON Data'!$E:$E,1)/'ON Data'!$D$3),1)</f>
        <v>0</v>
      </c>
      <c r="J6" s="235">
        <f xml:space="preserve">
TRUNC(IF($A$4&lt;=12,SUMIFS('ON Data'!O:O,'ON Data'!$D:$D,$A$4,'ON Data'!$E:$E,1),SUMIFS('ON Data'!O:O,'ON Data'!$E:$E,1)/'ON Data'!$D$3),1)</f>
        <v>0</v>
      </c>
      <c r="K6" s="235">
        <f xml:space="preserve">
TRUNC(IF($A$4&lt;=12,SUMIFS('ON Data'!P:P,'ON Data'!$D:$D,$A$4,'ON Data'!$E:$E,1),SUMIFS('ON Data'!P:P,'ON Data'!$E:$E,1)/'ON Data'!$D$3),1)</f>
        <v>0</v>
      </c>
      <c r="L6" s="235">
        <f xml:space="preserve">
TRUNC(IF($A$4&lt;=12,SUMIFS('ON Data'!Q:Q,'ON Data'!$D:$D,$A$4,'ON Data'!$E:$E,1),SUMIFS('ON Data'!Q:Q,'ON Data'!$E:$E,1)/'ON Data'!$D$3),1)</f>
        <v>0</v>
      </c>
      <c r="M6" s="235">
        <f xml:space="preserve">
TRUNC(IF($A$4&lt;=12,SUMIFS('ON Data'!R:R,'ON Data'!$D:$D,$A$4,'ON Data'!$E:$E,1),SUMIFS('ON Data'!R:R,'ON Data'!$E:$E,1)/'ON Data'!$D$3),1)</f>
        <v>0</v>
      </c>
      <c r="N6" s="235">
        <f xml:space="preserve">
TRUNC(IF($A$4&lt;=12,SUMIFS('ON Data'!S:S,'ON Data'!$D:$D,$A$4,'ON Data'!$E:$E,1),SUMIFS('ON Data'!S:S,'ON Data'!$E:$E,1)/'ON Data'!$D$3),1)</f>
        <v>0</v>
      </c>
      <c r="O6" s="235">
        <f xml:space="preserve">
TRUNC(IF($A$4&lt;=12,SUMIFS('ON Data'!T:T,'ON Data'!$D:$D,$A$4,'ON Data'!$E:$E,1),SUMIFS('ON Data'!T:T,'ON Data'!$E:$E,1)/'ON Data'!$D$3),1)</f>
        <v>0</v>
      </c>
      <c r="P6" s="235">
        <f xml:space="preserve">
TRUNC(IF($A$4&lt;=12,SUMIFS('ON Data'!U:U,'ON Data'!$D:$D,$A$4,'ON Data'!$E:$E,1),SUMIFS('ON Data'!U:U,'ON Data'!$E:$E,1)/'ON Data'!$D$3),1)</f>
        <v>0</v>
      </c>
      <c r="Q6" s="235">
        <f xml:space="preserve">
TRUNC(IF($A$4&lt;=12,SUMIFS('ON Data'!V:V,'ON Data'!$D:$D,$A$4,'ON Data'!$E:$E,1),SUMIFS('ON Data'!V:V,'ON Data'!$E:$E,1)/'ON Data'!$D$3),1)</f>
        <v>0</v>
      </c>
      <c r="R6" s="235">
        <f xml:space="preserve">
TRUNC(IF($A$4&lt;=12,SUMIFS('ON Data'!W:W,'ON Data'!$D:$D,$A$4,'ON Data'!$E:$E,1),SUMIFS('ON Data'!W:W,'ON Data'!$E:$E,1)/'ON Data'!$D$3),1)</f>
        <v>0</v>
      </c>
      <c r="S6" s="235">
        <f xml:space="preserve">
TRUNC(IF($A$4&lt;=12,SUMIFS('ON Data'!X:X,'ON Data'!$D:$D,$A$4,'ON Data'!$E:$E,1),SUMIFS('ON Data'!X:X,'ON Data'!$E:$E,1)/'ON Data'!$D$3),1)</f>
        <v>0</v>
      </c>
      <c r="T6" s="235">
        <f xml:space="preserve">
TRUNC(IF($A$4&lt;=12,SUMIFS('ON Data'!Y:Y,'ON Data'!$D:$D,$A$4,'ON Data'!$E:$E,1),SUMIFS('ON Data'!Y:Y,'ON Data'!$E:$E,1)/'ON Data'!$D$3),1)</f>
        <v>0</v>
      </c>
      <c r="U6" s="235">
        <f xml:space="preserve">
TRUNC(IF($A$4&lt;=12,SUMIFS('ON Data'!Z:Z,'ON Data'!$D:$D,$A$4,'ON Data'!$E:$E,1),SUMIFS('ON Data'!Z:Z,'ON Data'!$E:$E,1)/'ON Data'!$D$3),1)</f>
        <v>0</v>
      </c>
      <c r="V6" s="235">
        <f xml:space="preserve">
TRUNC(IF($A$4&lt;=12,SUMIFS('ON Data'!AA:AA,'ON Data'!$D:$D,$A$4,'ON Data'!$E:$E,1),SUMIFS('ON Data'!AA:AA,'ON Data'!$E:$E,1)/'ON Data'!$D$3),1)</f>
        <v>0</v>
      </c>
      <c r="W6" s="235">
        <f xml:space="preserve">
TRUNC(IF($A$4&lt;=12,SUMIFS('ON Data'!AB:AB,'ON Data'!$D:$D,$A$4,'ON Data'!$E:$E,1),SUMIFS('ON Data'!AB:AB,'ON Data'!$E:$E,1)/'ON Data'!$D$3),1)</f>
        <v>0</v>
      </c>
      <c r="X6" s="235">
        <f xml:space="preserve">
TRUNC(IF($A$4&lt;=12,SUMIFS('ON Data'!AC:AC,'ON Data'!$D:$D,$A$4,'ON Data'!$E:$E,1),SUMIFS('ON Data'!AC:AC,'ON Data'!$E:$E,1)/'ON Data'!$D$3),1)</f>
        <v>0</v>
      </c>
      <c r="Y6" s="235">
        <f xml:space="preserve">
TRUNC(IF($A$4&lt;=12,SUMIFS('ON Data'!AD:AD,'ON Data'!$D:$D,$A$4,'ON Data'!$E:$E,1),SUMIFS('ON Data'!AD:AD,'ON Data'!$E:$E,1)/'ON Data'!$D$3),1)</f>
        <v>0</v>
      </c>
      <c r="Z6" s="235">
        <f xml:space="preserve">
TRUNC(IF($A$4&lt;=12,SUMIFS('ON Data'!AE:AE,'ON Data'!$D:$D,$A$4,'ON Data'!$E:$E,1),SUMIFS('ON Data'!AE:AE,'ON Data'!$E:$E,1)/'ON Data'!$D$3),1)</f>
        <v>0</v>
      </c>
      <c r="AA6" s="235">
        <f xml:space="preserve">
TRUNC(IF($A$4&lt;=12,SUMIFS('ON Data'!AF:AF,'ON Data'!$D:$D,$A$4,'ON Data'!$E:$E,1),SUMIFS('ON Data'!AF:AF,'ON Data'!$E:$E,1)/'ON Data'!$D$3),1)</f>
        <v>0</v>
      </c>
      <c r="AB6" s="235">
        <f xml:space="preserve">
TRUNC(IF($A$4&lt;=12,SUMIFS('ON Data'!AG:AG,'ON Data'!$D:$D,$A$4,'ON Data'!$E:$E,1),SUMIFS('ON Data'!AG:AG,'ON Data'!$E:$E,1)/'ON Data'!$D$3),1)</f>
        <v>0</v>
      </c>
      <c r="AC6" s="235">
        <f xml:space="preserve">
TRUNC(IF($A$4&lt;=12,SUMIFS('ON Data'!AH:AH,'ON Data'!$D:$D,$A$4,'ON Data'!$E:$E,1),SUMIFS('ON Data'!AH:AH,'ON Data'!$E:$E,1)/'ON Data'!$D$3),1)</f>
        <v>13</v>
      </c>
      <c r="AD6" s="235">
        <f xml:space="preserve">
TRUNC(IF($A$4&lt;=12,SUMIFS('ON Data'!AI:AI,'ON Data'!$D:$D,$A$4,'ON Data'!$E:$E,1),SUMIFS('ON Data'!AI:AI,'ON Data'!$E:$E,1)/'ON Data'!$D$3),1)</f>
        <v>0</v>
      </c>
      <c r="AE6" s="235">
        <f xml:space="preserve">
TRUNC(IF($A$4&lt;=12,SUMIFS('ON Data'!AJ:AJ,'ON Data'!$D:$D,$A$4,'ON Data'!$E:$E,1),SUMIFS('ON Data'!AJ:AJ,'ON Data'!$E:$E,1)/'ON Data'!$D$3),1)</f>
        <v>0</v>
      </c>
      <c r="AF6" s="235">
        <f xml:space="preserve">
TRUNC(IF($A$4&lt;=12,SUMIFS('ON Data'!AK:AK,'ON Data'!$D:$D,$A$4,'ON Data'!$E:$E,1),SUMIFS('ON Data'!AK:AK,'ON Data'!$E:$E,1)/'ON Data'!$D$3),1)</f>
        <v>0</v>
      </c>
      <c r="AG6" s="443">
        <f xml:space="preserve">
TRUNC(IF($A$4&lt;=12,SUMIFS('ON Data'!AM:AM,'ON Data'!$D:$D,$A$4,'ON Data'!$E:$E,1),SUMIFS('ON Data'!AM:AM,'ON Data'!$E:$E,1)/'ON Data'!$D$3),1)</f>
        <v>0</v>
      </c>
      <c r="AH6" s="456"/>
    </row>
    <row r="7" spans="1:34" ht="15" hidden="1" outlineLevel="1" thickBot="1" x14ac:dyDescent="0.35">
      <c r="A7" s="195" t="s">
        <v>65</v>
      </c>
      <c r="B7" s="233"/>
      <c r="C7" s="236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443"/>
      <c r="AH7" s="456"/>
    </row>
    <row r="8" spans="1:34" ht="15" hidden="1" outlineLevel="1" thickBot="1" x14ac:dyDescent="0.35">
      <c r="A8" s="195" t="s">
        <v>60</v>
      </c>
      <c r="B8" s="233"/>
      <c r="C8" s="236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443"/>
      <c r="AH8" s="456"/>
    </row>
    <row r="9" spans="1:34" ht="15" hidden="1" outlineLevel="1" thickBot="1" x14ac:dyDescent="0.35">
      <c r="A9" s="196" t="s">
        <v>55</v>
      </c>
      <c r="B9" s="237"/>
      <c r="C9" s="238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444"/>
      <c r="AH9" s="456"/>
    </row>
    <row r="10" spans="1:34" x14ac:dyDescent="0.3">
      <c r="A10" s="197" t="s">
        <v>132</v>
      </c>
      <c r="B10" s="212"/>
      <c r="C10" s="213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445"/>
      <c r="AH10" s="456"/>
    </row>
    <row r="11" spans="1:34" x14ac:dyDescent="0.3">
      <c r="A11" s="198" t="s">
        <v>133</v>
      </c>
      <c r="B11" s="215">
        <f xml:space="preserve">
IF($A$4&lt;=12,SUMIFS('ON Data'!F:F,'ON Data'!$D:$D,$A$4,'ON Data'!$E:$E,2),SUMIFS('ON Data'!F:F,'ON Data'!$E:$E,2))</f>
        <v>14929.6</v>
      </c>
      <c r="C11" s="216">
        <f xml:space="preserve">
IF($A$4&lt;=12,SUMIFS('ON Data'!G:G,'ON Data'!$D:$D,$A$4,'ON Data'!$E:$E,2),SUMIFS('ON Data'!G:G,'ON Data'!$E:$E,2))</f>
        <v>0</v>
      </c>
      <c r="D11" s="217">
        <f xml:space="preserve">
IF($A$4&lt;=12,SUMIFS('ON Data'!H:H,'ON Data'!$D:$D,$A$4,'ON Data'!$E:$E,2),SUMIFS('ON Data'!H:H,'ON Data'!$E:$E,2))</f>
        <v>29.6</v>
      </c>
      <c r="E11" s="217">
        <f xml:space="preserve">
IF($A$4&lt;=12,SUMIFS('ON Data'!I:I,'ON Data'!$D:$D,$A$4,'ON Data'!$E:$E,2),SUMIFS('ON Data'!I:I,'ON Data'!$E:$E,2))</f>
        <v>0</v>
      </c>
      <c r="F11" s="217">
        <f xml:space="preserve">
IF($A$4&lt;=12,SUMIFS('ON Data'!K:K,'ON Data'!$D:$D,$A$4,'ON Data'!$E:$E,2),SUMIFS('ON Data'!K:K,'ON Data'!$E:$E,2))</f>
        <v>11359.5</v>
      </c>
      <c r="G11" s="217">
        <f xml:space="preserve">
IF($A$4&lt;=12,SUMIFS('ON Data'!L:L,'ON Data'!$D:$D,$A$4,'ON Data'!$E:$E,2),SUMIFS('ON Data'!L:L,'ON Data'!$E:$E,2))</f>
        <v>0</v>
      </c>
      <c r="H11" s="217">
        <f xml:space="preserve">
IF($A$4&lt;=12,SUMIFS('ON Data'!M:M,'ON Data'!$D:$D,$A$4,'ON Data'!$E:$E,2),SUMIFS('ON Data'!M:M,'ON Data'!$E:$E,2))</f>
        <v>0</v>
      </c>
      <c r="I11" s="217">
        <f xml:space="preserve">
IF($A$4&lt;=12,SUMIFS('ON Data'!N:N,'ON Data'!$D:$D,$A$4,'ON Data'!$E:$E,2),SUMIFS('ON Data'!N:N,'ON Data'!$E:$E,2))</f>
        <v>0</v>
      </c>
      <c r="J11" s="217">
        <f xml:space="preserve">
IF($A$4&lt;=12,SUMIFS('ON Data'!O:O,'ON Data'!$D:$D,$A$4,'ON Data'!$E:$E,2),SUMIFS('ON Data'!O:O,'ON Data'!$E:$E,2))</f>
        <v>0</v>
      </c>
      <c r="K11" s="217">
        <f xml:space="preserve">
IF($A$4&lt;=12,SUMIFS('ON Data'!P:P,'ON Data'!$D:$D,$A$4,'ON Data'!$E:$E,2),SUMIFS('ON Data'!P:P,'ON Data'!$E:$E,2))</f>
        <v>0</v>
      </c>
      <c r="L11" s="217">
        <f xml:space="preserve">
IF($A$4&lt;=12,SUMIFS('ON Data'!Q:Q,'ON Data'!$D:$D,$A$4,'ON Data'!$E:$E,2),SUMIFS('ON Data'!Q:Q,'ON Data'!$E:$E,2))</f>
        <v>0</v>
      </c>
      <c r="M11" s="217">
        <f xml:space="preserve">
IF($A$4&lt;=12,SUMIFS('ON Data'!R:R,'ON Data'!$D:$D,$A$4,'ON Data'!$E:$E,2),SUMIFS('ON Data'!R:R,'ON Data'!$E:$E,2))</f>
        <v>0</v>
      </c>
      <c r="N11" s="217">
        <f xml:space="preserve">
IF($A$4&lt;=12,SUMIFS('ON Data'!S:S,'ON Data'!$D:$D,$A$4,'ON Data'!$E:$E,2),SUMIFS('ON Data'!S:S,'ON Data'!$E:$E,2))</f>
        <v>0</v>
      </c>
      <c r="O11" s="217">
        <f xml:space="preserve">
IF($A$4&lt;=12,SUMIFS('ON Data'!T:T,'ON Data'!$D:$D,$A$4,'ON Data'!$E:$E,2),SUMIFS('ON Data'!T:T,'ON Data'!$E:$E,2))</f>
        <v>0</v>
      </c>
      <c r="P11" s="217">
        <f xml:space="preserve">
IF($A$4&lt;=12,SUMIFS('ON Data'!U:U,'ON Data'!$D:$D,$A$4,'ON Data'!$E:$E,2),SUMIFS('ON Data'!U:U,'ON Data'!$E:$E,2))</f>
        <v>0</v>
      </c>
      <c r="Q11" s="217">
        <f xml:space="preserve">
IF($A$4&lt;=12,SUMIFS('ON Data'!V:V,'ON Data'!$D:$D,$A$4,'ON Data'!$E:$E,2),SUMIFS('ON Data'!V:V,'ON Data'!$E:$E,2))</f>
        <v>0</v>
      </c>
      <c r="R11" s="217">
        <f xml:space="preserve">
IF($A$4&lt;=12,SUMIFS('ON Data'!W:W,'ON Data'!$D:$D,$A$4,'ON Data'!$E:$E,2),SUMIFS('ON Data'!W:W,'ON Data'!$E:$E,2))</f>
        <v>0</v>
      </c>
      <c r="S11" s="217">
        <f xml:space="preserve">
IF($A$4&lt;=12,SUMIFS('ON Data'!X:X,'ON Data'!$D:$D,$A$4,'ON Data'!$E:$E,2),SUMIFS('ON Data'!X:X,'ON Data'!$E:$E,2))</f>
        <v>0</v>
      </c>
      <c r="T11" s="217">
        <f xml:space="preserve">
IF($A$4&lt;=12,SUMIFS('ON Data'!Y:Y,'ON Data'!$D:$D,$A$4,'ON Data'!$E:$E,2),SUMIFS('ON Data'!Y:Y,'ON Data'!$E:$E,2))</f>
        <v>0</v>
      </c>
      <c r="U11" s="217">
        <f xml:space="preserve">
IF($A$4&lt;=12,SUMIFS('ON Data'!Z:Z,'ON Data'!$D:$D,$A$4,'ON Data'!$E:$E,2),SUMIFS('ON Data'!Z:Z,'ON Data'!$E:$E,2))</f>
        <v>0</v>
      </c>
      <c r="V11" s="217">
        <f xml:space="preserve">
IF($A$4&lt;=12,SUMIFS('ON Data'!AA:AA,'ON Data'!$D:$D,$A$4,'ON Data'!$E:$E,2),SUMIFS('ON Data'!AA:AA,'ON Data'!$E:$E,2))</f>
        <v>0</v>
      </c>
      <c r="W11" s="217">
        <f xml:space="preserve">
IF($A$4&lt;=12,SUMIFS('ON Data'!AB:AB,'ON Data'!$D:$D,$A$4,'ON Data'!$E:$E,2),SUMIFS('ON Data'!AB:AB,'ON Data'!$E:$E,2))</f>
        <v>0</v>
      </c>
      <c r="X11" s="217">
        <f xml:space="preserve">
IF($A$4&lt;=12,SUMIFS('ON Data'!AC:AC,'ON Data'!$D:$D,$A$4,'ON Data'!$E:$E,2),SUMIFS('ON Data'!AC:AC,'ON Data'!$E:$E,2))</f>
        <v>0</v>
      </c>
      <c r="Y11" s="217">
        <f xml:space="preserve">
IF($A$4&lt;=12,SUMIFS('ON Data'!AD:AD,'ON Data'!$D:$D,$A$4,'ON Data'!$E:$E,2),SUMIFS('ON Data'!AD:AD,'ON Data'!$E:$E,2))</f>
        <v>0</v>
      </c>
      <c r="Z11" s="217">
        <f xml:space="preserve">
IF($A$4&lt;=12,SUMIFS('ON Data'!AE:AE,'ON Data'!$D:$D,$A$4,'ON Data'!$E:$E,2),SUMIFS('ON Data'!AE:AE,'ON Data'!$E:$E,2))</f>
        <v>0</v>
      </c>
      <c r="AA11" s="217">
        <f xml:space="preserve">
IF($A$4&lt;=12,SUMIFS('ON Data'!AF:AF,'ON Data'!$D:$D,$A$4,'ON Data'!$E:$E,2),SUMIFS('ON Data'!AF:AF,'ON Data'!$E:$E,2))</f>
        <v>0</v>
      </c>
      <c r="AB11" s="217">
        <f xml:space="preserve">
IF($A$4&lt;=12,SUMIFS('ON Data'!AG:AG,'ON Data'!$D:$D,$A$4,'ON Data'!$E:$E,2),SUMIFS('ON Data'!AG:AG,'ON Data'!$E:$E,2))</f>
        <v>0</v>
      </c>
      <c r="AC11" s="217">
        <f xml:space="preserve">
IF($A$4&lt;=12,SUMIFS('ON Data'!AH:AH,'ON Data'!$D:$D,$A$4,'ON Data'!$E:$E,2),SUMIFS('ON Data'!AH:AH,'ON Data'!$E:$E,2))</f>
        <v>3540.5</v>
      </c>
      <c r="AD11" s="217">
        <f xml:space="preserve">
IF($A$4&lt;=12,SUMIFS('ON Data'!AI:AI,'ON Data'!$D:$D,$A$4,'ON Data'!$E:$E,2),SUMIFS('ON Data'!AI:AI,'ON Data'!$E:$E,2))</f>
        <v>0</v>
      </c>
      <c r="AE11" s="217">
        <f xml:space="preserve">
IF($A$4&lt;=12,SUMIFS('ON Data'!AJ:AJ,'ON Data'!$D:$D,$A$4,'ON Data'!$E:$E,2),SUMIFS('ON Data'!AJ:AJ,'ON Data'!$E:$E,2))</f>
        <v>0</v>
      </c>
      <c r="AF11" s="217">
        <f xml:space="preserve">
IF($A$4&lt;=12,SUMIFS('ON Data'!AK:AK,'ON Data'!$D:$D,$A$4,'ON Data'!$E:$E,2),SUMIFS('ON Data'!AK:AK,'ON Data'!$E:$E,2))</f>
        <v>0</v>
      </c>
      <c r="AG11" s="446">
        <f xml:space="preserve">
IF($A$4&lt;=12,SUMIFS('ON Data'!AM:AM,'ON Data'!$D:$D,$A$4,'ON Data'!$E:$E,2),SUMIFS('ON Data'!AM:AM,'ON Data'!$E:$E,2))</f>
        <v>0</v>
      </c>
      <c r="AH11" s="456"/>
    </row>
    <row r="12" spans="1:34" x14ac:dyDescent="0.3">
      <c r="A12" s="198" t="s">
        <v>134</v>
      </c>
      <c r="B12" s="215">
        <f xml:space="preserve">
IF($A$4&lt;=12,SUMIFS('ON Data'!F:F,'ON Data'!$D:$D,$A$4,'ON Data'!$E:$E,3),SUMIFS('ON Data'!F:F,'ON Data'!$E:$E,3))</f>
        <v>0</v>
      </c>
      <c r="C12" s="216">
        <f xml:space="preserve">
IF($A$4&lt;=12,SUMIFS('ON Data'!G:G,'ON Data'!$D:$D,$A$4,'ON Data'!$E:$E,3),SUMIFS('ON Data'!G:G,'ON Data'!$E:$E,3))</f>
        <v>0</v>
      </c>
      <c r="D12" s="217">
        <f xml:space="preserve">
IF($A$4&lt;=12,SUMIFS('ON Data'!H:H,'ON Data'!$D:$D,$A$4,'ON Data'!$E:$E,3),SUMIFS('ON Data'!H:H,'ON Data'!$E:$E,3))</f>
        <v>0</v>
      </c>
      <c r="E12" s="217">
        <f xml:space="preserve">
IF($A$4&lt;=12,SUMIFS('ON Data'!I:I,'ON Data'!$D:$D,$A$4,'ON Data'!$E:$E,3),SUMIFS('ON Data'!I:I,'ON Data'!$E:$E,3))</f>
        <v>0</v>
      </c>
      <c r="F12" s="217">
        <f xml:space="preserve">
IF($A$4&lt;=12,SUMIFS('ON Data'!K:K,'ON Data'!$D:$D,$A$4,'ON Data'!$E:$E,3),SUMIFS('ON Data'!K:K,'ON Data'!$E:$E,3))</f>
        <v>0</v>
      </c>
      <c r="G12" s="217">
        <f xml:space="preserve">
IF($A$4&lt;=12,SUMIFS('ON Data'!L:L,'ON Data'!$D:$D,$A$4,'ON Data'!$E:$E,3),SUMIFS('ON Data'!L:L,'ON Data'!$E:$E,3))</f>
        <v>0</v>
      </c>
      <c r="H12" s="217">
        <f xml:space="preserve">
IF($A$4&lt;=12,SUMIFS('ON Data'!M:M,'ON Data'!$D:$D,$A$4,'ON Data'!$E:$E,3),SUMIFS('ON Data'!M:M,'ON Data'!$E:$E,3))</f>
        <v>0</v>
      </c>
      <c r="I12" s="217">
        <f xml:space="preserve">
IF($A$4&lt;=12,SUMIFS('ON Data'!N:N,'ON Data'!$D:$D,$A$4,'ON Data'!$E:$E,3),SUMIFS('ON Data'!N:N,'ON Data'!$E:$E,3))</f>
        <v>0</v>
      </c>
      <c r="J12" s="217">
        <f xml:space="preserve">
IF($A$4&lt;=12,SUMIFS('ON Data'!O:O,'ON Data'!$D:$D,$A$4,'ON Data'!$E:$E,3),SUMIFS('ON Data'!O:O,'ON Data'!$E:$E,3))</f>
        <v>0</v>
      </c>
      <c r="K12" s="217">
        <f xml:space="preserve">
IF($A$4&lt;=12,SUMIFS('ON Data'!P:P,'ON Data'!$D:$D,$A$4,'ON Data'!$E:$E,3),SUMIFS('ON Data'!P:P,'ON Data'!$E:$E,3))</f>
        <v>0</v>
      </c>
      <c r="L12" s="217">
        <f xml:space="preserve">
IF($A$4&lt;=12,SUMIFS('ON Data'!Q:Q,'ON Data'!$D:$D,$A$4,'ON Data'!$E:$E,3),SUMIFS('ON Data'!Q:Q,'ON Data'!$E:$E,3))</f>
        <v>0</v>
      </c>
      <c r="M12" s="217">
        <f xml:space="preserve">
IF($A$4&lt;=12,SUMIFS('ON Data'!R:R,'ON Data'!$D:$D,$A$4,'ON Data'!$E:$E,3),SUMIFS('ON Data'!R:R,'ON Data'!$E:$E,3))</f>
        <v>0</v>
      </c>
      <c r="N12" s="217">
        <f xml:space="preserve">
IF($A$4&lt;=12,SUMIFS('ON Data'!S:S,'ON Data'!$D:$D,$A$4,'ON Data'!$E:$E,3),SUMIFS('ON Data'!S:S,'ON Data'!$E:$E,3))</f>
        <v>0</v>
      </c>
      <c r="O12" s="217">
        <f xml:space="preserve">
IF($A$4&lt;=12,SUMIFS('ON Data'!T:T,'ON Data'!$D:$D,$A$4,'ON Data'!$E:$E,3),SUMIFS('ON Data'!T:T,'ON Data'!$E:$E,3))</f>
        <v>0</v>
      </c>
      <c r="P12" s="217">
        <f xml:space="preserve">
IF($A$4&lt;=12,SUMIFS('ON Data'!U:U,'ON Data'!$D:$D,$A$4,'ON Data'!$E:$E,3),SUMIFS('ON Data'!U:U,'ON Data'!$E:$E,3))</f>
        <v>0</v>
      </c>
      <c r="Q12" s="217">
        <f xml:space="preserve">
IF($A$4&lt;=12,SUMIFS('ON Data'!V:V,'ON Data'!$D:$D,$A$4,'ON Data'!$E:$E,3),SUMIFS('ON Data'!V:V,'ON Data'!$E:$E,3))</f>
        <v>0</v>
      </c>
      <c r="R12" s="217">
        <f xml:space="preserve">
IF($A$4&lt;=12,SUMIFS('ON Data'!W:W,'ON Data'!$D:$D,$A$4,'ON Data'!$E:$E,3),SUMIFS('ON Data'!W:W,'ON Data'!$E:$E,3))</f>
        <v>0</v>
      </c>
      <c r="S12" s="217">
        <f xml:space="preserve">
IF($A$4&lt;=12,SUMIFS('ON Data'!X:X,'ON Data'!$D:$D,$A$4,'ON Data'!$E:$E,3),SUMIFS('ON Data'!X:X,'ON Data'!$E:$E,3))</f>
        <v>0</v>
      </c>
      <c r="T12" s="217">
        <f xml:space="preserve">
IF($A$4&lt;=12,SUMIFS('ON Data'!Y:Y,'ON Data'!$D:$D,$A$4,'ON Data'!$E:$E,3),SUMIFS('ON Data'!Y:Y,'ON Data'!$E:$E,3))</f>
        <v>0</v>
      </c>
      <c r="U12" s="217">
        <f xml:space="preserve">
IF($A$4&lt;=12,SUMIFS('ON Data'!Z:Z,'ON Data'!$D:$D,$A$4,'ON Data'!$E:$E,3),SUMIFS('ON Data'!Z:Z,'ON Data'!$E:$E,3))</f>
        <v>0</v>
      </c>
      <c r="V12" s="217">
        <f xml:space="preserve">
IF($A$4&lt;=12,SUMIFS('ON Data'!AA:AA,'ON Data'!$D:$D,$A$4,'ON Data'!$E:$E,3),SUMIFS('ON Data'!AA:AA,'ON Data'!$E:$E,3))</f>
        <v>0</v>
      </c>
      <c r="W12" s="217">
        <f xml:space="preserve">
IF($A$4&lt;=12,SUMIFS('ON Data'!AB:AB,'ON Data'!$D:$D,$A$4,'ON Data'!$E:$E,3),SUMIFS('ON Data'!AB:AB,'ON Data'!$E:$E,3))</f>
        <v>0</v>
      </c>
      <c r="X12" s="217">
        <f xml:space="preserve">
IF($A$4&lt;=12,SUMIFS('ON Data'!AC:AC,'ON Data'!$D:$D,$A$4,'ON Data'!$E:$E,3),SUMIFS('ON Data'!AC:AC,'ON Data'!$E:$E,3))</f>
        <v>0</v>
      </c>
      <c r="Y12" s="217">
        <f xml:space="preserve">
IF($A$4&lt;=12,SUMIFS('ON Data'!AD:AD,'ON Data'!$D:$D,$A$4,'ON Data'!$E:$E,3),SUMIFS('ON Data'!AD:AD,'ON Data'!$E:$E,3))</f>
        <v>0</v>
      </c>
      <c r="Z12" s="217">
        <f xml:space="preserve">
IF($A$4&lt;=12,SUMIFS('ON Data'!AE:AE,'ON Data'!$D:$D,$A$4,'ON Data'!$E:$E,3),SUMIFS('ON Data'!AE:AE,'ON Data'!$E:$E,3))</f>
        <v>0</v>
      </c>
      <c r="AA12" s="217">
        <f xml:space="preserve">
IF($A$4&lt;=12,SUMIFS('ON Data'!AF:AF,'ON Data'!$D:$D,$A$4,'ON Data'!$E:$E,3),SUMIFS('ON Data'!AF:AF,'ON Data'!$E:$E,3))</f>
        <v>0</v>
      </c>
      <c r="AB12" s="217">
        <f xml:space="preserve">
IF($A$4&lt;=12,SUMIFS('ON Data'!AG:AG,'ON Data'!$D:$D,$A$4,'ON Data'!$E:$E,3),SUMIFS('ON Data'!AG:AG,'ON Data'!$E:$E,3))</f>
        <v>0</v>
      </c>
      <c r="AC12" s="217">
        <f xml:space="preserve">
IF($A$4&lt;=12,SUMIFS('ON Data'!AH:AH,'ON Data'!$D:$D,$A$4,'ON Data'!$E:$E,3),SUMIFS('ON Data'!AH:AH,'ON Data'!$E:$E,3))</f>
        <v>0</v>
      </c>
      <c r="AD12" s="217">
        <f xml:space="preserve">
IF($A$4&lt;=12,SUMIFS('ON Data'!AI:AI,'ON Data'!$D:$D,$A$4,'ON Data'!$E:$E,3),SUMIFS('ON Data'!AI:AI,'ON Data'!$E:$E,3))</f>
        <v>0</v>
      </c>
      <c r="AE12" s="217">
        <f xml:space="preserve">
IF($A$4&lt;=12,SUMIFS('ON Data'!AJ:AJ,'ON Data'!$D:$D,$A$4,'ON Data'!$E:$E,3),SUMIFS('ON Data'!AJ:AJ,'ON Data'!$E:$E,3))</f>
        <v>0</v>
      </c>
      <c r="AF12" s="217">
        <f xml:space="preserve">
IF($A$4&lt;=12,SUMIFS('ON Data'!AK:AK,'ON Data'!$D:$D,$A$4,'ON Data'!$E:$E,3),SUMIFS('ON Data'!AK:AK,'ON Data'!$E:$E,3))</f>
        <v>0</v>
      </c>
      <c r="AG12" s="446">
        <f xml:space="preserve">
IF($A$4&lt;=12,SUMIFS('ON Data'!AM:AM,'ON Data'!$D:$D,$A$4,'ON Data'!$E:$E,3),SUMIFS('ON Data'!AM:AM,'ON Data'!$E:$E,3))</f>
        <v>0</v>
      </c>
      <c r="AH12" s="456"/>
    </row>
    <row r="13" spans="1:34" x14ac:dyDescent="0.3">
      <c r="A13" s="198" t="s">
        <v>141</v>
      </c>
      <c r="B13" s="215">
        <f xml:space="preserve">
IF($A$4&lt;=12,SUMIFS('ON Data'!F:F,'ON Data'!$D:$D,$A$4,'ON Data'!$E:$E,4),SUMIFS('ON Data'!F:F,'ON Data'!$E:$E,4))</f>
        <v>960</v>
      </c>
      <c r="C13" s="216">
        <f xml:space="preserve">
IF($A$4&lt;=12,SUMIFS('ON Data'!G:G,'ON Data'!$D:$D,$A$4,'ON Data'!$E:$E,4),SUMIFS('ON Data'!G:G,'ON Data'!$E:$E,4))</f>
        <v>0</v>
      </c>
      <c r="D13" s="217">
        <f xml:space="preserve">
IF($A$4&lt;=12,SUMIFS('ON Data'!H:H,'ON Data'!$D:$D,$A$4,'ON Data'!$E:$E,4),SUMIFS('ON Data'!H:H,'ON Data'!$E:$E,4))</f>
        <v>0</v>
      </c>
      <c r="E13" s="217">
        <f xml:space="preserve">
IF($A$4&lt;=12,SUMIFS('ON Data'!I:I,'ON Data'!$D:$D,$A$4,'ON Data'!$E:$E,4),SUMIFS('ON Data'!I:I,'ON Data'!$E:$E,4))</f>
        <v>0</v>
      </c>
      <c r="F13" s="217">
        <f xml:space="preserve">
IF($A$4&lt;=12,SUMIFS('ON Data'!K:K,'ON Data'!$D:$D,$A$4,'ON Data'!$E:$E,4),SUMIFS('ON Data'!K:K,'ON Data'!$E:$E,4))</f>
        <v>650</v>
      </c>
      <c r="G13" s="217">
        <f xml:space="preserve">
IF($A$4&lt;=12,SUMIFS('ON Data'!L:L,'ON Data'!$D:$D,$A$4,'ON Data'!$E:$E,4),SUMIFS('ON Data'!L:L,'ON Data'!$E:$E,4))</f>
        <v>0</v>
      </c>
      <c r="H13" s="217">
        <f xml:space="preserve">
IF($A$4&lt;=12,SUMIFS('ON Data'!M:M,'ON Data'!$D:$D,$A$4,'ON Data'!$E:$E,4),SUMIFS('ON Data'!M:M,'ON Data'!$E:$E,4))</f>
        <v>0</v>
      </c>
      <c r="I13" s="217">
        <f xml:space="preserve">
IF($A$4&lt;=12,SUMIFS('ON Data'!N:N,'ON Data'!$D:$D,$A$4,'ON Data'!$E:$E,4),SUMIFS('ON Data'!N:N,'ON Data'!$E:$E,4))</f>
        <v>0</v>
      </c>
      <c r="J13" s="217">
        <f xml:space="preserve">
IF($A$4&lt;=12,SUMIFS('ON Data'!O:O,'ON Data'!$D:$D,$A$4,'ON Data'!$E:$E,4),SUMIFS('ON Data'!O:O,'ON Data'!$E:$E,4))</f>
        <v>0</v>
      </c>
      <c r="K13" s="217">
        <f xml:space="preserve">
IF($A$4&lt;=12,SUMIFS('ON Data'!P:P,'ON Data'!$D:$D,$A$4,'ON Data'!$E:$E,4),SUMIFS('ON Data'!P:P,'ON Data'!$E:$E,4))</f>
        <v>0</v>
      </c>
      <c r="L13" s="217">
        <f xml:space="preserve">
IF($A$4&lt;=12,SUMIFS('ON Data'!Q:Q,'ON Data'!$D:$D,$A$4,'ON Data'!$E:$E,4),SUMIFS('ON Data'!Q:Q,'ON Data'!$E:$E,4))</f>
        <v>0</v>
      </c>
      <c r="M13" s="217">
        <f xml:space="preserve">
IF($A$4&lt;=12,SUMIFS('ON Data'!R:R,'ON Data'!$D:$D,$A$4,'ON Data'!$E:$E,4),SUMIFS('ON Data'!R:R,'ON Data'!$E:$E,4))</f>
        <v>0</v>
      </c>
      <c r="N13" s="217">
        <f xml:space="preserve">
IF($A$4&lt;=12,SUMIFS('ON Data'!S:S,'ON Data'!$D:$D,$A$4,'ON Data'!$E:$E,4),SUMIFS('ON Data'!S:S,'ON Data'!$E:$E,4))</f>
        <v>0</v>
      </c>
      <c r="O13" s="217">
        <f xml:space="preserve">
IF($A$4&lt;=12,SUMIFS('ON Data'!T:T,'ON Data'!$D:$D,$A$4,'ON Data'!$E:$E,4),SUMIFS('ON Data'!T:T,'ON Data'!$E:$E,4))</f>
        <v>0</v>
      </c>
      <c r="P13" s="217">
        <f xml:space="preserve">
IF($A$4&lt;=12,SUMIFS('ON Data'!U:U,'ON Data'!$D:$D,$A$4,'ON Data'!$E:$E,4),SUMIFS('ON Data'!U:U,'ON Data'!$E:$E,4))</f>
        <v>0</v>
      </c>
      <c r="Q13" s="217">
        <f xml:space="preserve">
IF($A$4&lt;=12,SUMIFS('ON Data'!V:V,'ON Data'!$D:$D,$A$4,'ON Data'!$E:$E,4),SUMIFS('ON Data'!V:V,'ON Data'!$E:$E,4))</f>
        <v>0</v>
      </c>
      <c r="R13" s="217">
        <f xml:space="preserve">
IF($A$4&lt;=12,SUMIFS('ON Data'!W:W,'ON Data'!$D:$D,$A$4,'ON Data'!$E:$E,4),SUMIFS('ON Data'!W:W,'ON Data'!$E:$E,4))</f>
        <v>0</v>
      </c>
      <c r="S13" s="217">
        <f xml:space="preserve">
IF($A$4&lt;=12,SUMIFS('ON Data'!X:X,'ON Data'!$D:$D,$A$4,'ON Data'!$E:$E,4),SUMIFS('ON Data'!X:X,'ON Data'!$E:$E,4))</f>
        <v>0</v>
      </c>
      <c r="T13" s="217">
        <f xml:space="preserve">
IF($A$4&lt;=12,SUMIFS('ON Data'!Y:Y,'ON Data'!$D:$D,$A$4,'ON Data'!$E:$E,4),SUMIFS('ON Data'!Y:Y,'ON Data'!$E:$E,4))</f>
        <v>0</v>
      </c>
      <c r="U13" s="217">
        <f xml:space="preserve">
IF($A$4&lt;=12,SUMIFS('ON Data'!Z:Z,'ON Data'!$D:$D,$A$4,'ON Data'!$E:$E,4),SUMIFS('ON Data'!Z:Z,'ON Data'!$E:$E,4))</f>
        <v>0</v>
      </c>
      <c r="V13" s="217">
        <f xml:space="preserve">
IF($A$4&lt;=12,SUMIFS('ON Data'!AA:AA,'ON Data'!$D:$D,$A$4,'ON Data'!$E:$E,4),SUMIFS('ON Data'!AA:AA,'ON Data'!$E:$E,4))</f>
        <v>0</v>
      </c>
      <c r="W13" s="217">
        <f xml:space="preserve">
IF($A$4&lt;=12,SUMIFS('ON Data'!AB:AB,'ON Data'!$D:$D,$A$4,'ON Data'!$E:$E,4),SUMIFS('ON Data'!AB:AB,'ON Data'!$E:$E,4))</f>
        <v>0</v>
      </c>
      <c r="X13" s="217">
        <f xml:space="preserve">
IF($A$4&lt;=12,SUMIFS('ON Data'!AC:AC,'ON Data'!$D:$D,$A$4,'ON Data'!$E:$E,4),SUMIFS('ON Data'!AC:AC,'ON Data'!$E:$E,4))</f>
        <v>0</v>
      </c>
      <c r="Y13" s="217">
        <f xml:space="preserve">
IF($A$4&lt;=12,SUMIFS('ON Data'!AD:AD,'ON Data'!$D:$D,$A$4,'ON Data'!$E:$E,4),SUMIFS('ON Data'!AD:AD,'ON Data'!$E:$E,4))</f>
        <v>0</v>
      </c>
      <c r="Z13" s="217">
        <f xml:space="preserve">
IF($A$4&lt;=12,SUMIFS('ON Data'!AE:AE,'ON Data'!$D:$D,$A$4,'ON Data'!$E:$E,4),SUMIFS('ON Data'!AE:AE,'ON Data'!$E:$E,4))</f>
        <v>0</v>
      </c>
      <c r="AA13" s="217">
        <f xml:space="preserve">
IF($A$4&lt;=12,SUMIFS('ON Data'!AF:AF,'ON Data'!$D:$D,$A$4,'ON Data'!$E:$E,4),SUMIFS('ON Data'!AF:AF,'ON Data'!$E:$E,4))</f>
        <v>0</v>
      </c>
      <c r="AB13" s="217">
        <f xml:space="preserve">
IF($A$4&lt;=12,SUMIFS('ON Data'!AG:AG,'ON Data'!$D:$D,$A$4,'ON Data'!$E:$E,4),SUMIFS('ON Data'!AG:AG,'ON Data'!$E:$E,4))</f>
        <v>0</v>
      </c>
      <c r="AC13" s="217">
        <f xml:space="preserve">
IF($A$4&lt;=12,SUMIFS('ON Data'!AH:AH,'ON Data'!$D:$D,$A$4,'ON Data'!$E:$E,4),SUMIFS('ON Data'!AH:AH,'ON Data'!$E:$E,4))</f>
        <v>310</v>
      </c>
      <c r="AD13" s="217">
        <f xml:space="preserve">
IF($A$4&lt;=12,SUMIFS('ON Data'!AI:AI,'ON Data'!$D:$D,$A$4,'ON Data'!$E:$E,4),SUMIFS('ON Data'!AI:AI,'ON Data'!$E:$E,4))</f>
        <v>0</v>
      </c>
      <c r="AE13" s="217">
        <f xml:space="preserve">
IF($A$4&lt;=12,SUMIFS('ON Data'!AJ:AJ,'ON Data'!$D:$D,$A$4,'ON Data'!$E:$E,4),SUMIFS('ON Data'!AJ:AJ,'ON Data'!$E:$E,4))</f>
        <v>0</v>
      </c>
      <c r="AF13" s="217">
        <f xml:space="preserve">
IF($A$4&lt;=12,SUMIFS('ON Data'!AK:AK,'ON Data'!$D:$D,$A$4,'ON Data'!$E:$E,4),SUMIFS('ON Data'!AK:AK,'ON Data'!$E:$E,4))</f>
        <v>0</v>
      </c>
      <c r="AG13" s="446">
        <f xml:space="preserve">
IF($A$4&lt;=12,SUMIFS('ON Data'!AM:AM,'ON Data'!$D:$D,$A$4,'ON Data'!$E:$E,4),SUMIFS('ON Data'!AM:AM,'ON Data'!$E:$E,4))</f>
        <v>0</v>
      </c>
      <c r="AH13" s="456"/>
    </row>
    <row r="14" spans="1:34" ht="15" thickBot="1" x14ac:dyDescent="0.35">
      <c r="A14" s="199" t="s">
        <v>135</v>
      </c>
      <c r="B14" s="218">
        <f xml:space="preserve">
IF($A$4&lt;=12,SUMIFS('ON Data'!F:F,'ON Data'!$D:$D,$A$4,'ON Data'!$E:$E,5),SUMIFS('ON Data'!F:F,'ON Data'!$E:$E,5))</f>
        <v>0</v>
      </c>
      <c r="C14" s="219">
        <f xml:space="preserve">
IF($A$4&lt;=12,SUMIFS('ON Data'!G:G,'ON Data'!$D:$D,$A$4,'ON Data'!$E:$E,5),SUMIFS('ON Data'!G:G,'ON Data'!$E:$E,5))</f>
        <v>0</v>
      </c>
      <c r="D14" s="220">
        <f xml:space="preserve">
IF($A$4&lt;=12,SUMIFS('ON Data'!H:H,'ON Data'!$D:$D,$A$4,'ON Data'!$E:$E,5),SUMIFS('ON Data'!H:H,'ON Data'!$E:$E,5))</f>
        <v>0</v>
      </c>
      <c r="E14" s="220">
        <f xml:space="preserve">
IF($A$4&lt;=12,SUMIFS('ON Data'!I:I,'ON Data'!$D:$D,$A$4,'ON Data'!$E:$E,5),SUMIFS('ON Data'!I:I,'ON Data'!$E:$E,5))</f>
        <v>0</v>
      </c>
      <c r="F14" s="220">
        <f xml:space="preserve">
IF($A$4&lt;=12,SUMIFS('ON Data'!K:K,'ON Data'!$D:$D,$A$4,'ON Data'!$E:$E,5),SUMIFS('ON Data'!K:K,'ON Data'!$E:$E,5))</f>
        <v>0</v>
      </c>
      <c r="G14" s="220">
        <f xml:space="preserve">
IF($A$4&lt;=12,SUMIFS('ON Data'!L:L,'ON Data'!$D:$D,$A$4,'ON Data'!$E:$E,5),SUMIFS('ON Data'!L:L,'ON Data'!$E:$E,5))</f>
        <v>0</v>
      </c>
      <c r="H14" s="220">
        <f xml:space="preserve">
IF($A$4&lt;=12,SUMIFS('ON Data'!M:M,'ON Data'!$D:$D,$A$4,'ON Data'!$E:$E,5),SUMIFS('ON Data'!M:M,'ON Data'!$E:$E,5))</f>
        <v>0</v>
      </c>
      <c r="I14" s="220">
        <f xml:space="preserve">
IF($A$4&lt;=12,SUMIFS('ON Data'!N:N,'ON Data'!$D:$D,$A$4,'ON Data'!$E:$E,5),SUMIFS('ON Data'!N:N,'ON Data'!$E:$E,5))</f>
        <v>0</v>
      </c>
      <c r="J14" s="220">
        <f xml:space="preserve">
IF($A$4&lt;=12,SUMIFS('ON Data'!O:O,'ON Data'!$D:$D,$A$4,'ON Data'!$E:$E,5),SUMIFS('ON Data'!O:O,'ON Data'!$E:$E,5))</f>
        <v>0</v>
      </c>
      <c r="K14" s="220">
        <f xml:space="preserve">
IF($A$4&lt;=12,SUMIFS('ON Data'!P:P,'ON Data'!$D:$D,$A$4,'ON Data'!$E:$E,5),SUMIFS('ON Data'!P:P,'ON Data'!$E:$E,5))</f>
        <v>0</v>
      </c>
      <c r="L14" s="220">
        <f xml:space="preserve">
IF($A$4&lt;=12,SUMIFS('ON Data'!Q:Q,'ON Data'!$D:$D,$A$4,'ON Data'!$E:$E,5),SUMIFS('ON Data'!Q:Q,'ON Data'!$E:$E,5))</f>
        <v>0</v>
      </c>
      <c r="M14" s="220">
        <f xml:space="preserve">
IF($A$4&lt;=12,SUMIFS('ON Data'!R:R,'ON Data'!$D:$D,$A$4,'ON Data'!$E:$E,5),SUMIFS('ON Data'!R:R,'ON Data'!$E:$E,5))</f>
        <v>0</v>
      </c>
      <c r="N14" s="220">
        <f xml:space="preserve">
IF($A$4&lt;=12,SUMIFS('ON Data'!S:S,'ON Data'!$D:$D,$A$4,'ON Data'!$E:$E,5),SUMIFS('ON Data'!S:S,'ON Data'!$E:$E,5))</f>
        <v>0</v>
      </c>
      <c r="O14" s="220">
        <f xml:space="preserve">
IF($A$4&lt;=12,SUMIFS('ON Data'!T:T,'ON Data'!$D:$D,$A$4,'ON Data'!$E:$E,5),SUMIFS('ON Data'!T:T,'ON Data'!$E:$E,5))</f>
        <v>0</v>
      </c>
      <c r="P14" s="220">
        <f xml:space="preserve">
IF($A$4&lt;=12,SUMIFS('ON Data'!U:U,'ON Data'!$D:$D,$A$4,'ON Data'!$E:$E,5),SUMIFS('ON Data'!U:U,'ON Data'!$E:$E,5))</f>
        <v>0</v>
      </c>
      <c r="Q14" s="220">
        <f xml:space="preserve">
IF($A$4&lt;=12,SUMIFS('ON Data'!V:V,'ON Data'!$D:$D,$A$4,'ON Data'!$E:$E,5),SUMIFS('ON Data'!V:V,'ON Data'!$E:$E,5))</f>
        <v>0</v>
      </c>
      <c r="R14" s="220">
        <f xml:space="preserve">
IF($A$4&lt;=12,SUMIFS('ON Data'!W:W,'ON Data'!$D:$D,$A$4,'ON Data'!$E:$E,5),SUMIFS('ON Data'!W:W,'ON Data'!$E:$E,5))</f>
        <v>0</v>
      </c>
      <c r="S14" s="220">
        <f xml:space="preserve">
IF($A$4&lt;=12,SUMIFS('ON Data'!X:X,'ON Data'!$D:$D,$A$4,'ON Data'!$E:$E,5),SUMIFS('ON Data'!X:X,'ON Data'!$E:$E,5))</f>
        <v>0</v>
      </c>
      <c r="T14" s="220">
        <f xml:space="preserve">
IF($A$4&lt;=12,SUMIFS('ON Data'!Y:Y,'ON Data'!$D:$D,$A$4,'ON Data'!$E:$E,5),SUMIFS('ON Data'!Y:Y,'ON Data'!$E:$E,5))</f>
        <v>0</v>
      </c>
      <c r="U14" s="220">
        <f xml:space="preserve">
IF($A$4&lt;=12,SUMIFS('ON Data'!Z:Z,'ON Data'!$D:$D,$A$4,'ON Data'!$E:$E,5),SUMIFS('ON Data'!Z:Z,'ON Data'!$E:$E,5))</f>
        <v>0</v>
      </c>
      <c r="V14" s="220">
        <f xml:space="preserve">
IF($A$4&lt;=12,SUMIFS('ON Data'!AA:AA,'ON Data'!$D:$D,$A$4,'ON Data'!$E:$E,5),SUMIFS('ON Data'!AA:AA,'ON Data'!$E:$E,5))</f>
        <v>0</v>
      </c>
      <c r="W14" s="220">
        <f xml:space="preserve">
IF($A$4&lt;=12,SUMIFS('ON Data'!AB:AB,'ON Data'!$D:$D,$A$4,'ON Data'!$E:$E,5),SUMIFS('ON Data'!AB:AB,'ON Data'!$E:$E,5))</f>
        <v>0</v>
      </c>
      <c r="X14" s="220">
        <f xml:space="preserve">
IF($A$4&lt;=12,SUMIFS('ON Data'!AC:AC,'ON Data'!$D:$D,$A$4,'ON Data'!$E:$E,5),SUMIFS('ON Data'!AC:AC,'ON Data'!$E:$E,5))</f>
        <v>0</v>
      </c>
      <c r="Y14" s="220">
        <f xml:space="preserve">
IF($A$4&lt;=12,SUMIFS('ON Data'!AD:AD,'ON Data'!$D:$D,$A$4,'ON Data'!$E:$E,5),SUMIFS('ON Data'!AD:AD,'ON Data'!$E:$E,5))</f>
        <v>0</v>
      </c>
      <c r="Z14" s="220">
        <f xml:space="preserve">
IF($A$4&lt;=12,SUMIFS('ON Data'!AE:AE,'ON Data'!$D:$D,$A$4,'ON Data'!$E:$E,5),SUMIFS('ON Data'!AE:AE,'ON Data'!$E:$E,5))</f>
        <v>0</v>
      </c>
      <c r="AA14" s="220">
        <f xml:space="preserve">
IF($A$4&lt;=12,SUMIFS('ON Data'!AF:AF,'ON Data'!$D:$D,$A$4,'ON Data'!$E:$E,5),SUMIFS('ON Data'!AF:AF,'ON Data'!$E:$E,5))</f>
        <v>0</v>
      </c>
      <c r="AB14" s="220">
        <f xml:space="preserve">
IF($A$4&lt;=12,SUMIFS('ON Data'!AG:AG,'ON Data'!$D:$D,$A$4,'ON Data'!$E:$E,5),SUMIFS('ON Data'!AG:AG,'ON Data'!$E:$E,5))</f>
        <v>0</v>
      </c>
      <c r="AC14" s="220">
        <f xml:space="preserve">
IF($A$4&lt;=12,SUMIFS('ON Data'!AH:AH,'ON Data'!$D:$D,$A$4,'ON Data'!$E:$E,5),SUMIFS('ON Data'!AH:AH,'ON Data'!$E:$E,5))</f>
        <v>0</v>
      </c>
      <c r="AD14" s="220">
        <f xml:space="preserve">
IF($A$4&lt;=12,SUMIFS('ON Data'!AI:AI,'ON Data'!$D:$D,$A$4,'ON Data'!$E:$E,5),SUMIFS('ON Data'!AI:AI,'ON Data'!$E:$E,5))</f>
        <v>0</v>
      </c>
      <c r="AE14" s="220">
        <f xml:space="preserve">
IF($A$4&lt;=12,SUMIFS('ON Data'!AJ:AJ,'ON Data'!$D:$D,$A$4,'ON Data'!$E:$E,5),SUMIFS('ON Data'!AJ:AJ,'ON Data'!$E:$E,5))</f>
        <v>0</v>
      </c>
      <c r="AF14" s="220">
        <f xml:space="preserve">
IF($A$4&lt;=12,SUMIFS('ON Data'!AK:AK,'ON Data'!$D:$D,$A$4,'ON Data'!$E:$E,5),SUMIFS('ON Data'!AK:AK,'ON Data'!$E:$E,5))</f>
        <v>0</v>
      </c>
      <c r="AG14" s="447">
        <f xml:space="preserve">
IF($A$4&lt;=12,SUMIFS('ON Data'!AM:AM,'ON Data'!$D:$D,$A$4,'ON Data'!$E:$E,5),SUMIFS('ON Data'!AM:AM,'ON Data'!$E:$E,5))</f>
        <v>0</v>
      </c>
      <c r="AH14" s="456"/>
    </row>
    <row r="15" spans="1:34" x14ac:dyDescent="0.3">
      <c r="A15" s="137" t="s">
        <v>145</v>
      </c>
      <c r="B15" s="221"/>
      <c r="C15" s="222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448"/>
      <c r="AH15" s="456"/>
    </row>
    <row r="16" spans="1:34" x14ac:dyDescent="0.3">
      <c r="A16" s="200" t="s">
        <v>136</v>
      </c>
      <c r="B16" s="215">
        <f xml:space="preserve">
IF($A$4&lt;=12,SUMIFS('ON Data'!F:F,'ON Data'!$D:$D,$A$4,'ON Data'!$E:$E,7),SUMIFS('ON Data'!F:F,'ON Data'!$E:$E,7))</f>
        <v>0</v>
      </c>
      <c r="C16" s="216">
        <f xml:space="preserve">
IF($A$4&lt;=12,SUMIFS('ON Data'!G:G,'ON Data'!$D:$D,$A$4,'ON Data'!$E:$E,7),SUMIFS('ON Data'!G:G,'ON Data'!$E:$E,7))</f>
        <v>0</v>
      </c>
      <c r="D16" s="217">
        <f xml:space="preserve">
IF($A$4&lt;=12,SUMIFS('ON Data'!H:H,'ON Data'!$D:$D,$A$4,'ON Data'!$E:$E,7),SUMIFS('ON Data'!H:H,'ON Data'!$E:$E,7))</f>
        <v>0</v>
      </c>
      <c r="E16" s="217">
        <f xml:space="preserve">
IF($A$4&lt;=12,SUMIFS('ON Data'!I:I,'ON Data'!$D:$D,$A$4,'ON Data'!$E:$E,7),SUMIFS('ON Data'!I:I,'ON Data'!$E:$E,7))</f>
        <v>0</v>
      </c>
      <c r="F16" s="217">
        <f xml:space="preserve">
IF($A$4&lt;=12,SUMIFS('ON Data'!K:K,'ON Data'!$D:$D,$A$4,'ON Data'!$E:$E,7),SUMIFS('ON Data'!K:K,'ON Data'!$E:$E,7))</f>
        <v>0</v>
      </c>
      <c r="G16" s="217">
        <f xml:space="preserve">
IF($A$4&lt;=12,SUMIFS('ON Data'!L:L,'ON Data'!$D:$D,$A$4,'ON Data'!$E:$E,7),SUMIFS('ON Data'!L:L,'ON Data'!$E:$E,7))</f>
        <v>0</v>
      </c>
      <c r="H16" s="217">
        <f xml:space="preserve">
IF($A$4&lt;=12,SUMIFS('ON Data'!M:M,'ON Data'!$D:$D,$A$4,'ON Data'!$E:$E,7),SUMIFS('ON Data'!M:M,'ON Data'!$E:$E,7))</f>
        <v>0</v>
      </c>
      <c r="I16" s="217">
        <f xml:space="preserve">
IF($A$4&lt;=12,SUMIFS('ON Data'!N:N,'ON Data'!$D:$D,$A$4,'ON Data'!$E:$E,7),SUMIFS('ON Data'!N:N,'ON Data'!$E:$E,7))</f>
        <v>0</v>
      </c>
      <c r="J16" s="217">
        <f xml:space="preserve">
IF($A$4&lt;=12,SUMIFS('ON Data'!O:O,'ON Data'!$D:$D,$A$4,'ON Data'!$E:$E,7),SUMIFS('ON Data'!O:O,'ON Data'!$E:$E,7))</f>
        <v>0</v>
      </c>
      <c r="K16" s="217">
        <f xml:space="preserve">
IF($A$4&lt;=12,SUMIFS('ON Data'!P:P,'ON Data'!$D:$D,$A$4,'ON Data'!$E:$E,7),SUMIFS('ON Data'!P:P,'ON Data'!$E:$E,7))</f>
        <v>0</v>
      </c>
      <c r="L16" s="217">
        <f xml:space="preserve">
IF($A$4&lt;=12,SUMIFS('ON Data'!Q:Q,'ON Data'!$D:$D,$A$4,'ON Data'!$E:$E,7),SUMIFS('ON Data'!Q:Q,'ON Data'!$E:$E,7))</f>
        <v>0</v>
      </c>
      <c r="M16" s="217">
        <f xml:space="preserve">
IF($A$4&lt;=12,SUMIFS('ON Data'!R:R,'ON Data'!$D:$D,$A$4,'ON Data'!$E:$E,7),SUMIFS('ON Data'!R:R,'ON Data'!$E:$E,7))</f>
        <v>0</v>
      </c>
      <c r="N16" s="217">
        <f xml:space="preserve">
IF($A$4&lt;=12,SUMIFS('ON Data'!S:S,'ON Data'!$D:$D,$A$4,'ON Data'!$E:$E,7),SUMIFS('ON Data'!S:S,'ON Data'!$E:$E,7))</f>
        <v>0</v>
      </c>
      <c r="O16" s="217">
        <f xml:space="preserve">
IF($A$4&lt;=12,SUMIFS('ON Data'!T:T,'ON Data'!$D:$D,$A$4,'ON Data'!$E:$E,7),SUMIFS('ON Data'!T:T,'ON Data'!$E:$E,7))</f>
        <v>0</v>
      </c>
      <c r="P16" s="217">
        <f xml:space="preserve">
IF($A$4&lt;=12,SUMIFS('ON Data'!U:U,'ON Data'!$D:$D,$A$4,'ON Data'!$E:$E,7),SUMIFS('ON Data'!U:U,'ON Data'!$E:$E,7))</f>
        <v>0</v>
      </c>
      <c r="Q16" s="217">
        <f xml:space="preserve">
IF($A$4&lt;=12,SUMIFS('ON Data'!V:V,'ON Data'!$D:$D,$A$4,'ON Data'!$E:$E,7),SUMIFS('ON Data'!V:V,'ON Data'!$E:$E,7))</f>
        <v>0</v>
      </c>
      <c r="R16" s="217">
        <f xml:space="preserve">
IF($A$4&lt;=12,SUMIFS('ON Data'!W:W,'ON Data'!$D:$D,$A$4,'ON Data'!$E:$E,7),SUMIFS('ON Data'!W:W,'ON Data'!$E:$E,7))</f>
        <v>0</v>
      </c>
      <c r="S16" s="217">
        <f xml:space="preserve">
IF($A$4&lt;=12,SUMIFS('ON Data'!X:X,'ON Data'!$D:$D,$A$4,'ON Data'!$E:$E,7),SUMIFS('ON Data'!X:X,'ON Data'!$E:$E,7))</f>
        <v>0</v>
      </c>
      <c r="T16" s="217">
        <f xml:space="preserve">
IF($A$4&lt;=12,SUMIFS('ON Data'!Y:Y,'ON Data'!$D:$D,$A$4,'ON Data'!$E:$E,7),SUMIFS('ON Data'!Y:Y,'ON Data'!$E:$E,7))</f>
        <v>0</v>
      </c>
      <c r="U16" s="217">
        <f xml:space="preserve">
IF($A$4&lt;=12,SUMIFS('ON Data'!Z:Z,'ON Data'!$D:$D,$A$4,'ON Data'!$E:$E,7),SUMIFS('ON Data'!Z:Z,'ON Data'!$E:$E,7))</f>
        <v>0</v>
      </c>
      <c r="V16" s="217">
        <f xml:space="preserve">
IF($A$4&lt;=12,SUMIFS('ON Data'!AA:AA,'ON Data'!$D:$D,$A$4,'ON Data'!$E:$E,7),SUMIFS('ON Data'!AA:AA,'ON Data'!$E:$E,7))</f>
        <v>0</v>
      </c>
      <c r="W16" s="217">
        <f xml:space="preserve">
IF($A$4&lt;=12,SUMIFS('ON Data'!AB:AB,'ON Data'!$D:$D,$A$4,'ON Data'!$E:$E,7),SUMIFS('ON Data'!AB:AB,'ON Data'!$E:$E,7))</f>
        <v>0</v>
      </c>
      <c r="X16" s="217">
        <f xml:space="preserve">
IF($A$4&lt;=12,SUMIFS('ON Data'!AC:AC,'ON Data'!$D:$D,$A$4,'ON Data'!$E:$E,7),SUMIFS('ON Data'!AC:AC,'ON Data'!$E:$E,7))</f>
        <v>0</v>
      </c>
      <c r="Y16" s="217">
        <f xml:space="preserve">
IF($A$4&lt;=12,SUMIFS('ON Data'!AD:AD,'ON Data'!$D:$D,$A$4,'ON Data'!$E:$E,7),SUMIFS('ON Data'!AD:AD,'ON Data'!$E:$E,7))</f>
        <v>0</v>
      </c>
      <c r="Z16" s="217">
        <f xml:space="preserve">
IF($A$4&lt;=12,SUMIFS('ON Data'!AE:AE,'ON Data'!$D:$D,$A$4,'ON Data'!$E:$E,7),SUMIFS('ON Data'!AE:AE,'ON Data'!$E:$E,7))</f>
        <v>0</v>
      </c>
      <c r="AA16" s="217">
        <f xml:space="preserve">
IF($A$4&lt;=12,SUMIFS('ON Data'!AF:AF,'ON Data'!$D:$D,$A$4,'ON Data'!$E:$E,7),SUMIFS('ON Data'!AF:AF,'ON Data'!$E:$E,7))</f>
        <v>0</v>
      </c>
      <c r="AB16" s="217">
        <f xml:space="preserve">
IF($A$4&lt;=12,SUMIFS('ON Data'!AG:AG,'ON Data'!$D:$D,$A$4,'ON Data'!$E:$E,7),SUMIFS('ON Data'!AG:AG,'ON Data'!$E:$E,7))</f>
        <v>0</v>
      </c>
      <c r="AC16" s="217">
        <f xml:space="preserve">
IF($A$4&lt;=12,SUMIFS('ON Data'!AH:AH,'ON Data'!$D:$D,$A$4,'ON Data'!$E:$E,7),SUMIFS('ON Data'!AH:AH,'ON Data'!$E:$E,7))</f>
        <v>0</v>
      </c>
      <c r="AD16" s="217">
        <f xml:space="preserve">
IF($A$4&lt;=12,SUMIFS('ON Data'!AI:AI,'ON Data'!$D:$D,$A$4,'ON Data'!$E:$E,7),SUMIFS('ON Data'!AI:AI,'ON Data'!$E:$E,7))</f>
        <v>0</v>
      </c>
      <c r="AE16" s="217">
        <f xml:space="preserve">
IF($A$4&lt;=12,SUMIFS('ON Data'!AJ:AJ,'ON Data'!$D:$D,$A$4,'ON Data'!$E:$E,7),SUMIFS('ON Data'!AJ:AJ,'ON Data'!$E:$E,7))</f>
        <v>0</v>
      </c>
      <c r="AF16" s="217">
        <f xml:space="preserve">
IF($A$4&lt;=12,SUMIFS('ON Data'!AK:AK,'ON Data'!$D:$D,$A$4,'ON Data'!$E:$E,7),SUMIFS('ON Data'!AK:AK,'ON Data'!$E:$E,7))</f>
        <v>0</v>
      </c>
      <c r="AG16" s="446">
        <f xml:space="preserve">
IF($A$4&lt;=12,SUMIFS('ON Data'!AM:AM,'ON Data'!$D:$D,$A$4,'ON Data'!$E:$E,7),SUMIFS('ON Data'!AM:AM,'ON Data'!$E:$E,7))</f>
        <v>0</v>
      </c>
      <c r="AH16" s="456"/>
    </row>
    <row r="17" spans="1:34" x14ac:dyDescent="0.3">
      <c r="A17" s="200" t="s">
        <v>137</v>
      </c>
      <c r="B17" s="215">
        <f xml:space="preserve">
IF($A$4&lt;=12,SUMIFS('ON Data'!F:F,'ON Data'!$D:$D,$A$4,'ON Data'!$E:$E,8),SUMIFS('ON Data'!F:F,'ON Data'!$E:$E,8))</f>
        <v>0</v>
      </c>
      <c r="C17" s="216">
        <f xml:space="preserve">
IF($A$4&lt;=12,SUMIFS('ON Data'!G:G,'ON Data'!$D:$D,$A$4,'ON Data'!$E:$E,8),SUMIFS('ON Data'!G:G,'ON Data'!$E:$E,8))</f>
        <v>0</v>
      </c>
      <c r="D17" s="217">
        <f xml:space="preserve">
IF($A$4&lt;=12,SUMIFS('ON Data'!H:H,'ON Data'!$D:$D,$A$4,'ON Data'!$E:$E,8),SUMIFS('ON Data'!H:H,'ON Data'!$E:$E,8))</f>
        <v>0</v>
      </c>
      <c r="E17" s="217">
        <f xml:space="preserve">
IF($A$4&lt;=12,SUMIFS('ON Data'!I:I,'ON Data'!$D:$D,$A$4,'ON Data'!$E:$E,8),SUMIFS('ON Data'!I:I,'ON Data'!$E:$E,8))</f>
        <v>0</v>
      </c>
      <c r="F17" s="217">
        <f xml:space="preserve">
IF($A$4&lt;=12,SUMIFS('ON Data'!K:K,'ON Data'!$D:$D,$A$4,'ON Data'!$E:$E,8),SUMIFS('ON Data'!K:K,'ON Data'!$E:$E,8))</f>
        <v>0</v>
      </c>
      <c r="G17" s="217">
        <f xml:space="preserve">
IF($A$4&lt;=12,SUMIFS('ON Data'!L:L,'ON Data'!$D:$D,$A$4,'ON Data'!$E:$E,8),SUMIFS('ON Data'!L:L,'ON Data'!$E:$E,8))</f>
        <v>0</v>
      </c>
      <c r="H17" s="217">
        <f xml:space="preserve">
IF($A$4&lt;=12,SUMIFS('ON Data'!M:M,'ON Data'!$D:$D,$A$4,'ON Data'!$E:$E,8),SUMIFS('ON Data'!M:M,'ON Data'!$E:$E,8))</f>
        <v>0</v>
      </c>
      <c r="I17" s="217">
        <f xml:space="preserve">
IF($A$4&lt;=12,SUMIFS('ON Data'!N:N,'ON Data'!$D:$D,$A$4,'ON Data'!$E:$E,8),SUMIFS('ON Data'!N:N,'ON Data'!$E:$E,8))</f>
        <v>0</v>
      </c>
      <c r="J17" s="217">
        <f xml:space="preserve">
IF($A$4&lt;=12,SUMIFS('ON Data'!O:O,'ON Data'!$D:$D,$A$4,'ON Data'!$E:$E,8),SUMIFS('ON Data'!O:O,'ON Data'!$E:$E,8))</f>
        <v>0</v>
      </c>
      <c r="K17" s="217">
        <f xml:space="preserve">
IF($A$4&lt;=12,SUMIFS('ON Data'!P:P,'ON Data'!$D:$D,$A$4,'ON Data'!$E:$E,8),SUMIFS('ON Data'!P:P,'ON Data'!$E:$E,8))</f>
        <v>0</v>
      </c>
      <c r="L17" s="217">
        <f xml:space="preserve">
IF($A$4&lt;=12,SUMIFS('ON Data'!Q:Q,'ON Data'!$D:$D,$A$4,'ON Data'!$E:$E,8),SUMIFS('ON Data'!Q:Q,'ON Data'!$E:$E,8))</f>
        <v>0</v>
      </c>
      <c r="M17" s="217">
        <f xml:space="preserve">
IF($A$4&lt;=12,SUMIFS('ON Data'!R:R,'ON Data'!$D:$D,$A$4,'ON Data'!$E:$E,8),SUMIFS('ON Data'!R:R,'ON Data'!$E:$E,8))</f>
        <v>0</v>
      </c>
      <c r="N17" s="217">
        <f xml:space="preserve">
IF($A$4&lt;=12,SUMIFS('ON Data'!S:S,'ON Data'!$D:$D,$A$4,'ON Data'!$E:$E,8),SUMIFS('ON Data'!S:S,'ON Data'!$E:$E,8))</f>
        <v>0</v>
      </c>
      <c r="O17" s="217">
        <f xml:space="preserve">
IF($A$4&lt;=12,SUMIFS('ON Data'!T:T,'ON Data'!$D:$D,$A$4,'ON Data'!$E:$E,8),SUMIFS('ON Data'!T:T,'ON Data'!$E:$E,8))</f>
        <v>0</v>
      </c>
      <c r="P17" s="217">
        <f xml:space="preserve">
IF($A$4&lt;=12,SUMIFS('ON Data'!U:U,'ON Data'!$D:$D,$A$4,'ON Data'!$E:$E,8),SUMIFS('ON Data'!U:U,'ON Data'!$E:$E,8))</f>
        <v>0</v>
      </c>
      <c r="Q17" s="217">
        <f xml:space="preserve">
IF($A$4&lt;=12,SUMIFS('ON Data'!V:V,'ON Data'!$D:$D,$A$4,'ON Data'!$E:$E,8),SUMIFS('ON Data'!V:V,'ON Data'!$E:$E,8))</f>
        <v>0</v>
      </c>
      <c r="R17" s="217">
        <f xml:space="preserve">
IF($A$4&lt;=12,SUMIFS('ON Data'!W:W,'ON Data'!$D:$D,$A$4,'ON Data'!$E:$E,8),SUMIFS('ON Data'!W:W,'ON Data'!$E:$E,8))</f>
        <v>0</v>
      </c>
      <c r="S17" s="217">
        <f xml:space="preserve">
IF($A$4&lt;=12,SUMIFS('ON Data'!X:X,'ON Data'!$D:$D,$A$4,'ON Data'!$E:$E,8),SUMIFS('ON Data'!X:X,'ON Data'!$E:$E,8))</f>
        <v>0</v>
      </c>
      <c r="T17" s="217">
        <f xml:space="preserve">
IF($A$4&lt;=12,SUMIFS('ON Data'!Y:Y,'ON Data'!$D:$D,$A$4,'ON Data'!$E:$E,8),SUMIFS('ON Data'!Y:Y,'ON Data'!$E:$E,8))</f>
        <v>0</v>
      </c>
      <c r="U17" s="217">
        <f xml:space="preserve">
IF($A$4&lt;=12,SUMIFS('ON Data'!Z:Z,'ON Data'!$D:$D,$A$4,'ON Data'!$E:$E,8),SUMIFS('ON Data'!Z:Z,'ON Data'!$E:$E,8))</f>
        <v>0</v>
      </c>
      <c r="V17" s="217">
        <f xml:space="preserve">
IF($A$4&lt;=12,SUMIFS('ON Data'!AA:AA,'ON Data'!$D:$D,$A$4,'ON Data'!$E:$E,8),SUMIFS('ON Data'!AA:AA,'ON Data'!$E:$E,8))</f>
        <v>0</v>
      </c>
      <c r="W17" s="217">
        <f xml:space="preserve">
IF($A$4&lt;=12,SUMIFS('ON Data'!AB:AB,'ON Data'!$D:$D,$A$4,'ON Data'!$E:$E,8),SUMIFS('ON Data'!AB:AB,'ON Data'!$E:$E,8))</f>
        <v>0</v>
      </c>
      <c r="X17" s="217">
        <f xml:space="preserve">
IF($A$4&lt;=12,SUMIFS('ON Data'!AC:AC,'ON Data'!$D:$D,$A$4,'ON Data'!$E:$E,8),SUMIFS('ON Data'!AC:AC,'ON Data'!$E:$E,8))</f>
        <v>0</v>
      </c>
      <c r="Y17" s="217">
        <f xml:space="preserve">
IF($A$4&lt;=12,SUMIFS('ON Data'!AD:AD,'ON Data'!$D:$D,$A$4,'ON Data'!$E:$E,8),SUMIFS('ON Data'!AD:AD,'ON Data'!$E:$E,8))</f>
        <v>0</v>
      </c>
      <c r="Z17" s="217">
        <f xml:space="preserve">
IF($A$4&lt;=12,SUMIFS('ON Data'!AE:AE,'ON Data'!$D:$D,$A$4,'ON Data'!$E:$E,8),SUMIFS('ON Data'!AE:AE,'ON Data'!$E:$E,8))</f>
        <v>0</v>
      </c>
      <c r="AA17" s="217">
        <f xml:space="preserve">
IF($A$4&lt;=12,SUMIFS('ON Data'!AF:AF,'ON Data'!$D:$D,$A$4,'ON Data'!$E:$E,8),SUMIFS('ON Data'!AF:AF,'ON Data'!$E:$E,8))</f>
        <v>0</v>
      </c>
      <c r="AB17" s="217">
        <f xml:space="preserve">
IF($A$4&lt;=12,SUMIFS('ON Data'!AG:AG,'ON Data'!$D:$D,$A$4,'ON Data'!$E:$E,8),SUMIFS('ON Data'!AG:AG,'ON Data'!$E:$E,8))</f>
        <v>0</v>
      </c>
      <c r="AC17" s="217">
        <f xml:space="preserve">
IF($A$4&lt;=12,SUMIFS('ON Data'!AH:AH,'ON Data'!$D:$D,$A$4,'ON Data'!$E:$E,8),SUMIFS('ON Data'!AH:AH,'ON Data'!$E:$E,8))</f>
        <v>0</v>
      </c>
      <c r="AD17" s="217">
        <f xml:space="preserve">
IF($A$4&lt;=12,SUMIFS('ON Data'!AI:AI,'ON Data'!$D:$D,$A$4,'ON Data'!$E:$E,8),SUMIFS('ON Data'!AI:AI,'ON Data'!$E:$E,8))</f>
        <v>0</v>
      </c>
      <c r="AE17" s="217">
        <f xml:space="preserve">
IF($A$4&lt;=12,SUMIFS('ON Data'!AJ:AJ,'ON Data'!$D:$D,$A$4,'ON Data'!$E:$E,8),SUMIFS('ON Data'!AJ:AJ,'ON Data'!$E:$E,8))</f>
        <v>0</v>
      </c>
      <c r="AF17" s="217">
        <f xml:space="preserve">
IF($A$4&lt;=12,SUMIFS('ON Data'!AK:AK,'ON Data'!$D:$D,$A$4,'ON Data'!$E:$E,8),SUMIFS('ON Data'!AK:AK,'ON Data'!$E:$E,8))</f>
        <v>0</v>
      </c>
      <c r="AG17" s="446">
        <f xml:space="preserve">
IF($A$4&lt;=12,SUMIFS('ON Data'!AM:AM,'ON Data'!$D:$D,$A$4,'ON Data'!$E:$E,8),SUMIFS('ON Data'!AM:AM,'ON Data'!$E:$E,8))</f>
        <v>0</v>
      </c>
      <c r="AH17" s="456"/>
    </row>
    <row r="18" spans="1:34" x14ac:dyDescent="0.3">
      <c r="A18" s="200" t="s">
        <v>138</v>
      </c>
      <c r="B18" s="215">
        <f xml:space="preserve">
B19-B16-B17</f>
        <v>52062</v>
      </c>
      <c r="C18" s="216">
        <f t="shared" ref="C18" si="0" xml:space="preserve">
C19-C16-C17</f>
        <v>0</v>
      </c>
      <c r="D18" s="217">
        <f t="shared" ref="D18:AG18" si="1" xml:space="preserve">
D19-D16-D17</f>
        <v>0</v>
      </c>
      <c r="E18" s="217">
        <f t="shared" si="1"/>
        <v>0</v>
      </c>
      <c r="F18" s="217">
        <f t="shared" si="1"/>
        <v>40406</v>
      </c>
      <c r="G18" s="217">
        <f t="shared" si="1"/>
        <v>0</v>
      </c>
      <c r="H18" s="217">
        <f t="shared" si="1"/>
        <v>0</v>
      </c>
      <c r="I18" s="217">
        <f t="shared" si="1"/>
        <v>0</v>
      </c>
      <c r="J18" s="217">
        <f t="shared" si="1"/>
        <v>0</v>
      </c>
      <c r="K18" s="217">
        <f t="shared" si="1"/>
        <v>0</v>
      </c>
      <c r="L18" s="217">
        <f t="shared" si="1"/>
        <v>0</v>
      </c>
      <c r="M18" s="217">
        <f t="shared" si="1"/>
        <v>0</v>
      </c>
      <c r="N18" s="217">
        <f t="shared" si="1"/>
        <v>0</v>
      </c>
      <c r="O18" s="217">
        <f t="shared" si="1"/>
        <v>0</v>
      </c>
      <c r="P18" s="217">
        <f t="shared" si="1"/>
        <v>0</v>
      </c>
      <c r="Q18" s="217">
        <f t="shared" si="1"/>
        <v>0</v>
      </c>
      <c r="R18" s="217">
        <f t="shared" si="1"/>
        <v>0</v>
      </c>
      <c r="S18" s="217">
        <f t="shared" si="1"/>
        <v>0</v>
      </c>
      <c r="T18" s="217">
        <f t="shared" si="1"/>
        <v>0</v>
      </c>
      <c r="U18" s="217">
        <f t="shared" si="1"/>
        <v>0</v>
      </c>
      <c r="V18" s="217">
        <f t="shared" si="1"/>
        <v>0</v>
      </c>
      <c r="W18" s="217">
        <f t="shared" si="1"/>
        <v>0</v>
      </c>
      <c r="X18" s="217">
        <f t="shared" si="1"/>
        <v>0</v>
      </c>
      <c r="Y18" s="217">
        <f t="shared" si="1"/>
        <v>0</v>
      </c>
      <c r="Z18" s="217">
        <f t="shared" si="1"/>
        <v>0</v>
      </c>
      <c r="AA18" s="217">
        <f t="shared" si="1"/>
        <v>0</v>
      </c>
      <c r="AB18" s="217">
        <f t="shared" si="1"/>
        <v>0</v>
      </c>
      <c r="AC18" s="217">
        <f t="shared" si="1"/>
        <v>11656</v>
      </c>
      <c r="AD18" s="217">
        <f t="shared" si="1"/>
        <v>0</v>
      </c>
      <c r="AE18" s="217">
        <f t="shared" si="1"/>
        <v>0</v>
      </c>
      <c r="AF18" s="217">
        <f t="shared" si="1"/>
        <v>0</v>
      </c>
      <c r="AG18" s="446">
        <f t="shared" si="1"/>
        <v>0</v>
      </c>
      <c r="AH18" s="456"/>
    </row>
    <row r="19" spans="1:34" ht="15" thickBot="1" x14ac:dyDescent="0.35">
      <c r="A19" s="201" t="s">
        <v>139</v>
      </c>
      <c r="B19" s="224">
        <f xml:space="preserve">
IF($A$4&lt;=12,SUMIFS('ON Data'!F:F,'ON Data'!$D:$D,$A$4,'ON Data'!$E:$E,9),SUMIFS('ON Data'!F:F,'ON Data'!$E:$E,9))</f>
        <v>52062</v>
      </c>
      <c r="C19" s="225">
        <f xml:space="preserve">
IF($A$4&lt;=12,SUMIFS('ON Data'!G:G,'ON Data'!$D:$D,$A$4,'ON Data'!$E:$E,9),SUMIFS('ON Data'!G:G,'ON Data'!$E:$E,9))</f>
        <v>0</v>
      </c>
      <c r="D19" s="226">
        <f xml:space="preserve">
IF($A$4&lt;=12,SUMIFS('ON Data'!H:H,'ON Data'!$D:$D,$A$4,'ON Data'!$E:$E,9),SUMIFS('ON Data'!H:H,'ON Data'!$E:$E,9))</f>
        <v>0</v>
      </c>
      <c r="E19" s="226">
        <f xml:space="preserve">
IF($A$4&lt;=12,SUMIFS('ON Data'!I:I,'ON Data'!$D:$D,$A$4,'ON Data'!$E:$E,9),SUMIFS('ON Data'!I:I,'ON Data'!$E:$E,9))</f>
        <v>0</v>
      </c>
      <c r="F19" s="226">
        <f xml:space="preserve">
IF($A$4&lt;=12,SUMIFS('ON Data'!K:K,'ON Data'!$D:$D,$A$4,'ON Data'!$E:$E,9),SUMIFS('ON Data'!K:K,'ON Data'!$E:$E,9))</f>
        <v>40406</v>
      </c>
      <c r="G19" s="226">
        <f xml:space="preserve">
IF($A$4&lt;=12,SUMIFS('ON Data'!L:L,'ON Data'!$D:$D,$A$4,'ON Data'!$E:$E,9),SUMIFS('ON Data'!L:L,'ON Data'!$E:$E,9))</f>
        <v>0</v>
      </c>
      <c r="H19" s="226">
        <f xml:space="preserve">
IF($A$4&lt;=12,SUMIFS('ON Data'!M:M,'ON Data'!$D:$D,$A$4,'ON Data'!$E:$E,9),SUMIFS('ON Data'!M:M,'ON Data'!$E:$E,9))</f>
        <v>0</v>
      </c>
      <c r="I19" s="226">
        <f xml:space="preserve">
IF($A$4&lt;=12,SUMIFS('ON Data'!N:N,'ON Data'!$D:$D,$A$4,'ON Data'!$E:$E,9),SUMIFS('ON Data'!N:N,'ON Data'!$E:$E,9))</f>
        <v>0</v>
      </c>
      <c r="J19" s="226">
        <f xml:space="preserve">
IF($A$4&lt;=12,SUMIFS('ON Data'!O:O,'ON Data'!$D:$D,$A$4,'ON Data'!$E:$E,9),SUMIFS('ON Data'!O:O,'ON Data'!$E:$E,9))</f>
        <v>0</v>
      </c>
      <c r="K19" s="226">
        <f xml:space="preserve">
IF($A$4&lt;=12,SUMIFS('ON Data'!P:P,'ON Data'!$D:$D,$A$4,'ON Data'!$E:$E,9),SUMIFS('ON Data'!P:P,'ON Data'!$E:$E,9))</f>
        <v>0</v>
      </c>
      <c r="L19" s="226">
        <f xml:space="preserve">
IF($A$4&lt;=12,SUMIFS('ON Data'!Q:Q,'ON Data'!$D:$D,$A$4,'ON Data'!$E:$E,9),SUMIFS('ON Data'!Q:Q,'ON Data'!$E:$E,9))</f>
        <v>0</v>
      </c>
      <c r="M19" s="226">
        <f xml:space="preserve">
IF($A$4&lt;=12,SUMIFS('ON Data'!R:R,'ON Data'!$D:$D,$A$4,'ON Data'!$E:$E,9),SUMIFS('ON Data'!R:R,'ON Data'!$E:$E,9))</f>
        <v>0</v>
      </c>
      <c r="N19" s="226">
        <f xml:space="preserve">
IF($A$4&lt;=12,SUMIFS('ON Data'!S:S,'ON Data'!$D:$D,$A$4,'ON Data'!$E:$E,9),SUMIFS('ON Data'!S:S,'ON Data'!$E:$E,9))</f>
        <v>0</v>
      </c>
      <c r="O19" s="226">
        <f xml:space="preserve">
IF($A$4&lt;=12,SUMIFS('ON Data'!T:T,'ON Data'!$D:$D,$A$4,'ON Data'!$E:$E,9),SUMIFS('ON Data'!T:T,'ON Data'!$E:$E,9))</f>
        <v>0</v>
      </c>
      <c r="P19" s="226">
        <f xml:space="preserve">
IF($A$4&lt;=12,SUMIFS('ON Data'!U:U,'ON Data'!$D:$D,$A$4,'ON Data'!$E:$E,9),SUMIFS('ON Data'!U:U,'ON Data'!$E:$E,9))</f>
        <v>0</v>
      </c>
      <c r="Q19" s="226">
        <f xml:space="preserve">
IF($A$4&lt;=12,SUMIFS('ON Data'!V:V,'ON Data'!$D:$D,$A$4,'ON Data'!$E:$E,9),SUMIFS('ON Data'!V:V,'ON Data'!$E:$E,9))</f>
        <v>0</v>
      </c>
      <c r="R19" s="226">
        <f xml:space="preserve">
IF($A$4&lt;=12,SUMIFS('ON Data'!W:W,'ON Data'!$D:$D,$A$4,'ON Data'!$E:$E,9),SUMIFS('ON Data'!W:W,'ON Data'!$E:$E,9))</f>
        <v>0</v>
      </c>
      <c r="S19" s="226">
        <f xml:space="preserve">
IF($A$4&lt;=12,SUMIFS('ON Data'!X:X,'ON Data'!$D:$D,$A$4,'ON Data'!$E:$E,9),SUMIFS('ON Data'!X:X,'ON Data'!$E:$E,9))</f>
        <v>0</v>
      </c>
      <c r="T19" s="226">
        <f xml:space="preserve">
IF($A$4&lt;=12,SUMIFS('ON Data'!Y:Y,'ON Data'!$D:$D,$A$4,'ON Data'!$E:$E,9),SUMIFS('ON Data'!Y:Y,'ON Data'!$E:$E,9))</f>
        <v>0</v>
      </c>
      <c r="U19" s="226">
        <f xml:space="preserve">
IF($A$4&lt;=12,SUMIFS('ON Data'!Z:Z,'ON Data'!$D:$D,$A$4,'ON Data'!$E:$E,9),SUMIFS('ON Data'!Z:Z,'ON Data'!$E:$E,9))</f>
        <v>0</v>
      </c>
      <c r="V19" s="226">
        <f xml:space="preserve">
IF($A$4&lt;=12,SUMIFS('ON Data'!AA:AA,'ON Data'!$D:$D,$A$4,'ON Data'!$E:$E,9),SUMIFS('ON Data'!AA:AA,'ON Data'!$E:$E,9))</f>
        <v>0</v>
      </c>
      <c r="W19" s="226">
        <f xml:space="preserve">
IF($A$4&lt;=12,SUMIFS('ON Data'!AB:AB,'ON Data'!$D:$D,$A$4,'ON Data'!$E:$E,9),SUMIFS('ON Data'!AB:AB,'ON Data'!$E:$E,9))</f>
        <v>0</v>
      </c>
      <c r="X19" s="226">
        <f xml:space="preserve">
IF($A$4&lt;=12,SUMIFS('ON Data'!AC:AC,'ON Data'!$D:$D,$A$4,'ON Data'!$E:$E,9),SUMIFS('ON Data'!AC:AC,'ON Data'!$E:$E,9))</f>
        <v>0</v>
      </c>
      <c r="Y19" s="226">
        <f xml:space="preserve">
IF($A$4&lt;=12,SUMIFS('ON Data'!AD:AD,'ON Data'!$D:$D,$A$4,'ON Data'!$E:$E,9),SUMIFS('ON Data'!AD:AD,'ON Data'!$E:$E,9))</f>
        <v>0</v>
      </c>
      <c r="Z19" s="226">
        <f xml:space="preserve">
IF($A$4&lt;=12,SUMIFS('ON Data'!AE:AE,'ON Data'!$D:$D,$A$4,'ON Data'!$E:$E,9),SUMIFS('ON Data'!AE:AE,'ON Data'!$E:$E,9))</f>
        <v>0</v>
      </c>
      <c r="AA19" s="226">
        <f xml:space="preserve">
IF($A$4&lt;=12,SUMIFS('ON Data'!AF:AF,'ON Data'!$D:$D,$A$4,'ON Data'!$E:$E,9),SUMIFS('ON Data'!AF:AF,'ON Data'!$E:$E,9))</f>
        <v>0</v>
      </c>
      <c r="AB19" s="226">
        <f xml:space="preserve">
IF($A$4&lt;=12,SUMIFS('ON Data'!AG:AG,'ON Data'!$D:$D,$A$4,'ON Data'!$E:$E,9),SUMIFS('ON Data'!AG:AG,'ON Data'!$E:$E,9))</f>
        <v>0</v>
      </c>
      <c r="AC19" s="226">
        <f xml:space="preserve">
IF($A$4&lt;=12,SUMIFS('ON Data'!AH:AH,'ON Data'!$D:$D,$A$4,'ON Data'!$E:$E,9),SUMIFS('ON Data'!AH:AH,'ON Data'!$E:$E,9))</f>
        <v>11656</v>
      </c>
      <c r="AD19" s="226">
        <f xml:space="preserve">
IF($A$4&lt;=12,SUMIFS('ON Data'!AI:AI,'ON Data'!$D:$D,$A$4,'ON Data'!$E:$E,9),SUMIFS('ON Data'!AI:AI,'ON Data'!$E:$E,9))</f>
        <v>0</v>
      </c>
      <c r="AE19" s="226">
        <f xml:space="preserve">
IF($A$4&lt;=12,SUMIFS('ON Data'!AJ:AJ,'ON Data'!$D:$D,$A$4,'ON Data'!$E:$E,9),SUMIFS('ON Data'!AJ:AJ,'ON Data'!$E:$E,9))</f>
        <v>0</v>
      </c>
      <c r="AF19" s="226">
        <f xml:space="preserve">
IF($A$4&lt;=12,SUMIFS('ON Data'!AK:AK,'ON Data'!$D:$D,$A$4,'ON Data'!$E:$E,9),SUMIFS('ON Data'!AK:AK,'ON Data'!$E:$E,9))</f>
        <v>0</v>
      </c>
      <c r="AG19" s="449">
        <f xml:space="preserve">
IF($A$4&lt;=12,SUMIFS('ON Data'!AM:AM,'ON Data'!$D:$D,$A$4,'ON Data'!$E:$E,9),SUMIFS('ON Data'!AM:AM,'ON Data'!$E:$E,9))</f>
        <v>0</v>
      </c>
      <c r="AH19" s="456"/>
    </row>
    <row r="20" spans="1:34" ht="15" collapsed="1" thickBot="1" x14ac:dyDescent="0.35">
      <c r="A20" s="202" t="s">
        <v>58</v>
      </c>
      <c r="B20" s="227">
        <f xml:space="preserve">
IF($A$4&lt;=12,SUMIFS('ON Data'!F:F,'ON Data'!$D:$D,$A$4,'ON Data'!$E:$E,6),SUMIFS('ON Data'!F:F,'ON Data'!$E:$E,6))</f>
        <v>2769397</v>
      </c>
      <c r="C20" s="228">
        <f xml:space="preserve">
IF($A$4&lt;=12,SUMIFS('ON Data'!G:G,'ON Data'!$D:$D,$A$4,'ON Data'!$E:$E,6),SUMIFS('ON Data'!G:G,'ON Data'!$E:$E,6))</f>
        <v>0</v>
      </c>
      <c r="D20" s="229">
        <f xml:space="preserve">
IF($A$4&lt;=12,SUMIFS('ON Data'!H:H,'ON Data'!$D:$D,$A$4,'ON Data'!$E:$E,6),SUMIFS('ON Data'!H:H,'ON Data'!$E:$E,6))</f>
        <v>19045</v>
      </c>
      <c r="E20" s="229">
        <f xml:space="preserve">
IF($A$4&lt;=12,SUMIFS('ON Data'!I:I,'ON Data'!$D:$D,$A$4,'ON Data'!$E:$E,6),SUMIFS('ON Data'!I:I,'ON Data'!$E:$E,6))</f>
        <v>0</v>
      </c>
      <c r="F20" s="229">
        <f xml:space="preserve">
IF($A$4&lt;=12,SUMIFS('ON Data'!K:K,'ON Data'!$D:$D,$A$4,'ON Data'!$E:$E,6),SUMIFS('ON Data'!K:K,'ON Data'!$E:$E,6))</f>
        <v>2245651</v>
      </c>
      <c r="G20" s="229">
        <f xml:space="preserve">
IF($A$4&lt;=12,SUMIFS('ON Data'!L:L,'ON Data'!$D:$D,$A$4,'ON Data'!$E:$E,6),SUMIFS('ON Data'!L:L,'ON Data'!$E:$E,6))</f>
        <v>0</v>
      </c>
      <c r="H20" s="229">
        <f xml:space="preserve">
IF($A$4&lt;=12,SUMIFS('ON Data'!M:M,'ON Data'!$D:$D,$A$4,'ON Data'!$E:$E,6),SUMIFS('ON Data'!M:M,'ON Data'!$E:$E,6))</f>
        <v>0</v>
      </c>
      <c r="I20" s="229">
        <f xml:space="preserve">
IF($A$4&lt;=12,SUMIFS('ON Data'!N:N,'ON Data'!$D:$D,$A$4,'ON Data'!$E:$E,6),SUMIFS('ON Data'!N:N,'ON Data'!$E:$E,6))</f>
        <v>0</v>
      </c>
      <c r="J20" s="229">
        <f xml:space="preserve">
IF($A$4&lt;=12,SUMIFS('ON Data'!O:O,'ON Data'!$D:$D,$A$4,'ON Data'!$E:$E,6),SUMIFS('ON Data'!O:O,'ON Data'!$E:$E,6))</f>
        <v>0</v>
      </c>
      <c r="K20" s="229">
        <f xml:space="preserve">
IF($A$4&lt;=12,SUMIFS('ON Data'!P:P,'ON Data'!$D:$D,$A$4,'ON Data'!$E:$E,6),SUMIFS('ON Data'!P:P,'ON Data'!$E:$E,6))</f>
        <v>0</v>
      </c>
      <c r="L20" s="229">
        <f xml:space="preserve">
IF($A$4&lt;=12,SUMIFS('ON Data'!Q:Q,'ON Data'!$D:$D,$A$4,'ON Data'!$E:$E,6),SUMIFS('ON Data'!Q:Q,'ON Data'!$E:$E,6))</f>
        <v>0</v>
      </c>
      <c r="M20" s="229">
        <f xml:space="preserve">
IF($A$4&lt;=12,SUMIFS('ON Data'!R:R,'ON Data'!$D:$D,$A$4,'ON Data'!$E:$E,6),SUMIFS('ON Data'!R:R,'ON Data'!$E:$E,6))</f>
        <v>0</v>
      </c>
      <c r="N20" s="229">
        <f xml:space="preserve">
IF($A$4&lt;=12,SUMIFS('ON Data'!S:S,'ON Data'!$D:$D,$A$4,'ON Data'!$E:$E,6),SUMIFS('ON Data'!S:S,'ON Data'!$E:$E,6))</f>
        <v>0</v>
      </c>
      <c r="O20" s="229">
        <f xml:space="preserve">
IF($A$4&lt;=12,SUMIFS('ON Data'!T:T,'ON Data'!$D:$D,$A$4,'ON Data'!$E:$E,6),SUMIFS('ON Data'!T:T,'ON Data'!$E:$E,6))</f>
        <v>0</v>
      </c>
      <c r="P20" s="229">
        <f xml:space="preserve">
IF($A$4&lt;=12,SUMIFS('ON Data'!U:U,'ON Data'!$D:$D,$A$4,'ON Data'!$E:$E,6),SUMIFS('ON Data'!U:U,'ON Data'!$E:$E,6))</f>
        <v>0</v>
      </c>
      <c r="Q20" s="229">
        <f xml:space="preserve">
IF($A$4&lt;=12,SUMIFS('ON Data'!V:V,'ON Data'!$D:$D,$A$4,'ON Data'!$E:$E,6),SUMIFS('ON Data'!V:V,'ON Data'!$E:$E,6))</f>
        <v>0</v>
      </c>
      <c r="R20" s="229">
        <f xml:space="preserve">
IF($A$4&lt;=12,SUMIFS('ON Data'!W:W,'ON Data'!$D:$D,$A$4,'ON Data'!$E:$E,6),SUMIFS('ON Data'!W:W,'ON Data'!$E:$E,6))</f>
        <v>0</v>
      </c>
      <c r="S20" s="229">
        <f xml:space="preserve">
IF($A$4&lt;=12,SUMIFS('ON Data'!X:X,'ON Data'!$D:$D,$A$4,'ON Data'!$E:$E,6),SUMIFS('ON Data'!X:X,'ON Data'!$E:$E,6))</f>
        <v>0</v>
      </c>
      <c r="T20" s="229">
        <f xml:space="preserve">
IF($A$4&lt;=12,SUMIFS('ON Data'!Y:Y,'ON Data'!$D:$D,$A$4,'ON Data'!$E:$E,6),SUMIFS('ON Data'!Y:Y,'ON Data'!$E:$E,6))</f>
        <v>0</v>
      </c>
      <c r="U20" s="229">
        <f xml:space="preserve">
IF($A$4&lt;=12,SUMIFS('ON Data'!Z:Z,'ON Data'!$D:$D,$A$4,'ON Data'!$E:$E,6),SUMIFS('ON Data'!Z:Z,'ON Data'!$E:$E,6))</f>
        <v>0</v>
      </c>
      <c r="V20" s="229">
        <f xml:space="preserve">
IF($A$4&lt;=12,SUMIFS('ON Data'!AA:AA,'ON Data'!$D:$D,$A$4,'ON Data'!$E:$E,6),SUMIFS('ON Data'!AA:AA,'ON Data'!$E:$E,6))</f>
        <v>0</v>
      </c>
      <c r="W20" s="229">
        <f xml:space="preserve">
IF($A$4&lt;=12,SUMIFS('ON Data'!AB:AB,'ON Data'!$D:$D,$A$4,'ON Data'!$E:$E,6),SUMIFS('ON Data'!AB:AB,'ON Data'!$E:$E,6))</f>
        <v>0</v>
      </c>
      <c r="X20" s="229">
        <f xml:space="preserve">
IF($A$4&lt;=12,SUMIFS('ON Data'!AC:AC,'ON Data'!$D:$D,$A$4,'ON Data'!$E:$E,6),SUMIFS('ON Data'!AC:AC,'ON Data'!$E:$E,6))</f>
        <v>0</v>
      </c>
      <c r="Y20" s="229">
        <f xml:space="preserve">
IF($A$4&lt;=12,SUMIFS('ON Data'!AD:AD,'ON Data'!$D:$D,$A$4,'ON Data'!$E:$E,6),SUMIFS('ON Data'!AD:AD,'ON Data'!$E:$E,6))</f>
        <v>0</v>
      </c>
      <c r="Z20" s="229">
        <f xml:space="preserve">
IF($A$4&lt;=12,SUMIFS('ON Data'!AE:AE,'ON Data'!$D:$D,$A$4,'ON Data'!$E:$E,6),SUMIFS('ON Data'!AE:AE,'ON Data'!$E:$E,6))</f>
        <v>0</v>
      </c>
      <c r="AA20" s="229">
        <f xml:space="preserve">
IF($A$4&lt;=12,SUMIFS('ON Data'!AF:AF,'ON Data'!$D:$D,$A$4,'ON Data'!$E:$E,6),SUMIFS('ON Data'!AF:AF,'ON Data'!$E:$E,6))</f>
        <v>0</v>
      </c>
      <c r="AB20" s="229">
        <f xml:space="preserve">
IF($A$4&lt;=12,SUMIFS('ON Data'!AG:AG,'ON Data'!$D:$D,$A$4,'ON Data'!$E:$E,6),SUMIFS('ON Data'!AG:AG,'ON Data'!$E:$E,6))</f>
        <v>0</v>
      </c>
      <c r="AC20" s="229">
        <f xml:space="preserve">
IF($A$4&lt;=12,SUMIFS('ON Data'!AH:AH,'ON Data'!$D:$D,$A$4,'ON Data'!$E:$E,6),SUMIFS('ON Data'!AH:AH,'ON Data'!$E:$E,6))</f>
        <v>504701</v>
      </c>
      <c r="AD20" s="229">
        <f xml:space="preserve">
IF($A$4&lt;=12,SUMIFS('ON Data'!AI:AI,'ON Data'!$D:$D,$A$4,'ON Data'!$E:$E,6),SUMIFS('ON Data'!AI:AI,'ON Data'!$E:$E,6))</f>
        <v>0</v>
      </c>
      <c r="AE20" s="229">
        <f xml:space="preserve">
IF($A$4&lt;=12,SUMIFS('ON Data'!AJ:AJ,'ON Data'!$D:$D,$A$4,'ON Data'!$E:$E,6),SUMIFS('ON Data'!AJ:AJ,'ON Data'!$E:$E,6))</f>
        <v>0</v>
      </c>
      <c r="AF20" s="229">
        <f xml:space="preserve">
IF($A$4&lt;=12,SUMIFS('ON Data'!AK:AK,'ON Data'!$D:$D,$A$4,'ON Data'!$E:$E,6),SUMIFS('ON Data'!AK:AK,'ON Data'!$E:$E,6))</f>
        <v>0</v>
      </c>
      <c r="AG20" s="450">
        <f xml:space="preserve">
IF($A$4&lt;=12,SUMIFS('ON Data'!AM:AM,'ON Data'!$D:$D,$A$4,'ON Data'!$E:$E,6),SUMIFS('ON Data'!AM:AM,'ON Data'!$E:$E,6))</f>
        <v>0</v>
      </c>
      <c r="AH20" s="456"/>
    </row>
    <row r="21" spans="1:34" ht="15" hidden="1" outlineLevel="1" thickBot="1" x14ac:dyDescent="0.35">
      <c r="A21" s="195" t="s">
        <v>65</v>
      </c>
      <c r="B21" s="215">
        <f xml:space="preserve">
IF($A$4&lt;=12,SUMIFS('ON Data'!F:F,'ON Data'!$D:$D,$A$4,'ON Data'!$E:$E,12),SUMIFS('ON Data'!F:F,'ON Data'!$E:$E,12))</f>
        <v>0</v>
      </c>
      <c r="C21" s="216">
        <f xml:space="preserve">
IF($A$4&lt;=12,SUMIFS('ON Data'!G:G,'ON Data'!$D:$D,$A$4,'ON Data'!$E:$E,12),SUMIFS('ON Data'!G:G,'ON Data'!$E:$E,12))</f>
        <v>0</v>
      </c>
      <c r="D21" s="217">
        <f xml:space="preserve">
IF($A$4&lt;=12,SUMIFS('ON Data'!H:H,'ON Data'!$D:$D,$A$4,'ON Data'!$E:$E,12),SUMIFS('ON Data'!H:H,'ON Data'!$E:$E,12))</f>
        <v>0</v>
      </c>
      <c r="E21" s="217">
        <f xml:space="preserve">
IF($A$4&lt;=12,SUMIFS('ON Data'!I:I,'ON Data'!$D:$D,$A$4,'ON Data'!$E:$E,12),SUMIFS('ON Data'!I:I,'ON Data'!$E:$E,12))</f>
        <v>0</v>
      </c>
      <c r="F21" s="217">
        <f xml:space="preserve">
IF($A$4&lt;=12,SUMIFS('ON Data'!K:K,'ON Data'!$D:$D,$A$4,'ON Data'!$E:$E,12),SUMIFS('ON Data'!K:K,'ON Data'!$E:$E,12))</f>
        <v>0</v>
      </c>
      <c r="G21" s="217">
        <f xml:space="preserve">
IF($A$4&lt;=12,SUMIFS('ON Data'!L:L,'ON Data'!$D:$D,$A$4,'ON Data'!$E:$E,12),SUMIFS('ON Data'!L:L,'ON Data'!$E:$E,12))</f>
        <v>0</v>
      </c>
      <c r="H21" s="217">
        <f xml:space="preserve">
IF($A$4&lt;=12,SUMIFS('ON Data'!M:M,'ON Data'!$D:$D,$A$4,'ON Data'!$E:$E,12),SUMIFS('ON Data'!M:M,'ON Data'!$E:$E,12))</f>
        <v>0</v>
      </c>
      <c r="I21" s="217">
        <f xml:space="preserve">
IF($A$4&lt;=12,SUMIFS('ON Data'!N:N,'ON Data'!$D:$D,$A$4,'ON Data'!$E:$E,12),SUMIFS('ON Data'!N:N,'ON Data'!$E:$E,12))</f>
        <v>0</v>
      </c>
      <c r="J21" s="217">
        <f xml:space="preserve">
IF($A$4&lt;=12,SUMIFS('ON Data'!O:O,'ON Data'!$D:$D,$A$4,'ON Data'!$E:$E,12),SUMIFS('ON Data'!O:O,'ON Data'!$E:$E,12))</f>
        <v>0</v>
      </c>
      <c r="K21" s="217">
        <f xml:space="preserve">
IF($A$4&lt;=12,SUMIFS('ON Data'!P:P,'ON Data'!$D:$D,$A$4,'ON Data'!$E:$E,12),SUMIFS('ON Data'!P:P,'ON Data'!$E:$E,12))</f>
        <v>0</v>
      </c>
      <c r="L21" s="217">
        <f xml:space="preserve">
IF($A$4&lt;=12,SUMIFS('ON Data'!Q:Q,'ON Data'!$D:$D,$A$4,'ON Data'!$E:$E,12),SUMIFS('ON Data'!Q:Q,'ON Data'!$E:$E,12))</f>
        <v>0</v>
      </c>
      <c r="M21" s="217">
        <f xml:space="preserve">
IF($A$4&lt;=12,SUMIFS('ON Data'!R:R,'ON Data'!$D:$D,$A$4,'ON Data'!$E:$E,12),SUMIFS('ON Data'!R:R,'ON Data'!$E:$E,12))</f>
        <v>0</v>
      </c>
      <c r="N21" s="217">
        <f xml:space="preserve">
IF($A$4&lt;=12,SUMIFS('ON Data'!S:S,'ON Data'!$D:$D,$A$4,'ON Data'!$E:$E,12),SUMIFS('ON Data'!S:S,'ON Data'!$E:$E,12))</f>
        <v>0</v>
      </c>
      <c r="O21" s="217">
        <f xml:space="preserve">
IF($A$4&lt;=12,SUMIFS('ON Data'!T:T,'ON Data'!$D:$D,$A$4,'ON Data'!$E:$E,12),SUMIFS('ON Data'!T:T,'ON Data'!$E:$E,12))</f>
        <v>0</v>
      </c>
      <c r="P21" s="217">
        <f xml:space="preserve">
IF($A$4&lt;=12,SUMIFS('ON Data'!U:U,'ON Data'!$D:$D,$A$4,'ON Data'!$E:$E,12),SUMIFS('ON Data'!U:U,'ON Data'!$E:$E,12))</f>
        <v>0</v>
      </c>
      <c r="Q21" s="217">
        <f xml:space="preserve">
IF($A$4&lt;=12,SUMIFS('ON Data'!V:V,'ON Data'!$D:$D,$A$4,'ON Data'!$E:$E,12),SUMIFS('ON Data'!V:V,'ON Data'!$E:$E,12))</f>
        <v>0</v>
      </c>
      <c r="R21" s="217">
        <f xml:space="preserve">
IF($A$4&lt;=12,SUMIFS('ON Data'!W:W,'ON Data'!$D:$D,$A$4,'ON Data'!$E:$E,12),SUMIFS('ON Data'!W:W,'ON Data'!$E:$E,12))</f>
        <v>0</v>
      </c>
      <c r="S21" s="217">
        <f xml:space="preserve">
IF($A$4&lt;=12,SUMIFS('ON Data'!X:X,'ON Data'!$D:$D,$A$4,'ON Data'!$E:$E,12),SUMIFS('ON Data'!X:X,'ON Data'!$E:$E,12))</f>
        <v>0</v>
      </c>
      <c r="T21" s="217">
        <f xml:space="preserve">
IF($A$4&lt;=12,SUMIFS('ON Data'!Y:Y,'ON Data'!$D:$D,$A$4,'ON Data'!$E:$E,12),SUMIFS('ON Data'!Y:Y,'ON Data'!$E:$E,12))</f>
        <v>0</v>
      </c>
      <c r="U21" s="217">
        <f xml:space="preserve">
IF($A$4&lt;=12,SUMIFS('ON Data'!Z:Z,'ON Data'!$D:$D,$A$4,'ON Data'!$E:$E,12),SUMIFS('ON Data'!Z:Z,'ON Data'!$E:$E,12))</f>
        <v>0</v>
      </c>
      <c r="V21" s="217">
        <f xml:space="preserve">
IF($A$4&lt;=12,SUMIFS('ON Data'!AA:AA,'ON Data'!$D:$D,$A$4,'ON Data'!$E:$E,12),SUMIFS('ON Data'!AA:AA,'ON Data'!$E:$E,12))</f>
        <v>0</v>
      </c>
      <c r="W21" s="217">
        <f xml:space="preserve">
IF($A$4&lt;=12,SUMIFS('ON Data'!AB:AB,'ON Data'!$D:$D,$A$4,'ON Data'!$E:$E,12),SUMIFS('ON Data'!AB:AB,'ON Data'!$E:$E,12))</f>
        <v>0</v>
      </c>
      <c r="X21" s="217">
        <f xml:space="preserve">
IF($A$4&lt;=12,SUMIFS('ON Data'!AC:AC,'ON Data'!$D:$D,$A$4,'ON Data'!$E:$E,12),SUMIFS('ON Data'!AC:AC,'ON Data'!$E:$E,12))</f>
        <v>0</v>
      </c>
      <c r="Y21" s="217">
        <f xml:space="preserve">
IF($A$4&lt;=12,SUMIFS('ON Data'!AD:AD,'ON Data'!$D:$D,$A$4,'ON Data'!$E:$E,12),SUMIFS('ON Data'!AD:AD,'ON Data'!$E:$E,12))</f>
        <v>0</v>
      </c>
      <c r="Z21" s="217">
        <f xml:space="preserve">
IF($A$4&lt;=12,SUMIFS('ON Data'!AE:AE,'ON Data'!$D:$D,$A$4,'ON Data'!$E:$E,12),SUMIFS('ON Data'!AE:AE,'ON Data'!$E:$E,12))</f>
        <v>0</v>
      </c>
      <c r="AA21" s="217">
        <f xml:space="preserve">
IF($A$4&lt;=12,SUMIFS('ON Data'!AF:AF,'ON Data'!$D:$D,$A$4,'ON Data'!$E:$E,12),SUMIFS('ON Data'!AF:AF,'ON Data'!$E:$E,12))</f>
        <v>0</v>
      </c>
      <c r="AB21" s="217">
        <f xml:space="preserve">
IF($A$4&lt;=12,SUMIFS('ON Data'!AG:AG,'ON Data'!$D:$D,$A$4,'ON Data'!$E:$E,12),SUMIFS('ON Data'!AG:AG,'ON Data'!$E:$E,12))</f>
        <v>0</v>
      </c>
      <c r="AC21" s="217">
        <f xml:space="preserve">
IF($A$4&lt;=12,SUMIFS('ON Data'!AH:AH,'ON Data'!$D:$D,$A$4,'ON Data'!$E:$E,12),SUMIFS('ON Data'!AH:AH,'ON Data'!$E:$E,12))</f>
        <v>0</v>
      </c>
      <c r="AD21" s="217">
        <f xml:space="preserve">
IF($A$4&lt;=12,SUMIFS('ON Data'!AI:AI,'ON Data'!$D:$D,$A$4,'ON Data'!$E:$E,12),SUMIFS('ON Data'!AI:AI,'ON Data'!$E:$E,12))</f>
        <v>0</v>
      </c>
      <c r="AE21" s="217">
        <f xml:space="preserve">
IF($A$4&lt;=12,SUMIFS('ON Data'!AJ:AJ,'ON Data'!$D:$D,$A$4,'ON Data'!$E:$E,12),SUMIFS('ON Data'!AJ:AJ,'ON Data'!$E:$E,12))</f>
        <v>0</v>
      </c>
      <c r="AF21" s="217">
        <f xml:space="preserve">
IF($A$4&lt;=12,SUMIFS('ON Data'!AK:AK,'ON Data'!$D:$D,$A$4,'ON Data'!$E:$E,12),SUMIFS('ON Data'!AK:AK,'ON Data'!$E:$E,12))</f>
        <v>0</v>
      </c>
      <c r="AG21" s="446">
        <f xml:space="preserve">
IF($A$4&lt;=12,SUMIFS('ON Data'!AM:AM,'ON Data'!$D:$D,$A$4,'ON Data'!$E:$E,12),SUMIFS('ON Data'!AM:AM,'ON Data'!$E:$E,12))</f>
        <v>0</v>
      </c>
      <c r="AH21" s="456"/>
    </row>
    <row r="22" spans="1:34" ht="15" hidden="1" outlineLevel="1" thickBot="1" x14ac:dyDescent="0.35">
      <c r="A22" s="195" t="s">
        <v>60</v>
      </c>
      <c r="B22" s="267" t="str">
        <f xml:space="preserve">
IF(OR(B21="",B21=0),"",B20/B21)</f>
        <v/>
      </c>
      <c r="C22" s="268" t="str">
        <f t="shared" ref="C22:AG22" si="2" xml:space="preserve">
IF(OR(C21="",C21=0),"",C20/C21)</f>
        <v/>
      </c>
      <c r="D22" s="269" t="str">
        <f t="shared" si="2"/>
        <v/>
      </c>
      <c r="E22" s="269" t="str">
        <f t="shared" si="2"/>
        <v/>
      </c>
      <c r="F22" s="269" t="str">
        <f t="shared" si="2"/>
        <v/>
      </c>
      <c r="G22" s="269" t="str">
        <f t="shared" si="2"/>
        <v/>
      </c>
      <c r="H22" s="269" t="str">
        <f t="shared" si="2"/>
        <v/>
      </c>
      <c r="I22" s="269" t="str">
        <f t="shared" si="2"/>
        <v/>
      </c>
      <c r="J22" s="269" t="str">
        <f t="shared" si="2"/>
        <v/>
      </c>
      <c r="K22" s="269" t="str">
        <f t="shared" si="2"/>
        <v/>
      </c>
      <c r="L22" s="269" t="str">
        <f t="shared" si="2"/>
        <v/>
      </c>
      <c r="M22" s="269" t="str">
        <f t="shared" si="2"/>
        <v/>
      </c>
      <c r="N22" s="269" t="str">
        <f t="shared" si="2"/>
        <v/>
      </c>
      <c r="O22" s="269" t="str">
        <f t="shared" si="2"/>
        <v/>
      </c>
      <c r="P22" s="269" t="str">
        <f t="shared" si="2"/>
        <v/>
      </c>
      <c r="Q22" s="269" t="str">
        <f t="shared" si="2"/>
        <v/>
      </c>
      <c r="R22" s="269" t="str">
        <f t="shared" si="2"/>
        <v/>
      </c>
      <c r="S22" s="269" t="str">
        <f t="shared" si="2"/>
        <v/>
      </c>
      <c r="T22" s="269" t="str">
        <f t="shared" si="2"/>
        <v/>
      </c>
      <c r="U22" s="269" t="str">
        <f t="shared" si="2"/>
        <v/>
      </c>
      <c r="V22" s="269" t="str">
        <f t="shared" si="2"/>
        <v/>
      </c>
      <c r="W22" s="269" t="str">
        <f t="shared" si="2"/>
        <v/>
      </c>
      <c r="X22" s="269" t="str">
        <f t="shared" si="2"/>
        <v/>
      </c>
      <c r="Y22" s="269" t="str">
        <f t="shared" si="2"/>
        <v/>
      </c>
      <c r="Z22" s="269" t="str">
        <f t="shared" si="2"/>
        <v/>
      </c>
      <c r="AA22" s="269" t="str">
        <f t="shared" si="2"/>
        <v/>
      </c>
      <c r="AB22" s="269" t="str">
        <f t="shared" si="2"/>
        <v/>
      </c>
      <c r="AC22" s="269" t="str">
        <f t="shared" si="2"/>
        <v/>
      </c>
      <c r="AD22" s="269" t="str">
        <f t="shared" si="2"/>
        <v/>
      </c>
      <c r="AE22" s="269" t="str">
        <f t="shared" si="2"/>
        <v/>
      </c>
      <c r="AF22" s="269" t="str">
        <f t="shared" si="2"/>
        <v/>
      </c>
      <c r="AG22" s="451" t="str">
        <f t="shared" si="2"/>
        <v/>
      </c>
      <c r="AH22" s="456"/>
    </row>
    <row r="23" spans="1:34" ht="15" hidden="1" outlineLevel="1" thickBot="1" x14ac:dyDescent="0.35">
      <c r="A23" s="203" t="s">
        <v>55</v>
      </c>
      <c r="B23" s="218">
        <f xml:space="preserve">
IF(B21="","",B20-B21)</f>
        <v>2769397</v>
      </c>
      <c r="C23" s="219">
        <f t="shared" ref="C23:AG23" si="3" xml:space="preserve">
IF(C21="","",C20-C21)</f>
        <v>0</v>
      </c>
      <c r="D23" s="220">
        <f t="shared" si="3"/>
        <v>19045</v>
      </c>
      <c r="E23" s="220">
        <f t="shared" si="3"/>
        <v>0</v>
      </c>
      <c r="F23" s="220">
        <f t="shared" si="3"/>
        <v>2245651</v>
      </c>
      <c r="G23" s="220">
        <f t="shared" si="3"/>
        <v>0</v>
      </c>
      <c r="H23" s="220">
        <f t="shared" si="3"/>
        <v>0</v>
      </c>
      <c r="I23" s="220">
        <f t="shared" si="3"/>
        <v>0</v>
      </c>
      <c r="J23" s="220">
        <f t="shared" si="3"/>
        <v>0</v>
      </c>
      <c r="K23" s="220">
        <f t="shared" si="3"/>
        <v>0</v>
      </c>
      <c r="L23" s="220">
        <f t="shared" si="3"/>
        <v>0</v>
      </c>
      <c r="M23" s="220">
        <f t="shared" si="3"/>
        <v>0</v>
      </c>
      <c r="N23" s="220">
        <f t="shared" si="3"/>
        <v>0</v>
      </c>
      <c r="O23" s="220">
        <f t="shared" si="3"/>
        <v>0</v>
      </c>
      <c r="P23" s="220">
        <f t="shared" si="3"/>
        <v>0</v>
      </c>
      <c r="Q23" s="220">
        <f t="shared" si="3"/>
        <v>0</v>
      </c>
      <c r="R23" s="220">
        <f t="shared" si="3"/>
        <v>0</v>
      </c>
      <c r="S23" s="220">
        <f t="shared" si="3"/>
        <v>0</v>
      </c>
      <c r="T23" s="220">
        <f t="shared" si="3"/>
        <v>0</v>
      </c>
      <c r="U23" s="220">
        <f t="shared" si="3"/>
        <v>0</v>
      </c>
      <c r="V23" s="220">
        <f t="shared" si="3"/>
        <v>0</v>
      </c>
      <c r="W23" s="220">
        <f t="shared" si="3"/>
        <v>0</v>
      </c>
      <c r="X23" s="220">
        <f t="shared" si="3"/>
        <v>0</v>
      </c>
      <c r="Y23" s="220">
        <f t="shared" si="3"/>
        <v>0</v>
      </c>
      <c r="Z23" s="220">
        <f t="shared" si="3"/>
        <v>0</v>
      </c>
      <c r="AA23" s="220">
        <f t="shared" si="3"/>
        <v>0</v>
      </c>
      <c r="AB23" s="220">
        <f t="shared" si="3"/>
        <v>0</v>
      </c>
      <c r="AC23" s="220">
        <f t="shared" si="3"/>
        <v>504701</v>
      </c>
      <c r="AD23" s="220">
        <f t="shared" si="3"/>
        <v>0</v>
      </c>
      <c r="AE23" s="220">
        <f t="shared" si="3"/>
        <v>0</v>
      </c>
      <c r="AF23" s="220">
        <f t="shared" si="3"/>
        <v>0</v>
      </c>
      <c r="AG23" s="447">
        <f t="shared" si="3"/>
        <v>0</v>
      </c>
      <c r="AH23" s="456"/>
    </row>
    <row r="24" spans="1:34" x14ac:dyDescent="0.3">
      <c r="A24" s="197" t="s">
        <v>140</v>
      </c>
      <c r="B24" s="244" t="s">
        <v>3</v>
      </c>
      <c r="C24" s="457" t="s">
        <v>151</v>
      </c>
      <c r="D24" s="431"/>
      <c r="E24" s="432"/>
      <c r="F24" s="432" t="s">
        <v>152</v>
      </c>
      <c r="G24" s="432"/>
      <c r="H24" s="432"/>
      <c r="I24" s="432"/>
      <c r="J24" s="432"/>
      <c r="K24" s="432"/>
      <c r="L24" s="432"/>
      <c r="M24" s="432"/>
      <c r="N24" s="432"/>
      <c r="O24" s="432"/>
      <c r="P24" s="432"/>
      <c r="Q24" s="432"/>
      <c r="R24" s="432"/>
      <c r="S24" s="432"/>
      <c r="T24" s="432"/>
      <c r="U24" s="432"/>
      <c r="V24" s="432"/>
      <c r="W24" s="432"/>
      <c r="X24" s="432"/>
      <c r="Y24" s="432"/>
      <c r="Z24" s="432"/>
      <c r="AA24" s="432"/>
      <c r="AB24" s="432"/>
      <c r="AC24" s="432"/>
      <c r="AD24" s="432"/>
      <c r="AE24" s="432"/>
      <c r="AF24" s="432"/>
      <c r="AG24" s="452" t="s">
        <v>153</v>
      </c>
      <c r="AH24" s="456"/>
    </row>
    <row r="25" spans="1:34" x14ac:dyDescent="0.3">
      <c r="A25" s="198" t="s">
        <v>58</v>
      </c>
      <c r="B25" s="215">
        <f xml:space="preserve">
SUM(C25:AG25)</f>
        <v>8449</v>
      </c>
      <c r="C25" s="458">
        <f xml:space="preserve">
IF($A$4&lt;=12,SUMIFS('ON Data'!H:H,'ON Data'!$D:$D,$A$4,'ON Data'!$E:$E,10),SUMIFS('ON Data'!H:H,'ON Data'!$E:$E,10))</f>
        <v>0</v>
      </c>
      <c r="D25" s="433"/>
      <c r="E25" s="434"/>
      <c r="F25" s="434">
        <f xml:space="preserve">
IF($A$4&lt;=12,SUMIFS('ON Data'!K:K,'ON Data'!$D:$D,$A$4,'ON Data'!$E:$E,10),SUMIFS('ON Data'!K:K,'ON Data'!$E:$E,10))</f>
        <v>8449</v>
      </c>
      <c r="G25" s="434"/>
      <c r="H25" s="434"/>
      <c r="I25" s="434"/>
      <c r="J25" s="434"/>
      <c r="K25" s="434"/>
      <c r="L25" s="434"/>
      <c r="M25" s="434"/>
      <c r="N25" s="434"/>
      <c r="O25" s="434"/>
      <c r="P25" s="434"/>
      <c r="Q25" s="434"/>
      <c r="R25" s="434"/>
      <c r="S25" s="434"/>
      <c r="T25" s="434"/>
      <c r="U25" s="434"/>
      <c r="V25" s="434"/>
      <c r="W25" s="434"/>
      <c r="X25" s="434"/>
      <c r="Y25" s="434"/>
      <c r="Z25" s="434"/>
      <c r="AA25" s="434"/>
      <c r="AB25" s="434"/>
      <c r="AC25" s="434"/>
      <c r="AD25" s="434"/>
      <c r="AE25" s="434"/>
      <c r="AF25" s="434"/>
      <c r="AG25" s="453">
        <f xml:space="preserve">
IF($A$4&lt;=12,SUMIFS('ON Data'!AM:AM,'ON Data'!$D:$D,$A$4,'ON Data'!$E:$E,10),SUMIFS('ON Data'!AM:AM,'ON Data'!$E:$E,10))</f>
        <v>0</v>
      </c>
      <c r="AH25" s="456"/>
    </row>
    <row r="26" spans="1:34" x14ac:dyDescent="0.3">
      <c r="A26" s="204" t="s">
        <v>150</v>
      </c>
      <c r="B26" s="224">
        <f xml:space="preserve">
SUM(C26:AG26)</f>
        <v>10059</v>
      </c>
      <c r="C26" s="458">
        <f xml:space="preserve">
IF($A$4&lt;=12,SUMIFS('ON Data'!H:H,'ON Data'!$D:$D,$A$4,'ON Data'!$E:$E,11),SUMIFS('ON Data'!H:H,'ON Data'!$E:$E,11))</f>
        <v>59</v>
      </c>
      <c r="D26" s="433"/>
      <c r="E26" s="434"/>
      <c r="F26" s="435">
        <f xml:space="preserve">
IF($A$4&lt;=12,SUMIFS('ON Data'!K:K,'ON Data'!$D:$D,$A$4,'ON Data'!$E:$E,11),SUMIFS('ON Data'!K:K,'ON Data'!$E:$E,11))</f>
        <v>10000</v>
      </c>
      <c r="G26" s="435"/>
      <c r="H26" s="435"/>
      <c r="I26" s="435"/>
      <c r="J26" s="435"/>
      <c r="K26" s="435"/>
      <c r="L26" s="435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53">
        <f xml:space="preserve">
IF($A$4&lt;=12,SUMIFS('ON Data'!AM:AM,'ON Data'!$D:$D,$A$4,'ON Data'!$E:$E,11),SUMIFS('ON Data'!AM:AM,'ON Data'!$E:$E,11))</f>
        <v>0</v>
      </c>
      <c r="AH26" s="456"/>
    </row>
    <row r="27" spans="1:34" x14ac:dyDescent="0.3">
      <c r="A27" s="204" t="s">
        <v>60</v>
      </c>
      <c r="B27" s="245">
        <f xml:space="preserve">
IF(B26=0,0,B25/B26)</f>
        <v>0.83994432846207379</v>
      </c>
      <c r="C27" s="459">
        <f xml:space="preserve">
IF(C26=0,0,C25/C26)</f>
        <v>0</v>
      </c>
      <c r="D27" s="436"/>
      <c r="E27" s="437"/>
      <c r="F27" s="437">
        <f xml:space="preserve">
IF(F26=0,0,F25/F26)</f>
        <v>0.84489999999999998</v>
      </c>
      <c r="G27" s="437"/>
      <c r="H27" s="437"/>
      <c r="I27" s="437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7"/>
      <c r="AC27" s="437"/>
      <c r="AD27" s="437"/>
      <c r="AE27" s="437"/>
      <c r="AF27" s="437"/>
      <c r="AG27" s="454">
        <f xml:space="preserve">
IF(AG26=0,0,AG25/AG26)</f>
        <v>0</v>
      </c>
      <c r="AH27" s="456"/>
    </row>
    <row r="28" spans="1:34" ht="15" thickBot="1" x14ac:dyDescent="0.35">
      <c r="A28" s="204" t="s">
        <v>149</v>
      </c>
      <c r="B28" s="224">
        <f xml:space="preserve">
SUM(C28:AG28)</f>
        <v>1610</v>
      </c>
      <c r="C28" s="460">
        <f xml:space="preserve">
C26-C25</f>
        <v>59</v>
      </c>
      <c r="D28" s="438"/>
      <c r="E28" s="439"/>
      <c r="F28" s="439">
        <f xml:space="preserve">
F26-F25</f>
        <v>1551</v>
      </c>
      <c r="G28" s="439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439"/>
      <c r="Y28" s="439"/>
      <c r="Z28" s="439"/>
      <c r="AA28" s="439"/>
      <c r="AB28" s="439"/>
      <c r="AC28" s="439"/>
      <c r="AD28" s="439"/>
      <c r="AE28" s="439"/>
      <c r="AF28" s="439"/>
      <c r="AG28" s="455">
        <f xml:space="preserve">
AG26-AG25</f>
        <v>0</v>
      </c>
      <c r="AH28" s="456"/>
    </row>
    <row r="29" spans="1:34" x14ac:dyDescent="0.3">
      <c r="A29" s="205"/>
      <c r="B29" s="205"/>
      <c r="C29" s="206"/>
      <c r="D29" s="205"/>
      <c r="E29" s="205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5"/>
      <c r="AF29" s="205"/>
      <c r="AG29" s="205"/>
    </row>
    <row r="30" spans="1:34" x14ac:dyDescent="0.3">
      <c r="A30" s="90" t="s">
        <v>103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25"/>
    </row>
    <row r="31" spans="1:34" x14ac:dyDescent="0.3">
      <c r="A31" s="91" t="s">
        <v>147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25"/>
    </row>
    <row r="32" spans="1:34" ht="14.4" customHeight="1" x14ac:dyDescent="0.3">
      <c r="A32" s="241" t="s">
        <v>144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</row>
    <row r="33" spans="1:1" x14ac:dyDescent="0.3">
      <c r="A33" s="243" t="s">
        <v>154</v>
      </c>
    </row>
    <row r="34" spans="1:1" x14ac:dyDescent="0.3">
      <c r="A34" s="243" t="s">
        <v>155</v>
      </c>
    </row>
    <row r="35" spans="1:1" x14ac:dyDescent="0.3">
      <c r="A35" s="243" t="s">
        <v>156</v>
      </c>
    </row>
    <row r="36" spans="1:1" x14ac:dyDescent="0.3">
      <c r="A36" s="243" t="s">
        <v>157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3" priority="4" operator="greaterThan">
      <formula>1</formula>
    </cfRule>
  </conditionalFormatting>
  <conditionalFormatting sqref="C28 AG28 F28">
    <cfRule type="cellIs" dxfId="2" priority="3" operator="lessThan">
      <formula>0</formula>
    </cfRule>
  </conditionalFormatting>
  <conditionalFormatting sqref="B22:AG22">
    <cfRule type="cellIs" dxfId="1" priority="2" operator="greaterThan">
      <formula>1</formula>
    </cfRule>
  </conditionalFormatting>
  <conditionalFormatting sqref="B23:AG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8"/>
  <sheetViews>
    <sheetView showGridLines="0" showRowColHeaders="0" workbookViewId="0"/>
  </sheetViews>
  <sheetFormatPr defaultRowHeight="14.4" x14ac:dyDescent="0.3"/>
  <cols>
    <col min="1" max="16384" width="8.88671875" style="184"/>
  </cols>
  <sheetData>
    <row r="1" spans="1:40" x14ac:dyDescent="0.3">
      <c r="A1" s="184" t="s">
        <v>849</v>
      </c>
    </row>
    <row r="2" spans="1:40" x14ac:dyDescent="0.3">
      <c r="A2" s="188" t="s">
        <v>219</v>
      </c>
    </row>
    <row r="3" spans="1:40" x14ac:dyDescent="0.3">
      <c r="A3" s="184" t="s">
        <v>114</v>
      </c>
      <c r="B3" s="209">
        <v>2015</v>
      </c>
      <c r="D3" s="185">
        <f>MAX(D5:D1048576)</f>
        <v>2</v>
      </c>
      <c r="F3" s="185">
        <f>SUMIF($E5:$E1048576,"&lt;10",F5:F1048576)</f>
        <v>2837456.8</v>
      </c>
      <c r="G3" s="185">
        <f t="shared" ref="G3:AN3" si="0">SUMIF($E5:$E1048576,"&lt;10",G5:G1048576)</f>
        <v>0</v>
      </c>
      <c r="H3" s="185">
        <f t="shared" si="0"/>
        <v>19074.800000000003</v>
      </c>
      <c r="I3" s="185">
        <f t="shared" si="0"/>
        <v>0</v>
      </c>
      <c r="J3" s="185">
        <f t="shared" si="0"/>
        <v>0</v>
      </c>
      <c r="K3" s="185">
        <f t="shared" si="0"/>
        <v>2298148.5</v>
      </c>
      <c r="L3" s="185">
        <f t="shared" si="0"/>
        <v>0</v>
      </c>
      <c r="M3" s="185">
        <f t="shared" si="0"/>
        <v>0</v>
      </c>
      <c r="N3" s="185">
        <f t="shared" si="0"/>
        <v>0</v>
      </c>
      <c r="O3" s="185">
        <f t="shared" si="0"/>
        <v>0</v>
      </c>
      <c r="P3" s="185">
        <f t="shared" si="0"/>
        <v>0</v>
      </c>
      <c r="Q3" s="185">
        <f t="shared" si="0"/>
        <v>0</v>
      </c>
      <c r="R3" s="185">
        <f t="shared" si="0"/>
        <v>0</v>
      </c>
      <c r="S3" s="185">
        <f t="shared" si="0"/>
        <v>0</v>
      </c>
      <c r="T3" s="185">
        <f t="shared" si="0"/>
        <v>0</v>
      </c>
      <c r="U3" s="185">
        <f t="shared" si="0"/>
        <v>0</v>
      </c>
      <c r="V3" s="185">
        <f t="shared" si="0"/>
        <v>0</v>
      </c>
      <c r="W3" s="185">
        <f t="shared" si="0"/>
        <v>0</v>
      </c>
      <c r="X3" s="185">
        <f t="shared" si="0"/>
        <v>0</v>
      </c>
      <c r="Y3" s="185">
        <f t="shared" si="0"/>
        <v>0</v>
      </c>
      <c r="Z3" s="185">
        <f t="shared" si="0"/>
        <v>0</v>
      </c>
      <c r="AA3" s="185">
        <f t="shared" si="0"/>
        <v>0</v>
      </c>
      <c r="AB3" s="185">
        <f t="shared" si="0"/>
        <v>0</v>
      </c>
      <c r="AC3" s="185">
        <f t="shared" si="0"/>
        <v>0</v>
      </c>
      <c r="AD3" s="185">
        <f t="shared" si="0"/>
        <v>0</v>
      </c>
      <c r="AE3" s="185">
        <f t="shared" si="0"/>
        <v>0</v>
      </c>
      <c r="AF3" s="185">
        <f t="shared" si="0"/>
        <v>0</v>
      </c>
      <c r="AG3" s="185">
        <f t="shared" si="0"/>
        <v>0</v>
      </c>
      <c r="AH3" s="185">
        <f t="shared" si="0"/>
        <v>520233.5</v>
      </c>
      <c r="AI3" s="185">
        <f t="shared" si="0"/>
        <v>0</v>
      </c>
      <c r="AJ3" s="185">
        <f t="shared" si="0"/>
        <v>0</v>
      </c>
      <c r="AK3" s="185">
        <f t="shared" si="0"/>
        <v>0</v>
      </c>
      <c r="AL3" s="185">
        <f t="shared" si="0"/>
        <v>0</v>
      </c>
      <c r="AM3" s="185">
        <f t="shared" si="0"/>
        <v>0</v>
      </c>
      <c r="AN3" s="185">
        <f t="shared" si="0"/>
        <v>0</v>
      </c>
    </row>
    <row r="4" spans="1:40" x14ac:dyDescent="0.3">
      <c r="A4" s="184" t="s">
        <v>115</v>
      </c>
      <c r="B4" s="209">
        <v>1</v>
      </c>
      <c r="C4" s="186" t="s">
        <v>5</v>
      </c>
      <c r="D4" s="187" t="s">
        <v>54</v>
      </c>
      <c r="E4" s="187" t="s">
        <v>109</v>
      </c>
      <c r="F4" s="187" t="s">
        <v>3</v>
      </c>
      <c r="G4" s="187" t="s">
        <v>110</v>
      </c>
      <c r="H4" s="187" t="s">
        <v>111</v>
      </c>
      <c r="I4" s="187" t="s">
        <v>112</v>
      </c>
      <c r="J4" s="187" t="s">
        <v>113</v>
      </c>
      <c r="K4" s="187">
        <v>305</v>
      </c>
      <c r="L4" s="187">
        <v>306</v>
      </c>
      <c r="M4" s="187">
        <v>408</v>
      </c>
      <c r="N4" s="187">
        <v>409</v>
      </c>
      <c r="O4" s="187">
        <v>410</v>
      </c>
      <c r="P4" s="187">
        <v>415</v>
      </c>
      <c r="Q4" s="187">
        <v>416</v>
      </c>
      <c r="R4" s="187">
        <v>418</v>
      </c>
      <c r="S4" s="187">
        <v>419</v>
      </c>
      <c r="T4" s="187">
        <v>420</v>
      </c>
      <c r="U4" s="187">
        <v>421</v>
      </c>
      <c r="V4" s="187">
        <v>522</v>
      </c>
      <c r="W4" s="187">
        <v>523</v>
      </c>
      <c r="X4" s="187">
        <v>524</v>
      </c>
      <c r="Y4" s="187">
        <v>525</v>
      </c>
      <c r="Z4" s="187">
        <v>526</v>
      </c>
      <c r="AA4" s="187">
        <v>527</v>
      </c>
      <c r="AB4" s="187">
        <v>528</v>
      </c>
      <c r="AC4" s="187">
        <v>629</v>
      </c>
      <c r="AD4" s="187">
        <v>630</v>
      </c>
      <c r="AE4" s="187">
        <v>636</v>
      </c>
      <c r="AF4" s="187">
        <v>637</v>
      </c>
      <c r="AG4" s="187">
        <v>640</v>
      </c>
      <c r="AH4" s="187">
        <v>642</v>
      </c>
      <c r="AI4" s="187">
        <v>743</v>
      </c>
      <c r="AJ4" s="187">
        <v>745</v>
      </c>
      <c r="AK4" s="187">
        <v>746</v>
      </c>
      <c r="AL4" s="187">
        <v>747</v>
      </c>
      <c r="AM4" s="187">
        <v>930</v>
      </c>
      <c r="AN4" s="187">
        <v>940</v>
      </c>
    </row>
    <row r="5" spans="1:40" x14ac:dyDescent="0.3">
      <c r="A5" s="184" t="s">
        <v>116</v>
      </c>
      <c r="B5" s="209">
        <v>2</v>
      </c>
      <c r="C5" s="184">
        <v>47</v>
      </c>
      <c r="D5" s="184">
        <v>1</v>
      </c>
      <c r="E5" s="184">
        <v>1</v>
      </c>
      <c r="F5" s="184">
        <v>54.35</v>
      </c>
      <c r="G5" s="184">
        <v>0</v>
      </c>
      <c r="H5" s="184">
        <v>0.1</v>
      </c>
      <c r="I5" s="184">
        <v>0</v>
      </c>
      <c r="J5" s="184">
        <v>0</v>
      </c>
      <c r="K5" s="184">
        <v>41.25</v>
      </c>
      <c r="L5" s="184">
        <v>0</v>
      </c>
      <c r="M5" s="184">
        <v>0</v>
      </c>
      <c r="N5" s="184">
        <v>0</v>
      </c>
      <c r="O5" s="184">
        <v>0</v>
      </c>
      <c r="P5" s="184">
        <v>0</v>
      </c>
      <c r="Q5" s="184">
        <v>0</v>
      </c>
      <c r="R5" s="184">
        <v>0</v>
      </c>
      <c r="S5" s="184">
        <v>0</v>
      </c>
      <c r="T5" s="184">
        <v>0</v>
      </c>
      <c r="U5" s="184">
        <v>0</v>
      </c>
      <c r="V5" s="184">
        <v>0</v>
      </c>
      <c r="W5" s="184">
        <v>0</v>
      </c>
      <c r="X5" s="184">
        <v>0</v>
      </c>
      <c r="Y5" s="184">
        <v>0</v>
      </c>
      <c r="Z5" s="184">
        <v>0</v>
      </c>
      <c r="AA5" s="184">
        <v>0</v>
      </c>
      <c r="AB5" s="184">
        <v>0</v>
      </c>
      <c r="AC5" s="184">
        <v>0</v>
      </c>
      <c r="AD5" s="184">
        <v>0</v>
      </c>
      <c r="AE5" s="184">
        <v>0</v>
      </c>
      <c r="AF5" s="184">
        <v>0</v>
      </c>
      <c r="AG5" s="184">
        <v>0</v>
      </c>
      <c r="AH5" s="184">
        <v>13</v>
      </c>
      <c r="AI5" s="184">
        <v>0</v>
      </c>
      <c r="AJ5" s="184">
        <v>0</v>
      </c>
      <c r="AK5" s="184">
        <v>0</v>
      </c>
      <c r="AL5" s="184">
        <v>0</v>
      </c>
      <c r="AM5" s="184">
        <v>0</v>
      </c>
      <c r="AN5" s="184">
        <v>0</v>
      </c>
    </row>
    <row r="6" spans="1:40" x14ac:dyDescent="0.3">
      <c r="A6" s="184" t="s">
        <v>117</v>
      </c>
      <c r="B6" s="209">
        <v>3</v>
      </c>
      <c r="C6" s="184">
        <v>47</v>
      </c>
      <c r="D6" s="184">
        <v>1</v>
      </c>
      <c r="E6" s="184">
        <v>2</v>
      </c>
      <c r="F6" s="184">
        <v>8170.1</v>
      </c>
      <c r="G6" s="184">
        <v>0</v>
      </c>
      <c r="H6" s="184">
        <v>17.600000000000001</v>
      </c>
      <c r="I6" s="184">
        <v>0</v>
      </c>
      <c r="J6" s="184">
        <v>0</v>
      </c>
      <c r="K6" s="184">
        <v>6198.5</v>
      </c>
      <c r="L6" s="184">
        <v>0</v>
      </c>
      <c r="M6" s="184">
        <v>0</v>
      </c>
      <c r="N6" s="184">
        <v>0</v>
      </c>
      <c r="O6" s="184">
        <v>0</v>
      </c>
      <c r="P6" s="184">
        <v>0</v>
      </c>
      <c r="Q6" s="184">
        <v>0</v>
      </c>
      <c r="R6" s="184">
        <v>0</v>
      </c>
      <c r="S6" s="184">
        <v>0</v>
      </c>
      <c r="T6" s="184">
        <v>0</v>
      </c>
      <c r="U6" s="184">
        <v>0</v>
      </c>
      <c r="V6" s="184">
        <v>0</v>
      </c>
      <c r="W6" s="184">
        <v>0</v>
      </c>
      <c r="X6" s="184">
        <v>0</v>
      </c>
      <c r="Y6" s="184">
        <v>0</v>
      </c>
      <c r="Z6" s="184">
        <v>0</v>
      </c>
      <c r="AA6" s="184">
        <v>0</v>
      </c>
      <c r="AB6" s="184">
        <v>0</v>
      </c>
      <c r="AC6" s="184">
        <v>0</v>
      </c>
      <c r="AD6" s="184">
        <v>0</v>
      </c>
      <c r="AE6" s="184">
        <v>0</v>
      </c>
      <c r="AF6" s="184">
        <v>0</v>
      </c>
      <c r="AG6" s="184">
        <v>0</v>
      </c>
      <c r="AH6" s="184">
        <v>1954</v>
      </c>
      <c r="AI6" s="184">
        <v>0</v>
      </c>
      <c r="AJ6" s="184">
        <v>0</v>
      </c>
      <c r="AK6" s="184">
        <v>0</v>
      </c>
      <c r="AL6" s="184">
        <v>0</v>
      </c>
      <c r="AM6" s="184">
        <v>0</v>
      </c>
      <c r="AN6" s="184">
        <v>0</v>
      </c>
    </row>
    <row r="7" spans="1:40" x14ac:dyDescent="0.3">
      <c r="A7" s="184" t="s">
        <v>118</v>
      </c>
      <c r="B7" s="209">
        <v>4</v>
      </c>
      <c r="C7" s="184">
        <v>47</v>
      </c>
      <c r="D7" s="184">
        <v>1</v>
      </c>
      <c r="E7" s="184">
        <v>4</v>
      </c>
      <c r="F7" s="184">
        <v>255</v>
      </c>
      <c r="G7" s="184">
        <v>0</v>
      </c>
      <c r="H7" s="184">
        <v>0</v>
      </c>
      <c r="I7" s="184">
        <v>0</v>
      </c>
      <c r="J7" s="184">
        <v>0</v>
      </c>
      <c r="K7" s="184">
        <v>155</v>
      </c>
      <c r="L7" s="184">
        <v>0</v>
      </c>
      <c r="M7" s="184">
        <v>0</v>
      </c>
      <c r="N7" s="184">
        <v>0</v>
      </c>
      <c r="O7" s="184">
        <v>0</v>
      </c>
      <c r="P7" s="184">
        <v>0</v>
      </c>
      <c r="Q7" s="184">
        <v>0</v>
      </c>
      <c r="R7" s="184">
        <v>0</v>
      </c>
      <c r="S7" s="184">
        <v>0</v>
      </c>
      <c r="T7" s="184">
        <v>0</v>
      </c>
      <c r="U7" s="184">
        <v>0</v>
      </c>
      <c r="V7" s="184">
        <v>0</v>
      </c>
      <c r="W7" s="184">
        <v>0</v>
      </c>
      <c r="X7" s="184">
        <v>0</v>
      </c>
      <c r="Y7" s="184">
        <v>0</v>
      </c>
      <c r="Z7" s="184">
        <v>0</v>
      </c>
      <c r="AA7" s="184">
        <v>0</v>
      </c>
      <c r="AB7" s="184">
        <v>0</v>
      </c>
      <c r="AC7" s="184">
        <v>0</v>
      </c>
      <c r="AD7" s="184">
        <v>0</v>
      </c>
      <c r="AE7" s="184">
        <v>0</v>
      </c>
      <c r="AF7" s="184">
        <v>0</v>
      </c>
      <c r="AG7" s="184">
        <v>0</v>
      </c>
      <c r="AH7" s="184">
        <v>100</v>
      </c>
      <c r="AI7" s="184">
        <v>0</v>
      </c>
      <c r="AJ7" s="184">
        <v>0</v>
      </c>
      <c r="AK7" s="184">
        <v>0</v>
      </c>
      <c r="AL7" s="184">
        <v>0</v>
      </c>
      <c r="AM7" s="184">
        <v>0</v>
      </c>
      <c r="AN7" s="184">
        <v>0</v>
      </c>
    </row>
    <row r="8" spans="1:40" x14ac:dyDescent="0.3">
      <c r="A8" s="184" t="s">
        <v>119</v>
      </c>
      <c r="B8" s="209">
        <v>5</v>
      </c>
      <c r="C8" s="184">
        <v>47</v>
      </c>
      <c r="D8" s="184">
        <v>1</v>
      </c>
      <c r="E8" s="184">
        <v>6</v>
      </c>
      <c r="F8" s="184">
        <v>1395278</v>
      </c>
      <c r="G8" s="184">
        <v>0</v>
      </c>
      <c r="H8" s="184">
        <v>9605</v>
      </c>
      <c r="I8" s="184">
        <v>0</v>
      </c>
      <c r="J8" s="184">
        <v>0</v>
      </c>
      <c r="K8" s="184">
        <v>1129589</v>
      </c>
      <c r="L8" s="184">
        <v>0</v>
      </c>
      <c r="M8" s="184">
        <v>0</v>
      </c>
      <c r="N8" s="184">
        <v>0</v>
      </c>
      <c r="O8" s="184">
        <v>0</v>
      </c>
      <c r="P8" s="184">
        <v>0</v>
      </c>
      <c r="Q8" s="184">
        <v>0</v>
      </c>
      <c r="R8" s="184">
        <v>0</v>
      </c>
      <c r="S8" s="184">
        <v>0</v>
      </c>
      <c r="T8" s="184">
        <v>0</v>
      </c>
      <c r="U8" s="184">
        <v>0</v>
      </c>
      <c r="V8" s="184">
        <v>0</v>
      </c>
      <c r="W8" s="184">
        <v>0</v>
      </c>
      <c r="X8" s="184">
        <v>0</v>
      </c>
      <c r="Y8" s="184">
        <v>0</v>
      </c>
      <c r="Z8" s="184">
        <v>0</v>
      </c>
      <c r="AA8" s="184">
        <v>0</v>
      </c>
      <c r="AB8" s="184">
        <v>0</v>
      </c>
      <c r="AC8" s="184">
        <v>0</v>
      </c>
      <c r="AD8" s="184">
        <v>0</v>
      </c>
      <c r="AE8" s="184">
        <v>0</v>
      </c>
      <c r="AF8" s="184">
        <v>0</v>
      </c>
      <c r="AG8" s="184">
        <v>0</v>
      </c>
      <c r="AH8" s="184">
        <v>256084</v>
      </c>
      <c r="AI8" s="184">
        <v>0</v>
      </c>
      <c r="AJ8" s="184">
        <v>0</v>
      </c>
      <c r="AK8" s="184">
        <v>0</v>
      </c>
      <c r="AL8" s="184">
        <v>0</v>
      </c>
      <c r="AM8" s="184">
        <v>0</v>
      </c>
      <c r="AN8" s="184">
        <v>0</v>
      </c>
    </row>
    <row r="9" spans="1:40" x14ac:dyDescent="0.3">
      <c r="A9" s="184" t="s">
        <v>120</v>
      </c>
      <c r="B9" s="209">
        <v>6</v>
      </c>
      <c r="C9" s="184">
        <v>47</v>
      </c>
      <c r="D9" s="184">
        <v>1</v>
      </c>
      <c r="E9" s="184">
        <v>9</v>
      </c>
      <c r="F9" s="184">
        <v>24050</v>
      </c>
      <c r="G9" s="184">
        <v>0</v>
      </c>
      <c r="H9" s="184">
        <v>0</v>
      </c>
      <c r="I9" s="184">
        <v>0</v>
      </c>
      <c r="J9" s="184">
        <v>0</v>
      </c>
      <c r="K9" s="184">
        <v>18150</v>
      </c>
      <c r="L9" s="184">
        <v>0</v>
      </c>
      <c r="M9" s="184">
        <v>0</v>
      </c>
      <c r="N9" s="184">
        <v>0</v>
      </c>
      <c r="O9" s="184">
        <v>0</v>
      </c>
      <c r="P9" s="184">
        <v>0</v>
      </c>
      <c r="Q9" s="184">
        <v>0</v>
      </c>
      <c r="R9" s="184">
        <v>0</v>
      </c>
      <c r="S9" s="184">
        <v>0</v>
      </c>
      <c r="T9" s="184">
        <v>0</v>
      </c>
      <c r="U9" s="184">
        <v>0</v>
      </c>
      <c r="V9" s="184">
        <v>0</v>
      </c>
      <c r="W9" s="184">
        <v>0</v>
      </c>
      <c r="X9" s="184">
        <v>0</v>
      </c>
      <c r="Y9" s="184">
        <v>0</v>
      </c>
      <c r="Z9" s="184">
        <v>0</v>
      </c>
      <c r="AA9" s="184">
        <v>0</v>
      </c>
      <c r="AB9" s="184">
        <v>0</v>
      </c>
      <c r="AC9" s="184">
        <v>0</v>
      </c>
      <c r="AD9" s="184">
        <v>0</v>
      </c>
      <c r="AE9" s="184">
        <v>0</v>
      </c>
      <c r="AF9" s="184">
        <v>0</v>
      </c>
      <c r="AG9" s="184">
        <v>0</v>
      </c>
      <c r="AH9" s="184">
        <v>5900</v>
      </c>
      <c r="AI9" s="184">
        <v>0</v>
      </c>
      <c r="AJ9" s="184">
        <v>0</v>
      </c>
      <c r="AK9" s="184">
        <v>0</v>
      </c>
      <c r="AL9" s="184">
        <v>0</v>
      </c>
      <c r="AM9" s="184">
        <v>0</v>
      </c>
      <c r="AN9" s="184">
        <v>0</v>
      </c>
    </row>
    <row r="10" spans="1:40" x14ac:dyDescent="0.3">
      <c r="A10" s="184" t="s">
        <v>121</v>
      </c>
      <c r="B10" s="209">
        <v>7</v>
      </c>
      <c r="C10" s="184">
        <v>47</v>
      </c>
      <c r="D10" s="184">
        <v>1</v>
      </c>
      <c r="E10" s="184">
        <v>10</v>
      </c>
      <c r="F10" s="184">
        <v>500</v>
      </c>
      <c r="G10" s="184">
        <v>0</v>
      </c>
      <c r="H10" s="184">
        <v>0</v>
      </c>
      <c r="I10" s="184">
        <v>0</v>
      </c>
      <c r="J10" s="184">
        <v>0</v>
      </c>
      <c r="K10" s="184">
        <v>500</v>
      </c>
      <c r="L10" s="184">
        <v>0</v>
      </c>
      <c r="M10" s="184">
        <v>0</v>
      </c>
      <c r="N10" s="184">
        <v>0</v>
      </c>
      <c r="O10" s="184">
        <v>0</v>
      </c>
      <c r="P10" s="184">
        <v>0</v>
      </c>
      <c r="Q10" s="184">
        <v>0</v>
      </c>
      <c r="R10" s="184">
        <v>0</v>
      </c>
      <c r="S10" s="184">
        <v>0</v>
      </c>
      <c r="T10" s="184">
        <v>0</v>
      </c>
      <c r="U10" s="184">
        <v>0</v>
      </c>
      <c r="V10" s="184">
        <v>0</v>
      </c>
      <c r="W10" s="184">
        <v>0</v>
      </c>
      <c r="X10" s="184">
        <v>0</v>
      </c>
      <c r="Y10" s="184">
        <v>0</v>
      </c>
      <c r="Z10" s="184">
        <v>0</v>
      </c>
      <c r="AA10" s="184">
        <v>0</v>
      </c>
      <c r="AB10" s="184">
        <v>0</v>
      </c>
      <c r="AC10" s="184">
        <v>0</v>
      </c>
      <c r="AD10" s="184">
        <v>0</v>
      </c>
      <c r="AE10" s="184">
        <v>0</v>
      </c>
      <c r="AF10" s="184">
        <v>0</v>
      </c>
      <c r="AG10" s="184">
        <v>0</v>
      </c>
      <c r="AH10" s="184">
        <v>0</v>
      </c>
      <c r="AI10" s="184">
        <v>0</v>
      </c>
      <c r="AJ10" s="184">
        <v>0</v>
      </c>
      <c r="AK10" s="184">
        <v>0</v>
      </c>
      <c r="AL10" s="184">
        <v>0</v>
      </c>
      <c r="AM10" s="184">
        <v>0</v>
      </c>
      <c r="AN10" s="184">
        <v>0</v>
      </c>
    </row>
    <row r="11" spans="1:40" x14ac:dyDescent="0.3">
      <c r="A11" s="184" t="s">
        <v>122</v>
      </c>
      <c r="B11" s="209">
        <v>8</v>
      </c>
      <c r="C11" s="184">
        <v>47</v>
      </c>
      <c r="D11" s="184">
        <v>1</v>
      </c>
      <c r="E11" s="184">
        <v>11</v>
      </c>
      <c r="F11" s="184">
        <v>5029.5</v>
      </c>
      <c r="G11" s="184">
        <v>0</v>
      </c>
      <c r="H11" s="184">
        <v>29.5</v>
      </c>
      <c r="I11" s="184">
        <v>0</v>
      </c>
      <c r="J11" s="184">
        <v>0</v>
      </c>
      <c r="K11" s="184">
        <v>5000</v>
      </c>
      <c r="L11" s="184">
        <v>0</v>
      </c>
      <c r="M11" s="184">
        <v>0</v>
      </c>
      <c r="N11" s="184">
        <v>0</v>
      </c>
      <c r="O11" s="184">
        <v>0</v>
      </c>
      <c r="P11" s="184">
        <v>0</v>
      </c>
      <c r="Q11" s="184">
        <v>0</v>
      </c>
      <c r="R11" s="184">
        <v>0</v>
      </c>
      <c r="S11" s="184">
        <v>0</v>
      </c>
      <c r="T11" s="184">
        <v>0</v>
      </c>
      <c r="U11" s="184">
        <v>0</v>
      </c>
      <c r="V11" s="184">
        <v>0</v>
      </c>
      <c r="W11" s="184">
        <v>0</v>
      </c>
      <c r="X11" s="184">
        <v>0</v>
      </c>
      <c r="Y11" s="184">
        <v>0</v>
      </c>
      <c r="Z11" s="184">
        <v>0</v>
      </c>
      <c r="AA11" s="184">
        <v>0</v>
      </c>
      <c r="AB11" s="184">
        <v>0</v>
      </c>
      <c r="AC11" s="184">
        <v>0</v>
      </c>
      <c r="AD11" s="184">
        <v>0</v>
      </c>
      <c r="AE11" s="184">
        <v>0</v>
      </c>
      <c r="AF11" s="184">
        <v>0</v>
      </c>
      <c r="AG11" s="184">
        <v>0</v>
      </c>
      <c r="AH11" s="184">
        <v>0</v>
      </c>
      <c r="AI11" s="184">
        <v>0</v>
      </c>
      <c r="AJ11" s="184">
        <v>0</v>
      </c>
      <c r="AK11" s="184">
        <v>0</v>
      </c>
      <c r="AL11" s="184">
        <v>0</v>
      </c>
      <c r="AM11" s="184">
        <v>0</v>
      </c>
      <c r="AN11" s="184">
        <v>0</v>
      </c>
    </row>
    <row r="12" spans="1:40" x14ac:dyDescent="0.3">
      <c r="A12" s="184" t="s">
        <v>123</v>
      </c>
      <c r="B12" s="209">
        <v>9</v>
      </c>
      <c r="C12" s="184">
        <v>47</v>
      </c>
      <c r="D12" s="184">
        <v>2</v>
      </c>
      <c r="E12" s="184">
        <v>1</v>
      </c>
      <c r="F12" s="184">
        <v>53.85</v>
      </c>
      <c r="G12" s="184">
        <v>0</v>
      </c>
      <c r="H12" s="184">
        <v>0.1</v>
      </c>
      <c r="I12" s="184">
        <v>0</v>
      </c>
      <c r="J12" s="184">
        <v>0</v>
      </c>
      <c r="K12" s="184">
        <v>40.75</v>
      </c>
      <c r="L12" s="184">
        <v>0</v>
      </c>
      <c r="M12" s="184">
        <v>0</v>
      </c>
      <c r="N12" s="184">
        <v>0</v>
      </c>
      <c r="O12" s="184">
        <v>0</v>
      </c>
      <c r="P12" s="184">
        <v>0</v>
      </c>
      <c r="Q12" s="184">
        <v>0</v>
      </c>
      <c r="R12" s="184">
        <v>0</v>
      </c>
      <c r="S12" s="184">
        <v>0</v>
      </c>
      <c r="T12" s="184">
        <v>0</v>
      </c>
      <c r="U12" s="184">
        <v>0</v>
      </c>
      <c r="V12" s="184">
        <v>0</v>
      </c>
      <c r="W12" s="184">
        <v>0</v>
      </c>
      <c r="X12" s="184">
        <v>0</v>
      </c>
      <c r="Y12" s="184">
        <v>0</v>
      </c>
      <c r="Z12" s="184">
        <v>0</v>
      </c>
      <c r="AA12" s="184">
        <v>0</v>
      </c>
      <c r="AB12" s="184">
        <v>0</v>
      </c>
      <c r="AC12" s="184">
        <v>0</v>
      </c>
      <c r="AD12" s="184">
        <v>0</v>
      </c>
      <c r="AE12" s="184">
        <v>0</v>
      </c>
      <c r="AF12" s="184">
        <v>0</v>
      </c>
      <c r="AG12" s="184">
        <v>0</v>
      </c>
      <c r="AH12" s="184">
        <v>13</v>
      </c>
      <c r="AI12" s="184">
        <v>0</v>
      </c>
      <c r="AJ12" s="184">
        <v>0</v>
      </c>
      <c r="AK12" s="184">
        <v>0</v>
      </c>
      <c r="AL12" s="184">
        <v>0</v>
      </c>
      <c r="AM12" s="184">
        <v>0</v>
      </c>
      <c r="AN12" s="184">
        <v>0</v>
      </c>
    </row>
    <row r="13" spans="1:40" x14ac:dyDescent="0.3">
      <c r="A13" s="184" t="s">
        <v>124</v>
      </c>
      <c r="B13" s="209">
        <v>10</v>
      </c>
      <c r="C13" s="184">
        <v>47</v>
      </c>
      <c r="D13" s="184">
        <v>2</v>
      </c>
      <c r="E13" s="184">
        <v>2</v>
      </c>
      <c r="F13" s="184">
        <v>6759.5</v>
      </c>
      <c r="G13" s="184">
        <v>0</v>
      </c>
      <c r="H13" s="184">
        <v>12</v>
      </c>
      <c r="I13" s="184">
        <v>0</v>
      </c>
      <c r="J13" s="184">
        <v>0</v>
      </c>
      <c r="K13" s="184">
        <v>5161</v>
      </c>
      <c r="L13" s="184">
        <v>0</v>
      </c>
      <c r="M13" s="184">
        <v>0</v>
      </c>
      <c r="N13" s="184">
        <v>0</v>
      </c>
      <c r="O13" s="184">
        <v>0</v>
      </c>
      <c r="P13" s="184">
        <v>0</v>
      </c>
      <c r="Q13" s="184">
        <v>0</v>
      </c>
      <c r="R13" s="184">
        <v>0</v>
      </c>
      <c r="S13" s="184">
        <v>0</v>
      </c>
      <c r="T13" s="184">
        <v>0</v>
      </c>
      <c r="U13" s="184">
        <v>0</v>
      </c>
      <c r="V13" s="184">
        <v>0</v>
      </c>
      <c r="W13" s="184">
        <v>0</v>
      </c>
      <c r="X13" s="184">
        <v>0</v>
      </c>
      <c r="Y13" s="184">
        <v>0</v>
      </c>
      <c r="Z13" s="184">
        <v>0</v>
      </c>
      <c r="AA13" s="184">
        <v>0</v>
      </c>
      <c r="AB13" s="184">
        <v>0</v>
      </c>
      <c r="AC13" s="184">
        <v>0</v>
      </c>
      <c r="AD13" s="184">
        <v>0</v>
      </c>
      <c r="AE13" s="184">
        <v>0</v>
      </c>
      <c r="AF13" s="184">
        <v>0</v>
      </c>
      <c r="AG13" s="184">
        <v>0</v>
      </c>
      <c r="AH13" s="184">
        <v>1586.5</v>
      </c>
      <c r="AI13" s="184">
        <v>0</v>
      </c>
      <c r="AJ13" s="184">
        <v>0</v>
      </c>
      <c r="AK13" s="184">
        <v>0</v>
      </c>
      <c r="AL13" s="184">
        <v>0</v>
      </c>
      <c r="AM13" s="184">
        <v>0</v>
      </c>
      <c r="AN13" s="184">
        <v>0</v>
      </c>
    </row>
    <row r="14" spans="1:40" x14ac:dyDescent="0.3">
      <c r="A14" s="184" t="s">
        <v>125</v>
      </c>
      <c r="B14" s="209">
        <v>11</v>
      </c>
      <c r="C14" s="184">
        <v>47</v>
      </c>
      <c r="D14" s="184">
        <v>2</v>
      </c>
      <c r="E14" s="184">
        <v>4</v>
      </c>
      <c r="F14" s="184">
        <v>705</v>
      </c>
      <c r="G14" s="184">
        <v>0</v>
      </c>
      <c r="H14" s="184">
        <v>0</v>
      </c>
      <c r="I14" s="184">
        <v>0</v>
      </c>
      <c r="J14" s="184">
        <v>0</v>
      </c>
      <c r="K14" s="184">
        <v>495</v>
      </c>
      <c r="L14" s="184">
        <v>0</v>
      </c>
      <c r="M14" s="184">
        <v>0</v>
      </c>
      <c r="N14" s="184">
        <v>0</v>
      </c>
      <c r="O14" s="184">
        <v>0</v>
      </c>
      <c r="P14" s="184">
        <v>0</v>
      </c>
      <c r="Q14" s="184">
        <v>0</v>
      </c>
      <c r="R14" s="184">
        <v>0</v>
      </c>
      <c r="S14" s="184">
        <v>0</v>
      </c>
      <c r="T14" s="184">
        <v>0</v>
      </c>
      <c r="U14" s="184">
        <v>0</v>
      </c>
      <c r="V14" s="184">
        <v>0</v>
      </c>
      <c r="W14" s="184">
        <v>0</v>
      </c>
      <c r="X14" s="184">
        <v>0</v>
      </c>
      <c r="Y14" s="184">
        <v>0</v>
      </c>
      <c r="Z14" s="184">
        <v>0</v>
      </c>
      <c r="AA14" s="184">
        <v>0</v>
      </c>
      <c r="AB14" s="184">
        <v>0</v>
      </c>
      <c r="AC14" s="184">
        <v>0</v>
      </c>
      <c r="AD14" s="184">
        <v>0</v>
      </c>
      <c r="AE14" s="184">
        <v>0</v>
      </c>
      <c r="AF14" s="184">
        <v>0</v>
      </c>
      <c r="AG14" s="184">
        <v>0</v>
      </c>
      <c r="AH14" s="184">
        <v>210</v>
      </c>
      <c r="AI14" s="184">
        <v>0</v>
      </c>
      <c r="AJ14" s="184">
        <v>0</v>
      </c>
      <c r="AK14" s="184">
        <v>0</v>
      </c>
      <c r="AL14" s="184">
        <v>0</v>
      </c>
      <c r="AM14" s="184">
        <v>0</v>
      </c>
      <c r="AN14" s="184">
        <v>0</v>
      </c>
    </row>
    <row r="15" spans="1:40" x14ac:dyDescent="0.3">
      <c r="A15" s="184" t="s">
        <v>126</v>
      </c>
      <c r="B15" s="209">
        <v>12</v>
      </c>
      <c r="C15" s="184">
        <v>47</v>
      </c>
      <c r="D15" s="184">
        <v>2</v>
      </c>
      <c r="E15" s="184">
        <v>6</v>
      </c>
      <c r="F15" s="184">
        <v>1374119</v>
      </c>
      <c r="G15" s="184">
        <v>0</v>
      </c>
      <c r="H15" s="184">
        <v>9440</v>
      </c>
      <c r="I15" s="184">
        <v>0</v>
      </c>
      <c r="J15" s="184">
        <v>0</v>
      </c>
      <c r="K15" s="184">
        <v>1116062</v>
      </c>
      <c r="L15" s="184">
        <v>0</v>
      </c>
      <c r="M15" s="184">
        <v>0</v>
      </c>
      <c r="N15" s="184">
        <v>0</v>
      </c>
      <c r="O15" s="184">
        <v>0</v>
      </c>
      <c r="P15" s="184">
        <v>0</v>
      </c>
      <c r="Q15" s="184">
        <v>0</v>
      </c>
      <c r="R15" s="184">
        <v>0</v>
      </c>
      <c r="S15" s="184">
        <v>0</v>
      </c>
      <c r="T15" s="184">
        <v>0</v>
      </c>
      <c r="U15" s="184">
        <v>0</v>
      </c>
      <c r="V15" s="184">
        <v>0</v>
      </c>
      <c r="W15" s="184">
        <v>0</v>
      </c>
      <c r="X15" s="184">
        <v>0</v>
      </c>
      <c r="Y15" s="184">
        <v>0</v>
      </c>
      <c r="Z15" s="184">
        <v>0</v>
      </c>
      <c r="AA15" s="184">
        <v>0</v>
      </c>
      <c r="AB15" s="184">
        <v>0</v>
      </c>
      <c r="AC15" s="184">
        <v>0</v>
      </c>
      <c r="AD15" s="184">
        <v>0</v>
      </c>
      <c r="AE15" s="184">
        <v>0</v>
      </c>
      <c r="AF15" s="184">
        <v>0</v>
      </c>
      <c r="AG15" s="184">
        <v>0</v>
      </c>
      <c r="AH15" s="184">
        <v>248617</v>
      </c>
      <c r="AI15" s="184">
        <v>0</v>
      </c>
      <c r="AJ15" s="184">
        <v>0</v>
      </c>
      <c r="AK15" s="184">
        <v>0</v>
      </c>
      <c r="AL15" s="184">
        <v>0</v>
      </c>
      <c r="AM15" s="184">
        <v>0</v>
      </c>
      <c r="AN15" s="184">
        <v>0</v>
      </c>
    </row>
    <row r="16" spans="1:40" x14ac:dyDescent="0.3">
      <c r="A16" s="184" t="s">
        <v>114</v>
      </c>
      <c r="B16" s="209">
        <v>2015</v>
      </c>
      <c r="C16" s="184">
        <v>47</v>
      </c>
      <c r="D16" s="184">
        <v>2</v>
      </c>
      <c r="E16" s="184">
        <v>9</v>
      </c>
      <c r="F16" s="184">
        <v>28012</v>
      </c>
      <c r="G16" s="184">
        <v>0</v>
      </c>
      <c r="H16" s="184">
        <v>0</v>
      </c>
      <c r="I16" s="184">
        <v>0</v>
      </c>
      <c r="J16" s="184">
        <v>0</v>
      </c>
      <c r="K16" s="184">
        <v>22256</v>
      </c>
      <c r="L16" s="184">
        <v>0</v>
      </c>
      <c r="M16" s="184">
        <v>0</v>
      </c>
      <c r="N16" s="184">
        <v>0</v>
      </c>
      <c r="O16" s="184">
        <v>0</v>
      </c>
      <c r="P16" s="184">
        <v>0</v>
      </c>
      <c r="Q16" s="184">
        <v>0</v>
      </c>
      <c r="R16" s="184">
        <v>0</v>
      </c>
      <c r="S16" s="184">
        <v>0</v>
      </c>
      <c r="T16" s="184">
        <v>0</v>
      </c>
      <c r="U16" s="184">
        <v>0</v>
      </c>
      <c r="V16" s="184">
        <v>0</v>
      </c>
      <c r="W16" s="184">
        <v>0</v>
      </c>
      <c r="X16" s="184">
        <v>0</v>
      </c>
      <c r="Y16" s="184">
        <v>0</v>
      </c>
      <c r="Z16" s="184">
        <v>0</v>
      </c>
      <c r="AA16" s="184">
        <v>0</v>
      </c>
      <c r="AB16" s="184">
        <v>0</v>
      </c>
      <c r="AC16" s="184">
        <v>0</v>
      </c>
      <c r="AD16" s="184">
        <v>0</v>
      </c>
      <c r="AE16" s="184">
        <v>0</v>
      </c>
      <c r="AF16" s="184">
        <v>0</v>
      </c>
      <c r="AG16" s="184">
        <v>0</v>
      </c>
      <c r="AH16" s="184">
        <v>5756</v>
      </c>
      <c r="AI16" s="184">
        <v>0</v>
      </c>
      <c r="AJ16" s="184">
        <v>0</v>
      </c>
      <c r="AK16" s="184">
        <v>0</v>
      </c>
      <c r="AL16" s="184">
        <v>0</v>
      </c>
      <c r="AM16" s="184">
        <v>0</v>
      </c>
      <c r="AN16" s="184">
        <v>0</v>
      </c>
    </row>
    <row r="17" spans="3:40" x14ac:dyDescent="0.3">
      <c r="C17" s="184">
        <v>47</v>
      </c>
      <c r="D17" s="184">
        <v>2</v>
      </c>
      <c r="E17" s="184">
        <v>10</v>
      </c>
      <c r="F17" s="184">
        <v>7949</v>
      </c>
      <c r="G17" s="184">
        <v>0</v>
      </c>
      <c r="H17" s="184">
        <v>0</v>
      </c>
      <c r="I17" s="184">
        <v>0</v>
      </c>
      <c r="J17" s="184">
        <v>0</v>
      </c>
      <c r="K17" s="184">
        <v>7949</v>
      </c>
      <c r="L17" s="184">
        <v>0</v>
      </c>
      <c r="M17" s="184">
        <v>0</v>
      </c>
      <c r="N17" s="184">
        <v>0</v>
      </c>
      <c r="O17" s="184">
        <v>0</v>
      </c>
      <c r="P17" s="184">
        <v>0</v>
      </c>
      <c r="Q17" s="184">
        <v>0</v>
      </c>
      <c r="R17" s="184">
        <v>0</v>
      </c>
      <c r="S17" s="184">
        <v>0</v>
      </c>
      <c r="T17" s="184">
        <v>0</v>
      </c>
      <c r="U17" s="184">
        <v>0</v>
      </c>
      <c r="V17" s="184">
        <v>0</v>
      </c>
      <c r="W17" s="184">
        <v>0</v>
      </c>
      <c r="X17" s="184">
        <v>0</v>
      </c>
      <c r="Y17" s="184">
        <v>0</v>
      </c>
      <c r="Z17" s="184">
        <v>0</v>
      </c>
      <c r="AA17" s="184">
        <v>0</v>
      </c>
      <c r="AB17" s="184">
        <v>0</v>
      </c>
      <c r="AC17" s="184">
        <v>0</v>
      </c>
      <c r="AD17" s="184">
        <v>0</v>
      </c>
      <c r="AE17" s="184">
        <v>0</v>
      </c>
      <c r="AF17" s="184">
        <v>0</v>
      </c>
      <c r="AG17" s="184">
        <v>0</v>
      </c>
      <c r="AH17" s="184">
        <v>0</v>
      </c>
      <c r="AI17" s="184">
        <v>0</v>
      </c>
      <c r="AJ17" s="184">
        <v>0</v>
      </c>
      <c r="AK17" s="184">
        <v>0</v>
      </c>
      <c r="AL17" s="184">
        <v>0</v>
      </c>
      <c r="AM17" s="184">
        <v>0</v>
      </c>
      <c r="AN17" s="184">
        <v>0</v>
      </c>
    </row>
    <row r="18" spans="3:40" x14ac:dyDescent="0.3">
      <c r="C18" s="184">
        <v>47</v>
      </c>
      <c r="D18" s="184">
        <v>2</v>
      </c>
      <c r="E18" s="184">
        <v>11</v>
      </c>
      <c r="F18" s="184">
        <v>5029.5</v>
      </c>
      <c r="G18" s="184">
        <v>0</v>
      </c>
      <c r="H18" s="184">
        <v>29.5</v>
      </c>
      <c r="I18" s="184">
        <v>0</v>
      </c>
      <c r="J18" s="184">
        <v>0</v>
      </c>
      <c r="K18" s="184">
        <v>5000</v>
      </c>
      <c r="L18" s="184">
        <v>0</v>
      </c>
      <c r="M18" s="184">
        <v>0</v>
      </c>
      <c r="N18" s="184">
        <v>0</v>
      </c>
      <c r="O18" s="184">
        <v>0</v>
      </c>
      <c r="P18" s="184">
        <v>0</v>
      </c>
      <c r="Q18" s="184">
        <v>0</v>
      </c>
      <c r="R18" s="184">
        <v>0</v>
      </c>
      <c r="S18" s="184">
        <v>0</v>
      </c>
      <c r="T18" s="184">
        <v>0</v>
      </c>
      <c r="U18" s="184">
        <v>0</v>
      </c>
      <c r="V18" s="184">
        <v>0</v>
      </c>
      <c r="W18" s="184">
        <v>0</v>
      </c>
      <c r="X18" s="184">
        <v>0</v>
      </c>
      <c r="Y18" s="184">
        <v>0</v>
      </c>
      <c r="Z18" s="184">
        <v>0</v>
      </c>
      <c r="AA18" s="184">
        <v>0</v>
      </c>
      <c r="AB18" s="184">
        <v>0</v>
      </c>
      <c r="AC18" s="184">
        <v>0</v>
      </c>
      <c r="AD18" s="184">
        <v>0</v>
      </c>
      <c r="AE18" s="184">
        <v>0</v>
      </c>
      <c r="AF18" s="184">
        <v>0</v>
      </c>
      <c r="AG18" s="184">
        <v>0</v>
      </c>
      <c r="AH18" s="184">
        <v>0</v>
      </c>
      <c r="AI18" s="184">
        <v>0</v>
      </c>
      <c r="AJ18" s="184">
        <v>0</v>
      </c>
      <c r="AK18" s="184">
        <v>0</v>
      </c>
      <c r="AL18" s="184">
        <v>0</v>
      </c>
      <c r="AM18" s="184">
        <v>0</v>
      </c>
      <c r="AN18" s="184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5" bestFit="1" customWidth="1"/>
    <col min="2" max="2" width="11.6640625" style="125" hidden="1" customWidth="1"/>
    <col min="3" max="4" width="11" style="127" customWidth="1"/>
    <col min="5" max="5" width="11" style="128" customWidth="1"/>
    <col min="6" max="16384" width="8.88671875" style="125"/>
  </cols>
  <sheetData>
    <row r="1" spans="1:5" ht="18.600000000000001" thickBot="1" x14ac:dyDescent="0.4">
      <c r="A1" s="274" t="s">
        <v>76</v>
      </c>
      <c r="B1" s="274"/>
      <c r="C1" s="275"/>
      <c r="D1" s="275"/>
      <c r="E1" s="275"/>
    </row>
    <row r="2" spans="1:5" ht="14.4" customHeight="1" thickBot="1" x14ac:dyDescent="0.35">
      <c r="A2" s="188" t="s">
        <v>219</v>
      </c>
      <c r="B2" s="126"/>
    </row>
    <row r="3" spans="1:5" ht="14.4" customHeight="1" thickBot="1" x14ac:dyDescent="0.35">
      <c r="A3" s="129"/>
      <c r="C3" s="130" t="s">
        <v>65</v>
      </c>
      <c r="D3" s="131" t="s">
        <v>58</v>
      </c>
      <c r="E3" s="132" t="s">
        <v>60</v>
      </c>
    </row>
    <row r="4" spans="1:5" ht="14.4" customHeight="1" thickBot="1" x14ac:dyDescent="0.35">
      <c r="A4" s="133" t="str">
        <f>HYPERLINK("#HI!A1","NÁKLADY CELKEM (v tisících Kč)")</f>
        <v>NÁKLADY CELKEM (v tisících Kč)</v>
      </c>
      <c r="B4" s="134"/>
      <c r="C4" s="135">
        <f ca="1">IF(ISERROR(VLOOKUP("Náklady celkem",INDIRECT("HI!$A:$G"),6,0)),0,VLOOKUP("Náklady celkem",INDIRECT("HI!$A:$G"),6,0))</f>
        <v>13168.715262687281</v>
      </c>
      <c r="D4" s="135">
        <f ca="1">IF(ISERROR(VLOOKUP("Náklady celkem",INDIRECT("HI!$A:$G"),5,0)),0,VLOOKUP("Náklady celkem",INDIRECT("HI!$A:$G"),5,0))</f>
        <v>12077.989740000023</v>
      </c>
      <c r="E4" s="136">
        <f ca="1">IF(C4=0,0,D4/C4)</f>
        <v>0.91717297390598462</v>
      </c>
    </row>
    <row r="5" spans="1:5" ht="14.4" customHeight="1" x14ac:dyDescent="0.3">
      <c r="A5" s="137" t="s">
        <v>95</v>
      </c>
      <c r="B5" s="138"/>
      <c r="C5" s="139"/>
      <c r="D5" s="139"/>
      <c r="E5" s="140"/>
    </row>
    <row r="6" spans="1:5" ht="14.4" customHeight="1" x14ac:dyDescent="0.3">
      <c r="A6" s="141" t="s">
        <v>100</v>
      </c>
      <c r="B6" s="142"/>
      <c r="C6" s="143"/>
      <c r="D6" s="143"/>
      <c r="E6" s="140"/>
    </row>
    <row r="7" spans="1:5" ht="14.4" customHeight="1" x14ac:dyDescent="0.3">
      <c r="A7" s="14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2" t="s">
        <v>69</v>
      </c>
      <c r="C7" s="143">
        <f>IF(ISERROR(HI!F5),"",HI!F5)</f>
        <v>151.76352943120449</v>
      </c>
      <c r="D7" s="143">
        <f>IF(ISERROR(HI!E5),"",HI!E5)</f>
        <v>131.72441000000001</v>
      </c>
      <c r="E7" s="140">
        <f t="shared" ref="E7:E13" si="0">IF(C7=0,0,D7/C7)</f>
        <v>0.86795826700717083</v>
      </c>
    </row>
    <row r="8" spans="1:5" ht="14.4" customHeight="1" x14ac:dyDescent="0.3">
      <c r="A8" s="144" t="str">
        <f>HYPERLINK("#'LŽ PL'!A1","% plnění pozitivního listu")</f>
        <v>% plnění pozitivního listu</v>
      </c>
      <c r="B8" s="142" t="s">
        <v>93</v>
      </c>
      <c r="C8" s="145">
        <v>0.9</v>
      </c>
      <c r="D8" s="145">
        <f>IF(ISERROR(VLOOKUP("celkem",'LŽ PL'!$A:$F,5,0)),0,VLOOKUP("celkem",'LŽ PL'!$A:$F,5,0))</f>
        <v>1</v>
      </c>
      <c r="E8" s="140">
        <f t="shared" si="0"/>
        <v>1.1111111111111112</v>
      </c>
    </row>
    <row r="9" spans="1:5" ht="14.4" customHeight="1" x14ac:dyDescent="0.3">
      <c r="A9" s="265" t="str">
        <f>HYPERLINK("#'LŽ Statim'!A1","% podíl statimových žádanek")</f>
        <v>% podíl statimových žádanek</v>
      </c>
      <c r="B9" s="263" t="s">
        <v>196</v>
      </c>
      <c r="C9" s="264">
        <v>0.3</v>
      </c>
      <c r="D9" s="264">
        <f>IF('LŽ Statim'!G3="",0,'LŽ Statim'!G3)</f>
        <v>0</v>
      </c>
      <c r="E9" s="140">
        <f>IF(C9=0,0,D9/C9)</f>
        <v>0</v>
      </c>
    </row>
    <row r="10" spans="1:5" ht="14.4" customHeight="1" x14ac:dyDescent="0.3">
      <c r="A10" s="146" t="s">
        <v>96</v>
      </c>
      <c r="B10" s="142"/>
      <c r="C10" s="143"/>
      <c r="D10" s="143"/>
      <c r="E10" s="140"/>
    </row>
    <row r="11" spans="1:5" ht="14.4" customHeight="1" x14ac:dyDescent="0.3">
      <c r="A11" s="146" t="s">
        <v>97</v>
      </c>
      <c r="B11" s="142"/>
      <c r="C11" s="143"/>
      <c r="D11" s="143"/>
      <c r="E11" s="140"/>
    </row>
    <row r="12" spans="1:5" ht="14.4" customHeight="1" x14ac:dyDescent="0.3">
      <c r="A12" s="147" t="s">
        <v>101</v>
      </c>
      <c r="B12" s="142"/>
      <c r="C12" s="139"/>
      <c r="D12" s="139"/>
      <c r="E12" s="140"/>
    </row>
    <row r="13" spans="1:5" ht="14.4" customHeight="1" x14ac:dyDescent="0.3">
      <c r="A13" s="14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2" t="s">
        <v>69</v>
      </c>
      <c r="C13" s="143">
        <f>IF(ISERROR(HI!F6),"",HI!F6)</f>
        <v>2202.9911810840736</v>
      </c>
      <c r="D13" s="143">
        <f>IF(ISERROR(HI!E6),"",HI!E6)</f>
        <v>2377.8371000000107</v>
      </c>
      <c r="E13" s="140">
        <f t="shared" si="0"/>
        <v>1.0793675074222935</v>
      </c>
    </row>
    <row r="14" spans="1:5" ht="14.4" customHeight="1" thickBot="1" x14ac:dyDescent="0.35">
      <c r="A14" s="149" t="str">
        <f>HYPERLINK("#HI!A1","Osobní náklady")</f>
        <v>Osobní náklady</v>
      </c>
      <c r="B14" s="142"/>
      <c r="C14" s="139">
        <f ca="1">IF(ISERROR(VLOOKUP("Osobní náklady (Kč) *",INDIRECT("HI!$A:$G"),6,0)),0,VLOOKUP("Osobní náklady (Kč) *",INDIRECT("HI!$A:$G"),6,0))</f>
        <v>3811.3332132855703</v>
      </c>
      <c r="D14" s="139">
        <f ca="1">IF(ISERROR(VLOOKUP("Osobní náklady (Kč) *",INDIRECT("HI!$A:$G"),5,0)),0,VLOOKUP("Osobní náklady (Kč) *",INDIRECT("HI!$A:$G"),5,0))</f>
        <v>3766.15445</v>
      </c>
      <c r="E14" s="140">
        <f ca="1">IF(C14=0,0,D14/C14)</f>
        <v>0.98814620481670667</v>
      </c>
    </row>
    <row r="15" spans="1:5" ht="14.4" customHeight="1" thickBot="1" x14ac:dyDescent="0.35">
      <c r="A15" s="153"/>
      <c r="B15" s="154"/>
      <c r="C15" s="155"/>
      <c r="D15" s="155"/>
      <c r="E15" s="156"/>
    </row>
    <row r="16" spans="1:5" ht="14.4" customHeight="1" thickBot="1" x14ac:dyDescent="0.35">
      <c r="A16" s="157" t="str">
        <f>HYPERLINK("#HI!A1","VÝNOSY CELKEM (v tisících)")</f>
        <v>VÝNOSY CELKEM (v tisících)</v>
      </c>
      <c r="B16" s="158"/>
      <c r="C16" s="159">
        <f ca="1">IF(ISERROR(VLOOKUP("Výnosy celkem",INDIRECT("HI!$A:$G"),6,0)),0,VLOOKUP("Výnosy celkem",INDIRECT("HI!$A:$G"),6,0))</f>
        <v>0</v>
      </c>
      <c r="D16" s="159">
        <f ca="1">IF(ISERROR(VLOOKUP("Výnosy celkem",INDIRECT("HI!$A:$G"),5,0)),0,VLOOKUP("Výnosy celkem",INDIRECT("HI!$A:$G"),5,0))</f>
        <v>0</v>
      </c>
      <c r="E16" s="160">
        <f t="shared" ref="E16:E17" ca="1" si="1">IF(C16=0,0,D16/C16)</f>
        <v>0</v>
      </c>
    </row>
    <row r="17" spans="1:5" ht="14.4" customHeight="1" x14ac:dyDescent="0.3">
      <c r="A17" s="161" t="str">
        <f>HYPERLINK("#HI!A1","Ambulance (body za výkony + Kč za ZUM a ZULP)")</f>
        <v>Ambulance (body za výkony + Kč za ZUM a ZULP)</v>
      </c>
      <c r="B17" s="138"/>
      <c r="C17" s="139">
        <f ca="1">IF(ISERROR(VLOOKUP("Ambulance *",INDIRECT("HI!$A:$G"),6,0)),0,VLOOKUP("Ambulance *",INDIRECT("HI!$A:$G"),6,0))</f>
        <v>0</v>
      </c>
      <c r="D17" s="139">
        <f ca="1">IF(ISERROR(VLOOKUP("Ambulance *",INDIRECT("HI!$A:$G"),5,0)),0,VLOOKUP("Ambulance *",INDIRECT("HI!$A:$G"),5,0))</f>
        <v>0</v>
      </c>
      <c r="E17" s="140">
        <f t="shared" ca="1" si="1"/>
        <v>0</v>
      </c>
    </row>
    <row r="18" spans="1:5" ht="14.4" customHeight="1" x14ac:dyDescent="0.3">
      <c r="A18" s="162" t="str">
        <f>HYPERLINK("#HI!A1","Hospitalizace (casemix * 30000)")</f>
        <v>Hospitalizace (casemix * 30000)</v>
      </c>
      <c r="B18" s="142"/>
      <c r="C18" s="139">
        <f ca="1">IF(ISERROR(VLOOKUP("Hospitalizace *",INDIRECT("HI!$A:$G"),6,0)),0,VLOOKUP("Hospitalizace *",INDIRECT("HI!$A:$G"),6,0))</f>
        <v>0</v>
      </c>
      <c r="D18" s="139">
        <f ca="1">IF(ISERROR(VLOOKUP("Hospitalizace *",INDIRECT("HI!$A:$G"),5,0)),0,VLOOKUP("Hospitalizace *",INDIRECT("HI!$A:$G"),5,0))</f>
        <v>0</v>
      </c>
      <c r="E18" s="140">
        <f ca="1">IF(C18=0,0,D18/C18)</f>
        <v>0</v>
      </c>
    </row>
    <row r="19" spans="1:5" ht="14.4" customHeight="1" thickBot="1" x14ac:dyDescent="0.35">
      <c r="A19" s="163" t="s">
        <v>98</v>
      </c>
      <c r="B19" s="150"/>
      <c r="C19" s="151"/>
      <c r="D19" s="151"/>
      <c r="E19" s="152"/>
    </row>
    <row r="20" spans="1:5" ht="14.4" customHeight="1" thickBot="1" x14ac:dyDescent="0.35">
      <c r="A20" s="164"/>
      <c r="B20" s="165"/>
      <c r="C20" s="166"/>
      <c r="D20" s="166"/>
      <c r="E20" s="167"/>
    </row>
    <row r="21" spans="1:5" ht="14.4" customHeight="1" thickBot="1" x14ac:dyDescent="0.35">
      <c r="A21" s="168" t="s">
        <v>99</v>
      </c>
      <c r="B21" s="169"/>
      <c r="C21" s="170"/>
      <c r="D21" s="170"/>
      <c r="E21" s="171"/>
    </row>
  </sheetData>
  <mergeCells count="1">
    <mergeCell ref="A1:E1"/>
  </mergeCells>
  <conditionalFormatting sqref="E5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4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5" priority="20" operator="lessThan">
      <formula>1</formula>
    </cfRule>
  </conditionalFormatting>
  <conditionalFormatting sqref="E9">
    <cfRule type="cellIs" dxfId="4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3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7" bestFit="1" customWidth="1"/>
    <col min="2" max="3" width="9.5546875" style="107" customWidth="1"/>
    <col min="4" max="4" width="2.21875" style="107" customWidth="1"/>
    <col min="5" max="8" width="9.5546875" style="107" customWidth="1"/>
    <col min="9" max="16384" width="8.88671875" style="107"/>
  </cols>
  <sheetData>
    <row r="1" spans="1:8" ht="18.600000000000001" customHeight="1" thickBot="1" x14ac:dyDescent="0.4">
      <c r="A1" s="274" t="s">
        <v>86</v>
      </c>
      <c r="B1" s="274"/>
      <c r="C1" s="274"/>
      <c r="D1" s="274"/>
      <c r="E1" s="274"/>
      <c r="F1" s="274"/>
      <c r="G1" s="275"/>
      <c r="H1" s="275"/>
    </row>
    <row r="2" spans="1:8" ht="14.4" customHeight="1" thickBot="1" x14ac:dyDescent="0.35">
      <c r="A2" s="188" t="s">
        <v>219</v>
      </c>
      <c r="B2" s="88"/>
      <c r="C2" s="88"/>
      <c r="D2" s="88"/>
      <c r="E2" s="88"/>
      <c r="F2" s="88"/>
    </row>
    <row r="3" spans="1:8" ht="14.4" customHeight="1" x14ac:dyDescent="0.3">
      <c r="A3" s="276"/>
      <c r="B3" s="84">
        <v>2013</v>
      </c>
      <c r="C3" s="40">
        <v>2014</v>
      </c>
      <c r="D3" s="7"/>
      <c r="E3" s="280">
        <v>2015</v>
      </c>
      <c r="F3" s="281"/>
      <c r="G3" s="281"/>
      <c r="H3" s="282"/>
    </row>
    <row r="4" spans="1:8" ht="14.4" customHeight="1" thickBot="1" x14ac:dyDescent="0.35">
      <c r="A4" s="277"/>
      <c r="B4" s="278" t="s">
        <v>58</v>
      </c>
      <c r="C4" s="279"/>
      <c r="D4" s="7"/>
      <c r="E4" s="105" t="s">
        <v>58</v>
      </c>
      <c r="F4" s="86" t="s">
        <v>59</v>
      </c>
      <c r="G4" s="86" t="s">
        <v>55</v>
      </c>
      <c r="H4" s="87" t="s">
        <v>60</v>
      </c>
    </row>
    <row r="5" spans="1:8" ht="14.4" customHeight="1" x14ac:dyDescent="0.3">
      <c r="A5" s="89" t="str">
        <f>HYPERLINK("#'Léky Žádanky'!A1","Léky (Kč)")</f>
        <v>Léky (Kč)</v>
      </c>
      <c r="B5" s="27">
        <v>135.00986</v>
      </c>
      <c r="C5" s="29">
        <v>133.38784000000001</v>
      </c>
      <c r="D5" s="8"/>
      <c r="E5" s="94">
        <v>131.72441000000001</v>
      </c>
      <c r="F5" s="28">
        <v>151.76352943120449</v>
      </c>
      <c r="G5" s="93">
        <f>E5-F5</f>
        <v>-20.039119431204483</v>
      </c>
      <c r="H5" s="99">
        <f>IF(F5&lt;0.00000001,"",E5/F5)</f>
        <v>0.86795826700717083</v>
      </c>
    </row>
    <row r="6" spans="1:8" ht="14.4" customHeight="1" x14ac:dyDescent="0.3">
      <c r="A6" s="89" t="str">
        <f>HYPERLINK("#'Materiál Žádanky'!A1","Materiál - SZM (Kč)")</f>
        <v>Materiál - SZM (Kč)</v>
      </c>
      <c r="B6" s="10">
        <v>277.59847999999994</v>
      </c>
      <c r="C6" s="31">
        <v>1771.5836800000111</v>
      </c>
      <c r="D6" s="8"/>
      <c r="E6" s="95">
        <v>2377.8371000000107</v>
      </c>
      <c r="F6" s="30">
        <v>2202.9911810840736</v>
      </c>
      <c r="G6" s="96">
        <f>E6-F6</f>
        <v>174.84591891593709</v>
      </c>
      <c r="H6" s="100">
        <f>IF(F6&lt;0.00000001,"",E6/F6)</f>
        <v>1.0793675074222935</v>
      </c>
    </row>
    <row r="7" spans="1:8" ht="14.4" customHeight="1" x14ac:dyDescent="0.3">
      <c r="A7" s="89" t="str">
        <f>HYPERLINK("#'Osobní náklady'!A1","Osobní náklady (Kč) *")</f>
        <v>Osobní náklady (Kč) *</v>
      </c>
      <c r="B7" s="10">
        <v>3608.41725</v>
      </c>
      <c r="C7" s="31">
        <v>3438.4881100000102</v>
      </c>
      <c r="D7" s="8"/>
      <c r="E7" s="95">
        <v>3766.15445</v>
      </c>
      <c r="F7" s="30">
        <v>3811.3332132855703</v>
      </c>
      <c r="G7" s="96">
        <f>E7-F7</f>
        <v>-45.178763285570312</v>
      </c>
      <c r="H7" s="100">
        <f>IF(F7&lt;0.00000001,"",E7/F7)</f>
        <v>0.98814620481670667</v>
      </c>
    </row>
    <row r="8" spans="1:8" ht="14.4" customHeight="1" thickBot="1" x14ac:dyDescent="0.35">
      <c r="A8" s="1" t="s">
        <v>61</v>
      </c>
      <c r="B8" s="11">
        <v>5582.8475599999992</v>
      </c>
      <c r="C8" s="33">
        <v>9664.0054600000149</v>
      </c>
      <c r="D8" s="8"/>
      <c r="E8" s="97">
        <v>5802.2737800000123</v>
      </c>
      <c r="F8" s="32">
        <v>7002.627338886432</v>
      </c>
      <c r="G8" s="98">
        <f>E8-F8</f>
        <v>-1200.3535588864197</v>
      </c>
      <c r="H8" s="101">
        <f>IF(F8&lt;0.00000001,"",E8/F8)</f>
        <v>0.82858525796157789</v>
      </c>
    </row>
    <row r="9" spans="1:8" ht="14.4" customHeight="1" thickBot="1" x14ac:dyDescent="0.35">
      <c r="A9" s="2" t="s">
        <v>62</v>
      </c>
      <c r="B9" s="3">
        <v>9603.8731499999994</v>
      </c>
      <c r="C9" s="35">
        <v>15007.465090000036</v>
      </c>
      <c r="D9" s="8"/>
      <c r="E9" s="3">
        <v>12077.989740000023</v>
      </c>
      <c r="F9" s="34">
        <v>13168.715262687281</v>
      </c>
      <c r="G9" s="34">
        <f>E9-F9</f>
        <v>-1090.7255226872585</v>
      </c>
      <c r="H9" s="102">
        <f>IF(F9&lt;0.00000001,"",E9/F9)</f>
        <v>0.91717297390598462</v>
      </c>
    </row>
    <row r="10" spans="1:8" ht="14.4" customHeight="1" thickBot="1" x14ac:dyDescent="0.35">
      <c r="A10" s="12"/>
      <c r="B10" s="12"/>
      <c r="C10" s="85"/>
      <c r="D10" s="8"/>
      <c r="E10" s="12"/>
      <c r="F10" s="13"/>
    </row>
    <row r="11" spans="1:8" ht="14.4" customHeight="1" x14ac:dyDescent="0.3">
      <c r="A11" s="110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94">
        <f>IF(ISERROR(VLOOKUP("Celkem:",#REF!,6,0)),0,VLOOKUP("Celkem:",#REF!,6,0)/1000)</f>
        <v>0</v>
      </c>
      <c r="F11" s="28">
        <f>B11</f>
        <v>0</v>
      </c>
      <c r="G11" s="93">
        <f>E11-F11</f>
        <v>0</v>
      </c>
      <c r="H11" s="99" t="str">
        <f>IF(F11&lt;0.00000001,"",E11/F11)</f>
        <v/>
      </c>
    </row>
    <row r="12" spans="1:8" ht="14.4" customHeight="1" thickBot="1" x14ac:dyDescent="0.35">
      <c r="A12" s="111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B12</f>
        <v>0</v>
      </c>
      <c r="G12" s="98">
        <f>E12-F12</f>
        <v>0</v>
      </c>
      <c r="H12" s="101" t="str">
        <f>IF(F12&lt;0.00000001,"",E12/F12)</f>
        <v/>
      </c>
    </row>
    <row r="13" spans="1:8" ht="14.4" customHeight="1" thickBot="1" x14ac:dyDescent="0.35">
      <c r="A13" s="4" t="s">
        <v>63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</row>
    <row r="14" spans="1:8" ht="14.4" customHeight="1" thickBot="1" x14ac:dyDescent="0.35">
      <c r="A14" s="12"/>
      <c r="B14" s="12"/>
      <c r="C14" s="85"/>
      <c r="D14" s="8"/>
      <c r="E14" s="12"/>
      <c r="F14" s="13"/>
    </row>
    <row r="15" spans="1:8" ht="14.4" customHeight="1" thickBot="1" x14ac:dyDescent="0.35">
      <c r="A15" s="112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103</v>
      </c>
    </row>
    <row r="18" spans="1:8" ht="14.4" customHeight="1" x14ac:dyDescent="0.3">
      <c r="A18" s="241" t="s">
        <v>143</v>
      </c>
      <c r="B18" s="242"/>
      <c r="C18" s="242"/>
      <c r="D18" s="242"/>
      <c r="E18" s="242"/>
      <c r="F18" s="242"/>
      <c r="G18" s="242"/>
      <c r="H18" s="242"/>
    </row>
    <row r="19" spans="1:8" x14ac:dyDescent="0.3">
      <c r="A19" s="240" t="s">
        <v>142</v>
      </c>
      <c r="B19" s="242"/>
      <c r="C19" s="242"/>
      <c r="D19" s="242"/>
      <c r="E19" s="242"/>
      <c r="F19" s="242"/>
      <c r="G19" s="242"/>
      <c r="H19" s="242"/>
    </row>
    <row r="20" spans="1:8" ht="14.4" customHeight="1" x14ac:dyDescent="0.3">
      <c r="A20" s="91" t="s">
        <v>197</v>
      </c>
    </row>
    <row r="21" spans="1:8" ht="14.4" customHeight="1" x14ac:dyDescent="0.3">
      <c r="A21" s="91" t="s">
        <v>104</v>
      </c>
    </row>
    <row r="22" spans="1:8" ht="14.4" customHeight="1" x14ac:dyDescent="0.3">
      <c r="A22" s="92" t="s">
        <v>105</v>
      </c>
    </row>
    <row r="23" spans="1:8" ht="14.4" customHeight="1" x14ac:dyDescent="0.3">
      <c r="A23" s="92" t="s">
        <v>106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4" operator="greaterThan">
      <formula>0</formula>
    </cfRule>
  </conditionalFormatting>
  <conditionalFormatting sqref="G11:G13 G15">
    <cfRule type="cellIs" dxfId="41" priority="3" operator="lessThan">
      <formula>0</formula>
    </cfRule>
  </conditionalFormatting>
  <conditionalFormatting sqref="H5:H9">
    <cfRule type="cellIs" dxfId="40" priority="2" operator="greaterThan">
      <formula>1</formula>
    </cfRule>
  </conditionalFormatting>
  <conditionalFormatting sqref="H11:H13 H15">
    <cfRule type="cellIs" dxfId="3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7" bestFit="1" customWidth="1"/>
    <col min="2" max="2" width="12.77734375" style="107" bestFit="1" customWidth="1"/>
    <col min="3" max="3" width="13.6640625" style="107" bestFit="1" customWidth="1"/>
    <col min="4" max="15" width="7.77734375" style="107" bestFit="1" customWidth="1"/>
    <col min="16" max="16" width="8.88671875" style="107" customWidth="1"/>
    <col min="17" max="17" width="6.6640625" style="107" bestFit="1" customWidth="1"/>
    <col min="18" max="16384" width="8.88671875" style="107"/>
  </cols>
  <sheetData>
    <row r="1" spans="1:17" s="172" customFormat="1" ht="18.600000000000001" customHeight="1" thickBot="1" x14ac:dyDescent="0.4">
      <c r="A1" s="283" t="s">
        <v>221</v>
      </c>
      <c r="B1" s="283"/>
      <c r="C1" s="283"/>
      <c r="D1" s="283"/>
      <c r="E1" s="283"/>
      <c r="F1" s="283"/>
      <c r="G1" s="283"/>
      <c r="H1" s="274"/>
      <c r="I1" s="274"/>
      <c r="J1" s="274"/>
      <c r="K1" s="274"/>
      <c r="L1" s="274"/>
      <c r="M1" s="274"/>
      <c r="N1" s="274"/>
      <c r="O1" s="274"/>
      <c r="P1" s="274"/>
      <c r="Q1" s="274"/>
    </row>
    <row r="2" spans="1:17" s="172" customFormat="1" ht="14.4" customHeight="1" thickBot="1" x14ac:dyDescent="0.3">
      <c r="A2" s="188" t="s">
        <v>219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14.4" customHeight="1" x14ac:dyDescent="0.3">
      <c r="A3" s="66"/>
      <c r="B3" s="284" t="s">
        <v>16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115"/>
      <c r="Q3" s="117"/>
    </row>
    <row r="4" spans="1:17" ht="14.4" customHeight="1" x14ac:dyDescent="0.3">
      <c r="A4" s="67"/>
      <c r="B4" s="20">
        <v>2015</v>
      </c>
      <c r="C4" s="116" t="s">
        <v>17</v>
      </c>
      <c r="D4" s="106" t="s">
        <v>198</v>
      </c>
      <c r="E4" s="106" t="s">
        <v>199</v>
      </c>
      <c r="F4" s="106" t="s">
        <v>200</v>
      </c>
      <c r="G4" s="106" t="s">
        <v>201</v>
      </c>
      <c r="H4" s="106" t="s">
        <v>202</v>
      </c>
      <c r="I4" s="106" t="s">
        <v>203</v>
      </c>
      <c r="J4" s="106" t="s">
        <v>204</v>
      </c>
      <c r="K4" s="106" t="s">
        <v>205</v>
      </c>
      <c r="L4" s="106" t="s">
        <v>206</v>
      </c>
      <c r="M4" s="106" t="s">
        <v>207</v>
      </c>
      <c r="N4" s="106" t="s">
        <v>208</v>
      </c>
      <c r="O4" s="106" t="s">
        <v>209</v>
      </c>
      <c r="P4" s="286" t="s">
        <v>3</v>
      </c>
      <c r="Q4" s="287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220</v>
      </c>
    </row>
    <row r="7" spans="1:17" ht="14.4" customHeight="1" x14ac:dyDescent="0.3">
      <c r="A7" s="15" t="s">
        <v>22</v>
      </c>
      <c r="B7" s="51">
        <v>910.58117658722699</v>
      </c>
      <c r="C7" s="52">
        <v>75.881764715602003</v>
      </c>
      <c r="D7" s="52">
        <v>47.737470000000002</v>
      </c>
      <c r="E7" s="52">
        <v>83.986940000000004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131.72441000000001</v>
      </c>
      <c r="Q7" s="78">
        <v>0.86795826700699996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220</v>
      </c>
    </row>
    <row r="9" spans="1:17" ht="14.4" customHeight="1" x14ac:dyDescent="0.3">
      <c r="A9" s="15" t="s">
        <v>24</v>
      </c>
      <c r="B9" s="51">
        <v>13217.9470865044</v>
      </c>
      <c r="C9" s="52">
        <v>1101.49559054204</v>
      </c>
      <c r="D9" s="52">
        <v>-208.60826</v>
      </c>
      <c r="E9" s="52">
        <v>2586.4453600000102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2377.8371000000102</v>
      </c>
      <c r="Q9" s="78">
        <v>1.0793675074219999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220</v>
      </c>
    </row>
    <row r="11" spans="1:17" ht="14.4" customHeight="1" x14ac:dyDescent="0.3">
      <c r="A11" s="15" t="s">
        <v>26</v>
      </c>
      <c r="B11" s="51">
        <v>913.20480823070295</v>
      </c>
      <c r="C11" s="52">
        <v>76.100400685891003</v>
      </c>
      <c r="D11" s="52">
        <v>23.279250000000001</v>
      </c>
      <c r="E11" s="52">
        <v>61.095930000000003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84.37518</v>
      </c>
      <c r="Q11" s="78">
        <v>0.55436751475299995</v>
      </c>
    </row>
    <row r="12" spans="1:17" ht="14.4" customHeight="1" x14ac:dyDescent="0.3">
      <c r="A12" s="15" t="s">
        <v>27</v>
      </c>
      <c r="B12" s="51">
        <v>580.40982099556504</v>
      </c>
      <c r="C12" s="52">
        <v>48.367485082963</v>
      </c>
      <c r="D12" s="52">
        <v>32.639899999999997</v>
      </c>
      <c r="E12" s="52">
        <v>5.8915699999999998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38.531469999999999</v>
      </c>
      <c r="Q12" s="78">
        <v>0.398319965715</v>
      </c>
    </row>
    <row r="13" spans="1:17" ht="14.4" customHeight="1" x14ac:dyDescent="0.3">
      <c r="A13" s="15" t="s">
        <v>28</v>
      </c>
      <c r="B13" s="51">
        <v>8936.9997185061602</v>
      </c>
      <c r="C13" s="52">
        <v>744.74997654217998</v>
      </c>
      <c r="D13" s="52">
        <v>529.39139</v>
      </c>
      <c r="E13" s="52">
        <v>512.34162000000094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1041.7330099999999</v>
      </c>
      <c r="Q13" s="78">
        <v>0.69938438590899998</v>
      </c>
    </row>
    <row r="14" spans="1:17" ht="14.4" customHeight="1" x14ac:dyDescent="0.3">
      <c r="A14" s="15" t="s">
        <v>29</v>
      </c>
      <c r="B14" s="51">
        <v>2159.2232972500901</v>
      </c>
      <c r="C14" s="52">
        <v>179.935274770841</v>
      </c>
      <c r="D14" s="52">
        <v>254.86199999999999</v>
      </c>
      <c r="E14" s="52">
        <v>214.83200000000099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469.69400000000002</v>
      </c>
      <c r="Q14" s="78">
        <v>1.3051748763490001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220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220</v>
      </c>
    </row>
    <row r="17" spans="1:17" ht="14.4" customHeight="1" x14ac:dyDescent="0.3">
      <c r="A17" s="15" t="s">
        <v>32</v>
      </c>
      <c r="B17" s="51">
        <v>956.481866684171</v>
      </c>
      <c r="C17" s="52">
        <v>79.706822223680007</v>
      </c>
      <c r="D17" s="52">
        <v>128.60974999999999</v>
      </c>
      <c r="E17" s="52">
        <v>26.548369999999998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155.15812</v>
      </c>
      <c r="Q17" s="78">
        <v>0.97330514296799997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78" t="s">
        <v>220</v>
      </c>
    </row>
    <row r="19" spans="1:17" ht="14.4" customHeight="1" x14ac:dyDescent="0.3">
      <c r="A19" s="15" t="s">
        <v>34</v>
      </c>
      <c r="B19" s="51">
        <v>8608.4418508416002</v>
      </c>
      <c r="C19" s="52">
        <v>717.37015423679998</v>
      </c>
      <c r="D19" s="52">
        <v>327.20942000000002</v>
      </c>
      <c r="E19" s="52">
        <v>301.29787000000101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628.50729000000103</v>
      </c>
      <c r="Q19" s="78">
        <v>0.43806345042900002</v>
      </c>
    </row>
    <row r="20" spans="1:17" ht="14.4" customHeight="1" x14ac:dyDescent="0.3">
      <c r="A20" s="15" t="s">
        <v>35</v>
      </c>
      <c r="B20" s="51">
        <v>22867.9992797134</v>
      </c>
      <c r="C20" s="52">
        <v>1905.6666066427799</v>
      </c>
      <c r="D20" s="52">
        <v>1880.49917</v>
      </c>
      <c r="E20" s="52">
        <v>1885.6552799999999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3766.15445</v>
      </c>
      <c r="Q20" s="78">
        <v>0.98814620481600002</v>
      </c>
    </row>
    <row r="21" spans="1:17" ht="14.4" customHeight="1" x14ac:dyDescent="0.3">
      <c r="A21" s="16" t="s">
        <v>36</v>
      </c>
      <c r="B21" s="51">
        <v>19861.002670810401</v>
      </c>
      <c r="C21" s="52">
        <v>1655.0835559008599</v>
      </c>
      <c r="D21" s="52">
        <v>1689.8130000000001</v>
      </c>
      <c r="E21" s="52">
        <v>1689.8109999999999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3379.6239999999998</v>
      </c>
      <c r="Q21" s="78">
        <v>1.020982894776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78" t="s">
        <v>220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220</v>
      </c>
    </row>
    <row r="24" spans="1:17" ht="14.4" customHeight="1" x14ac:dyDescent="0.3">
      <c r="A24" s="16" t="s">
        <v>39</v>
      </c>
      <c r="B24" s="51">
        <v>-1.45519152283669E-11</v>
      </c>
      <c r="C24" s="52">
        <v>-9.0949470177292804E-13</v>
      </c>
      <c r="D24" s="52">
        <v>4.3337499999990001</v>
      </c>
      <c r="E24" s="52">
        <v>0.31696000000000002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4.650709999999</v>
      </c>
      <c r="Q24" s="78"/>
    </row>
    <row r="25" spans="1:17" ht="14.4" customHeight="1" x14ac:dyDescent="0.3">
      <c r="A25" s="17" t="s">
        <v>40</v>
      </c>
      <c r="B25" s="54">
        <v>79012.291576123695</v>
      </c>
      <c r="C25" s="55">
        <v>6584.3576313436397</v>
      </c>
      <c r="D25" s="55">
        <v>4709.7668400000002</v>
      </c>
      <c r="E25" s="55">
        <v>7368.2229000000198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12077.989740000001</v>
      </c>
      <c r="Q25" s="79">
        <v>0.91717297390499997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238.35225</v>
      </c>
      <c r="E26" s="52">
        <v>255.7527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494.10494999999997</v>
      </c>
      <c r="Q26" s="78" t="s">
        <v>220</v>
      </c>
    </row>
    <row r="27" spans="1:17" ht="14.4" customHeight="1" x14ac:dyDescent="0.3">
      <c r="A27" s="18" t="s">
        <v>42</v>
      </c>
      <c r="B27" s="54">
        <v>79012.291576123695</v>
      </c>
      <c r="C27" s="55">
        <v>6584.3576313436397</v>
      </c>
      <c r="D27" s="55">
        <v>4948.1190900000001</v>
      </c>
      <c r="E27" s="55">
        <v>7623.9756000000198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12572.09469</v>
      </c>
      <c r="Q27" s="79">
        <v>0.954694094238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220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220</v>
      </c>
    </row>
    <row r="32" spans="1:17" ht="14.4" customHeight="1" x14ac:dyDescent="0.3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ht="14.4" customHeight="1" x14ac:dyDescent="0.3">
      <c r="A33" s="90" t="s">
        <v>103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</row>
    <row r="34" spans="1:17" ht="14.4" customHeight="1" x14ac:dyDescent="0.3">
      <c r="A34" s="113" t="s">
        <v>218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</row>
    <row r="35" spans="1:17" ht="14.4" customHeight="1" x14ac:dyDescent="0.3">
      <c r="A35" s="114" t="s">
        <v>47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7" customWidth="1"/>
    <col min="2" max="11" width="10" style="107" customWidth="1"/>
    <col min="12" max="16384" width="8.88671875" style="107"/>
  </cols>
  <sheetData>
    <row r="1" spans="1:11" s="60" customFormat="1" ht="18.600000000000001" customHeight="1" thickBot="1" x14ac:dyDescent="0.4">
      <c r="A1" s="283" t="s">
        <v>48</v>
      </c>
      <c r="B1" s="283"/>
      <c r="C1" s="283"/>
      <c r="D1" s="283"/>
      <c r="E1" s="283"/>
      <c r="F1" s="283"/>
      <c r="G1" s="283"/>
      <c r="H1" s="288"/>
      <c r="I1" s="288"/>
      <c r="J1" s="288"/>
      <c r="K1" s="288"/>
    </row>
    <row r="2" spans="1:11" s="60" customFormat="1" ht="14.4" customHeight="1" thickBot="1" x14ac:dyDescent="0.35">
      <c r="A2" s="188" t="s">
        <v>219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4" t="s">
        <v>49</v>
      </c>
      <c r="C3" s="285"/>
      <c r="D3" s="285"/>
      <c r="E3" s="285"/>
      <c r="F3" s="291" t="s">
        <v>50</v>
      </c>
      <c r="G3" s="285"/>
      <c r="H3" s="285"/>
      <c r="I3" s="285"/>
      <c r="J3" s="285"/>
      <c r="K3" s="292"/>
    </row>
    <row r="4" spans="1:11" ht="14.4" customHeight="1" x14ac:dyDescent="0.3">
      <c r="A4" s="67"/>
      <c r="B4" s="289"/>
      <c r="C4" s="290"/>
      <c r="D4" s="290"/>
      <c r="E4" s="290"/>
      <c r="F4" s="293" t="s">
        <v>214</v>
      </c>
      <c r="G4" s="295" t="s">
        <v>51</v>
      </c>
      <c r="H4" s="118" t="s">
        <v>90</v>
      </c>
      <c r="I4" s="293" t="s">
        <v>52</v>
      </c>
      <c r="J4" s="295" t="s">
        <v>216</v>
      </c>
      <c r="K4" s="296" t="s">
        <v>217</v>
      </c>
    </row>
    <row r="5" spans="1:11" ht="42" thickBot="1" x14ac:dyDescent="0.35">
      <c r="A5" s="68"/>
      <c r="B5" s="24" t="s">
        <v>210</v>
      </c>
      <c r="C5" s="25" t="s">
        <v>211</v>
      </c>
      <c r="D5" s="26" t="s">
        <v>212</v>
      </c>
      <c r="E5" s="26" t="s">
        <v>213</v>
      </c>
      <c r="F5" s="294"/>
      <c r="G5" s="294"/>
      <c r="H5" s="25" t="s">
        <v>215</v>
      </c>
      <c r="I5" s="294"/>
      <c r="J5" s="294"/>
      <c r="K5" s="297"/>
    </row>
    <row r="6" spans="1:11" ht="14.4" customHeight="1" thickBot="1" x14ac:dyDescent="0.35">
      <c r="A6" s="349" t="s">
        <v>222</v>
      </c>
      <c r="B6" s="331">
        <v>66017.4270606098</v>
      </c>
      <c r="C6" s="331">
        <v>80043.13768</v>
      </c>
      <c r="D6" s="332">
        <v>14025.7106193902</v>
      </c>
      <c r="E6" s="333">
        <v>1.212454669075</v>
      </c>
      <c r="F6" s="331">
        <v>79012.291576123695</v>
      </c>
      <c r="G6" s="332">
        <v>13168.715262687299</v>
      </c>
      <c r="H6" s="334">
        <v>7368.2229000000198</v>
      </c>
      <c r="I6" s="331">
        <v>12077.989740000001</v>
      </c>
      <c r="J6" s="332">
        <v>-1090.7255226872701</v>
      </c>
      <c r="K6" s="335">
        <v>0.15286216231700001</v>
      </c>
    </row>
    <row r="7" spans="1:11" ht="14.4" customHeight="1" thickBot="1" x14ac:dyDescent="0.35">
      <c r="A7" s="350" t="s">
        <v>223</v>
      </c>
      <c r="B7" s="331">
        <v>19371.624276447099</v>
      </c>
      <c r="C7" s="331">
        <v>26954.383259999999</v>
      </c>
      <c r="D7" s="332">
        <v>7582.7589835529398</v>
      </c>
      <c r="E7" s="333">
        <v>1.3914364059169999</v>
      </c>
      <c r="F7" s="331">
        <v>26718.3659080742</v>
      </c>
      <c r="G7" s="332">
        <v>4453.0609846790303</v>
      </c>
      <c r="H7" s="334">
        <v>3464.5937000000099</v>
      </c>
      <c r="I7" s="331">
        <v>4143.8988800000097</v>
      </c>
      <c r="J7" s="332">
        <v>-309.16210467902198</v>
      </c>
      <c r="K7" s="335">
        <v>0.15509552097000001</v>
      </c>
    </row>
    <row r="8" spans="1:11" ht="14.4" customHeight="1" thickBot="1" x14ac:dyDescent="0.35">
      <c r="A8" s="351" t="s">
        <v>224</v>
      </c>
      <c r="B8" s="331">
        <v>17208.902739548099</v>
      </c>
      <c r="C8" s="331">
        <v>25004.394260000001</v>
      </c>
      <c r="D8" s="332">
        <v>7795.4915204518902</v>
      </c>
      <c r="E8" s="333">
        <v>1.452991782127</v>
      </c>
      <c r="F8" s="331">
        <v>24559.142610824099</v>
      </c>
      <c r="G8" s="332">
        <v>4093.1904351373501</v>
      </c>
      <c r="H8" s="334">
        <v>3249.76170000001</v>
      </c>
      <c r="I8" s="331">
        <v>3674.2048800000098</v>
      </c>
      <c r="J8" s="332">
        <v>-418.98555513733999</v>
      </c>
      <c r="K8" s="335">
        <v>0.14960639865200001</v>
      </c>
    </row>
    <row r="9" spans="1:11" ht="14.4" customHeight="1" thickBot="1" x14ac:dyDescent="0.35">
      <c r="A9" s="352" t="s">
        <v>225</v>
      </c>
      <c r="B9" s="336">
        <v>0</v>
      </c>
      <c r="C9" s="336">
        <v>1.0410000000000001E-2</v>
      </c>
      <c r="D9" s="337">
        <v>1.0410000000000001E-2</v>
      </c>
      <c r="E9" s="338" t="s">
        <v>220</v>
      </c>
      <c r="F9" s="336">
        <v>0</v>
      </c>
      <c r="G9" s="337">
        <v>0</v>
      </c>
      <c r="H9" s="339">
        <v>2.7999999999999998E-4</v>
      </c>
      <c r="I9" s="336">
        <v>3.7100000000000002E-3</v>
      </c>
      <c r="J9" s="337">
        <v>3.7100000000000002E-3</v>
      </c>
      <c r="K9" s="340" t="s">
        <v>220</v>
      </c>
    </row>
    <row r="10" spans="1:11" ht="14.4" customHeight="1" thickBot="1" x14ac:dyDescent="0.35">
      <c r="A10" s="353" t="s">
        <v>226</v>
      </c>
      <c r="B10" s="331">
        <v>0</v>
      </c>
      <c r="C10" s="331">
        <v>1.0410000000000001E-2</v>
      </c>
      <c r="D10" s="332">
        <v>1.0410000000000001E-2</v>
      </c>
      <c r="E10" s="341" t="s">
        <v>220</v>
      </c>
      <c r="F10" s="331">
        <v>0</v>
      </c>
      <c r="G10" s="332">
        <v>0</v>
      </c>
      <c r="H10" s="334">
        <v>2.7999999999999998E-4</v>
      </c>
      <c r="I10" s="331">
        <v>3.7100000000000002E-3</v>
      </c>
      <c r="J10" s="332">
        <v>3.7100000000000002E-3</v>
      </c>
      <c r="K10" s="342" t="s">
        <v>220</v>
      </c>
    </row>
    <row r="11" spans="1:11" ht="14.4" customHeight="1" thickBot="1" x14ac:dyDescent="0.35">
      <c r="A11" s="352" t="s">
        <v>227</v>
      </c>
      <c r="B11" s="336">
        <v>893.80586841480897</v>
      </c>
      <c r="C11" s="336">
        <v>917.91183000000001</v>
      </c>
      <c r="D11" s="337">
        <v>24.105961585191</v>
      </c>
      <c r="E11" s="343">
        <v>1.0269700193710001</v>
      </c>
      <c r="F11" s="336">
        <v>910.58117658722699</v>
      </c>
      <c r="G11" s="337">
        <v>151.763529431205</v>
      </c>
      <c r="H11" s="339">
        <v>83.986940000000004</v>
      </c>
      <c r="I11" s="336">
        <v>131.72441000000001</v>
      </c>
      <c r="J11" s="337">
        <v>-20.039119431204</v>
      </c>
      <c r="K11" s="344">
        <v>0.14465971116699999</v>
      </c>
    </row>
    <row r="12" spans="1:11" ht="14.4" customHeight="1" thickBot="1" x14ac:dyDescent="0.35">
      <c r="A12" s="353" t="s">
        <v>228</v>
      </c>
      <c r="B12" s="331">
        <v>701.87404060374797</v>
      </c>
      <c r="C12" s="331">
        <v>722.58897999999999</v>
      </c>
      <c r="D12" s="332">
        <v>20.714939396251999</v>
      </c>
      <c r="E12" s="333">
        <v>1.029513756312</v>
      </c>
      <c r="F12" s="331">
        <v>699.16601100907803</v>
      </c>
      <c r="G12" s="332">
        <v>116.52766850151301</v>
      </c>
      <c r="H12" s="334">
        <v>59.169130000000003</v>
      </c>
      <c r="I12" s="331">
        <v>94.231729999999999</v>
      </c>
      <c r="J12" s="332">
        <v>-22.295938501512001</v>
      </c>
      <c r="K12" s="335">
        <v>0.13477733258800001</v>
      </c>
    </row>
    <row r="13" spans="1:11" ht="14.4" customHeight="1" thickBot="1" x14ac:dyDescent="0.35">
      <c r="A13" s="353" t="s">
        <v>229</v>
      </c>
      <c r="B13" s="331">
        <v>9.3244085439410007</v>
      </c>
      <c r="C13" s="331">
        <v>8.9146900000000002</v>
      </c>
      <c r="D13" s="332">
        <v>-0.40971854394099999</v>
      </c>
      <c r="E13" s="333">
        <v>0.95605956752999999</v>
      </c>
      <c r="F13" s="331">
        <v>17.999999433043001</v>
      </c>
      <c r="G13" s="332">
        <v>2.9999999055069999</v>
      </c>
      <c r="H13" s="334">
        <v>0.63297999999999999</v>
      </c>
      <c r="I13" s="331">
        <v>1.20194</v>
      </c>
      <c r="J13" s="332">
        <v>-1.7980599055069999</v>
      </c>
      <c r="K13" s="335">
        <v>6.6774446547000002E-2</v>
      </c>
    </row>
    <row r="14" spans="1:11" ht="14.4" customHeight="1" thickBot="1" x14ac:dyDescent="0.35">
      <c r="A14" s="353" t="s">
        <v>230</v>
      </c>
      <c r="B14" s="331">
        <v>176.83832520739799</v>
      </c>
      <c r="C14" s="331">
        <v>186.40816000000001</v>
      </c>
      <c r="D14" s="332">
        <v>9.5698347926020002</v>
      </c>
      <c r="E14" s="333">
        <v>1.0541162939719999</v>
      </c>
      <c r="F14" s="331">
        <v>193.41516614510499</v>
      </c>
      <c r="G14" s="332">
        <v>32.235861024183997</v>
      </c>
      <c r="H14" s="334">
        <v>24.184830000000002</v>
      </c>
      <c r="I14" s="331">
        <v>36.29074</v>
      </c>
      <c r="J14" s="332">
        <v>4.0548789758149999</v>
      </c>
      <c r="K14" s="335">
        <v>0.18763130484099999</v>
      </c>
    </row>
    <row r="15" spans="1:11" ht="14.4" customHeight="1" thickBot="1" x14ac:dyDescent="0.35">
      <c r="A15" s="352" t="s">
        <v>231</v>
      </c>
      <c r="B15" s="336">
        <v>9007.6525947934806</v>
      </c>
      <c r="C15" s="336">
        <v>16381.45012</v>
      </c>
      <c r="D15" s="337">
        <v>7373.7975252065298</v>
      </c>
      <c r="E15" s="343">
        <v>1.8186147775570001</v>
      </c>
      <c r="F15" s="336">
        <v>13217.9470865044</v>
      </c>
      <c r="G15" s="337">
        <v>2202.9911810840699</v>
      </c>
      <c r="H15" s="339">
        <v>2586.4453600000102</v>
      </c>
      <c r="I15" s="336">
        <v>2377.8371000000102</v>
      </c>
      <c r="J15" s="337">
        <v>174.84591891593399</v>
      </c>
      <c r="K15" s="344">
        <v>0.17989458456999999</v>
      </c>
    </row>
    <row r="16" spans="1:11" ht="14.4" customHeight="1" thickBot="1" x14ac:dyDescent="0.35">
      <c r="A16" s="353" t="s">
        <v>232</v>
      </c>
      <c r="B16" s="331">
        <v>6.9999962309220001</v>
      </c>
      <c r="C16" s="331">
        <v>2.31549</v>
      </c>
      <c r="D16" s="332">
        <v>-4.6845062309219996</v>
      </c>
      <c r="E16" s="333">
        <v>0.33078446382100002</v>
      </c>
      <c r="F16" s="331">
        <v>6.9999997795160001</v>
      </c>
      <c r="G16" s="332">
        <v>1.1666666299190001</v>
      </c>
      <c r="H16" s="334">
        <v>0</v>
      </c>
      <c r="I16" s="331">
        <v>0</v>
      </c>
      <c r="J16" s="332">
        <v>-1.1666666299190001</v>
      </c>
      <c r="K16" s="335">
        <v>0</v>
      </c>
    </row>
    <row r="17" spans="1:11" ht="14.4" customHeight="1" thickBot="1" x14ac:dyDescent="0.35">
      <c r="A17" s="353" t="s">
        <v>233</v>
      </c>
      <c r="B17" s="331">
        <v>1554.0505426673999</v>
      </c>
      <c r="C17" s="331">
        <v>1587.8419799999999</v>
      </c>
      <c r="D17" s="332">
        <v>33.791437332602001</v>
      </c>
      <c r="E17" s="333">
        <v>1.0217441044569999</v>
      </c>
      <c r="F17" s="331">
        <v>5489.9998270782999</v>
      </c>
      <c r="G17" s="332">
        <v>914.99997117971702</v>
      </c>
      <c r="H17" s="334">
        <v>314.45403000000101</v>
      </c>
      <c r="I17" s="331">
        <v>420.00125000000099</v>
      </c>
      <c r="J17" s="332">
        <v>-494.99872117971699</v>
      </c>
      <c r="K17" s="335">
        <v>7.6502962335999999E-2</v>
      </c>
    </row>
    <row r="18" spans="1:11" ht="14.4" customHeight="1" thickBot="1" x14ac:dyDescent="0.35">
      <c r="A18" s="353" t="s">
        <v>234</v>
      </c>
      <c r="B18" s="331">
        <v>1813.3389939127301</v>
      </c>
      <c r="C18" s="331">
        <v>1767.4005500000001</v>
      </c>
      <c r="D18" s="332">
        <v>-45.938443912727003</v>
      </c>
      <c r="E18" s="333">
        <v>0.97466637839500003</v>
      </c>
      <c r="F18" s="331">
        <v>1867.9999411625299</v>
      </c>
      <c r="G18" s="332">
        <v>311.333323527088</v>
      </c>
      <c r="H18" s="334">
        <v>100.80661000000001</v>
      </c>
      <c r="I18" s="331">
        <v>226.43786</v>
      </c>
      <c r="J18" s="332">
        <v>-84.895463527087003</v>
      </c>
      <c r="K18" s="335">
        <v>0.121219414953</v>
      </c>
    </row>
    <row r="19" spans="1:11" ht="14.4" customHeight="1" thickBot="1" x14ac:dyDescent="0.35">
      <c r="A19" s="353" t="s">
        <v>235</v>
      </c>
      <c r="B19" s="331">
        <v>0</v>
      </c>
      <c r="C19" s="331">
        <v>9484.8130700000002</v>
      </c>
      <c r="D19" s="332">
        <v>9484.8130700000002</v>
      </c>
      <c r="E19" s="341" t="s">
        <v>220</v>
      </c>
      <c r="F19" s="331">
        <v>0</v>
      </c>
      <c r="G19" s="332">
        <v>0</v>
      </c>
      <c r="H19" s="334">
        <v>1652.6939199999999</v>
      </c>
      <c r="I19" s="331">
        <v>899.59766000000502</v>
      </c>
      <c r="J19" s="332">
        <v>899.59766000000502</v>
      </c>
      <c r="K19" s="342" t="s">
        <v>220</v>
      </c>
    </row>
    <row r="20" spans="1:11" ht="14.4" customHeight="1" thickBot="1" x14ac:dyDescent="0.35">
      <c r="A20" s="353" t="s">
        <v>236</v>
      </c>
      <c r="B20" s="331">
        <v>84.333785536326005</v>
      </c>
      <c r="C20" s="331">
        <v>35.134999999999998</v>
      </c>
      <c r="D20" s="332">
        <v>-49.198785536326</v>
      </c>
      <c r="E20" s="333">
        <v>0.41661831941400002</v>
      </c>
      <c r="F20" s="331">
        <v>85.999997291208004</v>
      </c>
      <c r="G20" s="332">
        <v>14.333332881867999</v>
      </c>
      <c r="H20" s="334">
        <v>0</v>
      </c>
      <c r="I20" s="331">
        <v>0</v>
      </c>
      <c r="J20" s="332">
        <v>-14.333332881867999</v>
      </c>
      <c r="K20" s="335">
        <v>0</v>
      </c>
    </row>
    <row r="21" spans="1:11" ht="14.4" customHeight="1" thickBot="1" x14ac:dyDescent="0.35">
      <c r="A21" s="353" t="s">
        <v>237</v>
      </c>
      <c r="B21" s="331">
        <v>3878.9310539766302</v>
      </c>
      <c r="C21" s="331">
        <v>2088.1703499999999</v>
      </c>
      <c r="D21" s="332">
        <v>-1790.7607039766301</v>
      </c>
      <c r="E21" s="333">
        <v>0.53833654709000001</v>
      </c>
      <c r="F21" s="331">
        <v>4128.9639742144</v>
      </c>
      <c r="G21" s="332">
        <v>688.16066236906704</v>
      </c>
      <c r="H21" s="334">
        <v>366.20472000000098</v>
      </c>
      <c r="I21" s="331">
        <v>603.95715000000098</v>
      </c>
      <c r="J21" s="332">
        <v>-84.203512369066004</v>
      </c>
      <c r="K21" s="335">
        <v>0.14627329125899999</v>
      </c>
    </row>
    <row r="22" spans="1:11" ht="14.4" customHeight="1" thickBot="1" x14ac:dyDescent="0.35">
      <c r="A22" s="353" t="s">
        <v>238</v>
      </c>
      <c r="B22" s="331">
        <v>116.274729574595</v>
      </c>
      <c r="C22" s="331">
        <v>67.950029999999998</v>
      </c>
      <c r="D22" s="332">
        <v>-48.324699574595002</v>
      </c>
      <c r="E22" s="333">
        <v>0.58439207081800004</v>
      </c>
      <c r="F22" s="331">
        <v>112.999996440774</v>
      </c>
      <c r="G22" s="332">
        <v>18.833332740128998</v>
      </c>
      <c r="H22" s="334">
        <v>4.43438</v>
      </c>
      <c r="I22" s="331">
        <v>10.702019999999999</v>
      </c>
      <c r="J22" s="332">
        <v>-8.1313127401279992</v>
      </c>
      <c r="K22" s="335">
        <v>9.4708144575E-2</v>
      </c>
    </row>
    <row r="23" spans="1:11" ht="14.4" customHeight="1" thickBot="1" x14ac:dyDescent="0.35">
      <c r="A23" s="353" t="s">
        <v>239</v>
      </c>
      <c r="B23" s="331">
        <v>48.363950604727002</v>
      </c>
      <c r="C23" s="331">
        <v>0</v>
      </c>
      <c r="D23" s="332">
        <v>-48.363950604727002</v>
      </c>
      <c r="E23" s="333">
        <v>0</v>
      </c>
      <c r="F23" s="331">
        <v>42.999998645604002</v>
      </c>
      <c r="G23" s="332">
        <v>7.1666664409339997</v>
      </c>
      <c r="H23" s="334">
        <v>0</v>
      </c>
      <c r="I23" s="331">
        <v>0</v>
      </c>
      <c r="J23" s="332">
        <v>-7.1666664409339997</v>
      </c>
      <c r="K23" s="335">
        <v>0</v>
      </c>
    </row>
    <row r="24" spans="1:11" ht="14.4" customHeight="1" thickBot="1" x14ac:dyDescent="0.35">
      <c r="A24" s="353" t="s">
        <v>240</v>
      </c>
      <c r="B24" s="331">
        <v>871.15781423100702</v>
      </c>
      <c r="C24" s="331">
        <v>817.71064999999999</v>
      </c>
      <c r="D24" s="332">
        <v>-53.447164231005999</v>
      </c>
      <c r="E24" s="333">
        <v>0.93864812625399996</v>
      </c>
      <c r="F24" s="331">
        <v>806.99997458145594</v>
      </c>
      <c r="G24" s="332">
        <v>134.49999576357601</v>
      </c>
      <c r="H24" s="334">
        <v>42.749600000000001</v>
      </c>
      <c r="I24" s="331">
        <v>80.519800000000004</v>
      </c>
      <c r="J24" s="332">
        <v>-53.980195763574997</v>
      </c>
      <c r="K24" s="335">
        <v>9.9776706983999999E-2</v>
      </c>
    </row>
    <row r="25" spans="1:11" ht="14.4" customHeight="1" thickBot="1" x14ac:dyDescent="0.35">
      <c r="A25" s="353" t="s">
        <v>241</v>
      </c>
      <c r="B25" s="331">
        <v>19.181909865024998</v>
      </c>
      <c r="C25" s="331">
        <v>9.1790599999999998</v>
      </c>
      <c r="D25" s="332">
        <v>-10.002849865025</v>
      </c>
      <c r="E25" s="333">
        <v>0.47852690710000001</v>
      </c>
      <c r="F25" s="331">
        <v>6.9999997795160001</v>
      </c>
      <c r="G25" s="332">
        <v>1.1666666299190001</v>
      </c>
      <c r="H25" s="334">
        <v>0</v>
      </c>
      <c r="I25" s="331">
        <v>0</v>
      </c>
      <c r="J25" s="332">
        <v>-1.1666666299190001</v>
      </c>
      <c r="K25" s="335">
        <v>0</v>
      </c>
    </row>
    <row r="26" spans="1:11" ht="14.4" customHeight="1" thickBot="1" x14ac:dyDescent="0.35">
      <c r="A26" s="353" t="s">
        <v>242</v>
      </c>
      <c r="B26" s="331">
        <v>0</v>
      </c>
      <c r="C26" s="331">
        <v>0</v>
      </c>
      <c r="D26" s="332">
        <v>0</v>
      </c>
      <c r="E26" s="333">
        <v>1</v>
      </c>
      <c r="F26" s="331">
        <v>0</v>
      </c>
      <c r="G26" s="332">
        <v>0</v>
      </c>
      <c r="H26" s="334">
        <v>102.23045</v>
      </c>
      <c r="I26" s="331">
        <v>133.74970999999999</v>
      </c>
      <c r="J26" s="332">
        <v>133.74970999999999</v>
      </c>
      <c r="K26" s="342" t="s">
        <v>243</v>
      </c>
    </row>
    <row r="27" spans="1:11" ht="14.4" customHeight="1" thickBot="1" x14ac:dyDescent="0.35">
      <c r="A27" s="353" t="s">
        <v>244</v>
      </c>
      <c r="B27" s="331">
        <v>615.01981819411401</v>
      </c>
      <c r="C27" s="331">
        <v>520.93394000000001</v>
      </c>
      <c r="D27" s="332">
        <v>-94.085878194114002</v>
      </c>
      <c r="E27" s="333">
        <v>0.84701976194700002</v>
      </c>
      <c r="F27" s="331">
        <v>667.98337753112605</v>
      </c>
      <c r="G27" s="332">
        <v>111.330562921854</v>
      </c>
      <c r="H27" s="334">
        <v>2.8716499999999998</v>
      </c>
      <c r="I27" s="331">
        <v>2.8716499999999998</v>
      </c>
      <c r="J27" s="332">
        <v>-108.45891292185399</v>
      </c>
      <c r="K27" s="335">
        <v>4.298984221E-3</v>
      </c>
    </row>
    <row r="28" spans="1:11" ht="14.4" customHeight="1" thickBot="1" x14ac:dyDescent="0.35">
      <c r="A28" s="352" t="s">
        <v>245</v>
      </c>
      <c r="B28" s="336">
        <v>887.71794264222001</v>
      </c>
      <c r="C28" s="336">
        <v>1142.1699900000001</v>
      </c>
      <c r="D28" s="337">
        <v>254.45204735778</v>
      </c>
      <c r="E28" s="343">
        <v>1.286636143233</v>
      </c>
      <c r="F28" s="336">
        <v>913.20480823070295</v>
      </c>
      <c r="G28" s="337">
        <v>152.200801371784</v>
      </c>
      <c r="H28" s="339">
        <v>61.095930000000003</v>
      </c>
      <c r="I28" s="336">
        <v>84.37518</v>
      </c>
      <c r="J28" s="337">
        <v>-67.825621371783001</v>
      </c>
      <c r="K28" s="344">
        <v>9.2394585791999995E-2</v>
      </c>
    </row>
    <row r="29" spans="1:11" ht="14.4" customHeight="1" thickBot="1" x14ac:dyDescent="0.35">
      <c r="A29" s="353" t="s">
        <v>246</v>
      </c>
      <c r="B29" s="331">
        <v>31.873523025276</v>
      </c>
      <c r="C29" s="331">
        <v>271.86824000000001</v>
      </c>
      <c r="D29" s="332">
        <v>239.99471697472401</v>
      </c>
      <c r="E29" s="333">
        <v>8.5295949175239993</v>
      </c>
      <c r="F29" s="331">
        <v>55.379911036385003</v>
      </c>
      <c r="G29" s="332">
        <v>9.2299851727300002</v>
      </c>
      <c r="H29" s="334">
        <v>0</v>
      </c>
      <c r="I29" s="331">
        <v>0</v>
      </c>
      <c r="J29" s="332">
        <v>-9.2299851727300002</v>
      </c>
      <c r="K29" s="335">
        <v>0</v>
      </c>
    </row>
    <row r="30" spans="1:11" ht="14.4" customHeight="1" thickBot="1" x14ac:dyDescent="0.35">
      <c r="A30" s="353" t="s">
        <v>247</v>
      </c>
      <c r="B30" s="331">
        <v>29.356866146007</v>
      </c>
      <c r="C30" s="331">
        <v>18.851870000000002</v>
      </c>
      <c r="D30" s="332">
        <v>-10.504996146007</v>
      </c>
      <c r="E30" s="333">
        <v>0.64216220853499995</v>
      </c>
      <c r="F30" s="331">
        <v>17.999999433043001</v>
      </c>
      <c r="G30" s="332">
        <v>2.9999999055069999</v>
      </c>
      <c r="H30" s="334">
        <v>1.4630799999999999</v>
      </c>
      <c r="I30" s="331">
        <v>3.7131500000000002</v>
      </c>
      <c r="J30" s="332">
        <v>0.71315009449199995</v>
      </c>
      <c r="K30" s="335">
        <v>0.206286117608</v>
      </c>
    </row>
    <row r="31" spans="1:11" ht="14.4" customHeight="1" thickBot="1" x14ac:dyDescent="0.35">
      <c r="A31" s="353" t="s">
        <v>248</v>
      </c>
      <c r="B31" s="331">
        <v>553.33816927278895</v>
      </c>
      <c r="C31" s="331">
        <v>612.52819999999997</v>
      </c>
      <c r="D31" s="332">
        <v>59.190030727210001</v>
      </c>
      <c r="E31" s="333">
        <v>1.1069690001770001</v>
      </c>
      <c r="F31" s="331">
        <v>599.74349091999397</v>
      </c>
      <c r="G31" s="332">
        <v>99.957248486664994</v>
      </c>
      <c r="H31" s="334">
        <v>50.94943</v>
      </c>
      <c r="I31" s="331">
        <v>62.690100000000001</v>
      </c>
      <c r="J31" s="332">
        <v>-37.267148486665</v>
      </c>
      <c r="K31" s="335">
        <v>0.104528187381</v>
      </c>
    </row>
    <row r="32" spans="1:11" ht="14.4" customHeight="1" thickBot="1" x14ac:dyDescent="0.35">
      <c r="A32" s="353" t="s">
        <v>249</v>
      </c>
      <c r="B32" s="331">
        <v>52.182489374105998</v>
      </c>
      <c r="C32" s="331">
        <v>29.19229</v>
      </c>
      <c r="D32" s="332">
        <v>-22.990199374105998</v>
      </c>
      <c r="E32" s="333">
        <v>0.55942693325100001</v>
      </c>
      <c r="F32" s="331">
        <v>52.999998330628003</v>
      </c>
      <c r="G32" s="332">
        <v>8.8333330551039992</v>
      </c>
      <c r="H32" s="334">
        <v>1.3224100000000001</v>
      </c>
      <c r="I32" s="331">
        <v>1.5924100000000001</v>
      </c>
      <c r="J32" s="332">
        <v>-7.240923055104</v>
      </c>
      <c r="K32" s="335">
        <v>3.0045472643999999E-2</v>
      </c>
    </row>
    <row r="33" spans="1:11" ht="14.4" customHeight="1" thickBot="1" x14ac:dyDescent="0.35">
      <c r="A33" s="353" t="s">
        <v>250</v>
      </c>
      <c r="B33" s="331">
        <v>15.99870358225</v>
      </c>
      <c r="C33" s="331">
        <v>11.55463</v>
      </c>
      <c r="D33" s="332">
        <v>-4.4440735822499997</v>
      </c>
      <c r="E33" s="333">
        <v>0.72222289391100003</v>
      </c>
      <c r="F33" s="331">
        <v>17.999999433043001</v>
      </c>
      <c r="G33" s="332">
        <v>2.9999999055069999</v>
      </c>
      <c r="H33" s="334">
        <v>0.75980000000000003</v>
      </c>
      <c r="I33" s="331">
        <v>2.38984</v>
      </c>
      <c r="J33" s="332">
        <v>-0.61015990550700006</v>
      </c>
      <c r="K33" s="335">
        <v>0.13276889307</v>
      </c>
    </row>
    <row r="34" spans="1:11" ht="14.4" customHeight="1" thickBot="1" x14ac:dyDescent="0.35">
      <c r="A34" s="353" t="s">
        <v>251</v>
      </c>
      <c r="B34" s="331">
        <v>0.60492263762700005</v>
      </c>
      <c r="C34" s="331">
        <v>0.35814000000000001</v>
      </c>
      <c r="D34" s="332">
        <v>-0.24678263762700001</v>
      </c>
      <c r="E34" s="333">
        <v>0.59204264764199999</v>
      </c>
      <c r="F34" s="331">
        <v>0.40012069170499998</v>
      </c>
      <c r="G34" s="332">
        <v>6.6686781949999996E-2</v>
      </c>
      <c r="H34" s="334">
        <v>0.04</v>
      </c>
      <c r="I34" s="331">
        <v>0.219</v>
      </c>
      <c r="J34" s="332">
        <v>0.152313218049</v>
      </c>
      <c r="K34" s="335">
        <v>0.547334853058</v>
      </c>
    </row>
    <row r="35" spans="1:11" ht="14.4" customHeight="1" thickBot="1" x14ac:dyDescent="0.35">
      <c r="A35" s="353" t="s">
        <v>252</v>
      </c>
      <c r="B35" s="331">
        <v>7.6523031549159999</v>
      </c>
      <c r="C35" s="331">
        <v>10.108560000000001</v>
      </c>
      <c r="D35" s="332">
        <v>2.4562568450829998</v>
      </c>
      <c r="E35" s="333">
        <v>1.320982689179</v>
      </c>
      <c r="F35" s="331">
        <v>9.1075746631219996</v>
      </c>
      <c r="G35" s="332">
        <v>1.5179291105199999</v>
      </c>
      <c r="H35" s="334">
        <v>0.29948000000000002</v>
      </c>
      <c r="I35" s="331">
        <v>0.29948000000000002</v>
      </c>
      <c r="J35" s="332">
        <v>-1.2184491105199999</v>
      </c>
      <c r="K35" s="335">
        <v>3.2882519339000001E-2</v>
      </c>
    </row>
    <row r="36" spans="1:11" ht="14.4" customHeight="1" thickBot="1" x14ac:dyDescent="0.35">
      <c r="A36" s="353" t="s">
        <v>253</v>
      </c>
      <c r="B36" s="331">
        <v>57.716122126656003</v>
      </c>
      <c r="C36" s="331">
        <v>55.857100000000003</v>
      </c>
      <c r="D36" s="332">
        <v>-1.8590221266560001</v>
      </c>
      <c r="E36" s="333">
        <v>0.96779024546000003</v>
      </c>
      <c r="F36" s="331">
        <v>70.999997763671999</v>
      </c>
      <c r="G36" s="332">
        <v>11.833332960611999</v>
      </c>
      <c r="H36" s="334">
        <v>2.55552</v>
      </c>
      <c r="I36" s="331">
        <v>5.0214999999999996</v>
      </c>
      <c r="J36" s="332">
        <v>-6.8118329606119996</v>
      </c>
      <c r="K36" s="335">
        <v>7.0725354340000005E-2</v>
      </c>
    </row>
    <row r="37" spans="1:11" ht="14.4" customHeight="1" thickBot="1" x14ac:dyDescent="0.35">
      <c r="A37" s="353" t="s">
        <v>254</v>
      </c>
      <c r="B37" s="331">
        <v>17.00520054251</v>
      </c>
      <c r="C37" s="331">
        <v>13.33799</v>
      </c>
      <c r="D37" s="332">
        <v>-3.6672105425099999</v>
      </c>
      <c r="E37" s="333">
        <v>0.78434770390700004</v>
      </c>
      <c r="F37" s="331">
        <v>13.573718321425</v>
      </c>
      <c r="G37" s="332">
        <v>2.262286386904</v>
      </c>
      <c r="H37" s="334">
        <v>0.61709999999999998</v>
      </c>
      <c r="I37" s="331">
        <v>1.7484500000000001</v>
      </c>
      <c r="J37" s="332">
        <v>-0.51383638690400002</v>
      </c>
      <c r="K37" s="335">
        <v>0.128811425034</v>
      </c>
    </row>
    <row r="38" spans="1:11" ht="14.4" customHeight="1" thickBot="1" x14ac:dyDescent="0.35">
      <c r="A38" s="353" t="s">
        <v>255</v>
      </c>
      <c r="B38" s="331">
        <v>121.989642780079</v>
      </c>
      <c r="C38" s="331">
        <v>118.51297</v>
      </c>
      <c r="D38" s="332">
        <v>-3.4766727800780002</v>
      </c>
      <c r="E38" s="333">
        <v>0.97150026263800005</v>
      </c>
      <c r="F38" s="331">
        <v>74.999997637681005</v>
      </c>
      <c r="G38" s="332">
        <v>12.499999606279999</v>
      </c>
      <c r="H38" s="334">
        <v>3.0891099999999998</v>
      </c>
      <c r="I38" s="331">
        <v>6.7012499999999999</v>
      </c>
      <c r="J38" s="332">
        <v>-5.7987496062800004</v>
      </c>
      <c r="K38" s="335">
        <v>8.9350002814000004E-2</v>
      </c>
    </row>
    <row r="39" spans="1:11" ht="14.4" customHeight="1" thickBot="1" x14ac:dyDescent="0.35">
      <c r="A39" s="352" t="s">
        <v>256</v>
      </c>
      <c r="B39" s="336">
        <v>204.45842956420501</v>
      </c>
      <c r="C39" s="336">
        <v>342.92277000000001</v>
      </c>
      <c r="D39" s="337">
        <v>138.46434043579501</v>
      </c>
      <c r="E39" s="343">
        <v>1.677224904499</v>
      </c>
      <c r="F39" s="336">
        <v>580.40982099556504</v>
      </c>
      <c r="G39" s="337">
        <v>96.734970165926995</v>
      </c>
      <c r="H39" s="339">
        <v>5.8915699999999998</v>
      </c>
      <c r="I39" s="336">
        <v>38.531469999999999</v>
      </c>
      <c r="J39" s="337">
        <v>-58.203500165926997</v>
      </c>
      <c r="K39" s="344">
        <v>6.6386660952000007E-2</v>
      </c>
    </row>
    <row r="40" spans="1:11" ht="14.4" customHeight="1" thickBot="1" x14ac:dyDescent="0.35">
      <c r="A40" s="353" t="s">
        <v>257</v>
      </c>
      <c r="B40" s="331">
        <v>58.563843418080999</v>
      </c>
      <c r="C40" s="331">
        <v>4.8445499999999999</v>
      </c>
      <c r="D40" s="332">
        <v>-53.719293418081001</v>
      </c>
      <c r="E40" s="333">
        <v>8.2722542053999995E-2</v>
      </c>
      <c r="F40" s="331">
        <v>4.2899751325729998</v>
      </c>
      <c r="G40" s="332">
        <v>0.71499585542800004</v>
      </c>
      <c r="H40" s="334">
        <v>0.25700000000000001</v>
      </c>
      <c r="I40" s="331">
        <v>0.25700000000000001</v>
      </c>
      <c r="J40" s="332">
        <v>-0.45799585542799998</v>
      </c>
      <c r="K40" s="335">
        <v>5.9907107164000002E-2</v>
      </c>
    </row>
    <row r="41" spans="1:11" ht="14.4" customHeight="1" thickBot="1" x14ac:dyDescent="0.35">
      <c r="A41" s="353" t="s">
        <v>258</v>
      </c>
      <c r="B41" s="331">
        <v>139.89346715803401</v>
      </c>
      <c r="C41" s="331">
        <v>333.15498000000002</v>
      </c>
      <c r="D41" s="332">
        <v>193.26151284196601</v>
      </c>
      <c r="E41" s="333">
        <v>2.3814906211709999</v>
      </c>
      <c r="F41" s="331">
        <v>567.11984614646997</v>
      </c>
      <c r="G41" s="332">
        <v>94.519974357744999</v>
      </c>
      <c r="H41" s="334">
        <v>3.7631000000000001</v>
      </c>
      <c r="I41" s="331">
        <v>35.822780000000002</v>
      </c>
      <c r="J41" s="332">
        <v>-58.697194357744998</v>
      </c>
      <c r="K41" s="335">
        <v>6.3166154813999995E-2</v>
      </c>
    </row>
    <row r="42" spans="1:11" ht="14.4" customHeight="1" thickBot="1" x14ac:dyDescent="0.35">
      <c r="A42" s="353" t="s">
        <v>259</v>
      </c>
      <c r="B42" s="331">
        <v>6.0011189880889999</v>
      </c>
      <c r="C42" s="331">
        <v>4.9232399999999998</v>
      </c>
      <c r="D42" s="332">
        <v>-1.0778789880890001</v>
      </c>
      <c r="E42" s="333">
        <v>0.82038699945299998</v>
      </c>
      <c r="F42" s="331">
        <v>8.9999997165209997</v>
      </c>
      <c r="G42" s="332">
        <v>1.4999999527529999</v>
      </c>
      <c r="H42" s="334">
        <v>1.87147</v>
      </c>
      <c r="I42" s="331">
        <v>2.4516900000000001</v>
      </c>
      <c r="J42" s="332">
        <v>0.95169004724600004</v>
      </c>
      <c r="K42" s="335">
        <v>0.27241000857999997</v>
      </c>
    </row>
    <row r="43" spans="1:11" ht="14.4" customHeight="1" thickBot="1" x14ac:dyDescent="0.35">
      <c r="A43" s="352" t="s">
        <v>260</v>
      </c>
      <c r="B43" s="336">
        <v>6215.2679041334004</v>
      </c>
      <c r="C43" s="336">
        <v>6219.9291400000002</v>
      </c>
      <c r="D43" s="337">
        <v>4.6612358666029996</v>
      </c>
      <c r="E43" s="343">
        <v>1.000749965397</v>
      </c>
      <c r="F43" s="336">
        <v>8936.9997185061602</v>
      </c>
      <c r="G43" s="337">
        <v>1489.49995308436</v>
      </c>
      <c r="H43" s="339">
        <v>512.34162000000094</v>
      </c>
      <c r="I43" s="336">
        <v>1041.7330099999999</v>
      </c>
      <c r="J43" s="337">
        <v>-447.76694308435901</v>
      </c>
      <c r="K43" s="344">
        <v>0.116564064318</v>
      </c>
    </row>
    <row r="44" spans="1:11" ht="14.4" customHeight="1" thickBot="1" x14ac:dyDescent="0.35">
      <c r="A44" s="353" t="s">
        <v>261</v>
      </c>
      <c r="B44" s="331">
        <v>29.371100406562999</v>
      </c>
      <c r="C44" s="331">
        <v>48.095219999999998</v>
      </c>
      <c r="D44" s="332">
        <v>18.724119593436001</v>
      </c>
      <c r="E44" s="333">
        <v>1.637501466892</v>
      </c>
      <c r="F44" s="331">
        <v>52.999998330627001</v>
      </c>
      <c r="G44" s="332">
        <v>8.8333330551039992</v>
      </c>
      <c r="H44" s="334">
        <v>1.90734</v>
      </c>
      <c r="I44" s="331">
        <v>5.2236799999999999</v>
      </c>
      <c r="J44" s="332">
        <v>-3.6096530551039998</v>
      </c>
      <c r="K44" s="335">
        <v>9.8560003103999996E-2</v>
      </c>
    </row>
    <row r="45" spans="1:11" ht="14.4" customHeight="1" thickBot="1" x14ac:dyDescent="0.35">
      <c r="A45" s="353" t="s">
        <v>262</v>
      </c>
      <c r="B45" s="331">
        <v>0</v>
      </c>
      <c r="C45" s="331">
        <v>0</v>
      </c>
      <c r="D45" s="332">
        <v>0</v>
      </c>
      <c r="E45" s="333">
        <v>1</v>
      </c>
      <c r="F45" s="331">
        <v>1.999999937004</v>
      </c>
      <c r="G45" s="332">
        <v>0.33333332283400002</v>
      </c>
      <c r="H45" s="334">
        <v>0</v>
      </c>
      <c r="I45" s="331">
        <v>0</v>
      </c>
      <c r="J45" s="332">
        <v>-0.33333332283400002</v>
      </c>
      <c r="K45" s="335">
        <v>0</v>
      </c>
    </row>
    <row r="46" spans="1:11" ht="14.4" customHeight="1" thickBot="1" x14ac:dyDescent="0.35">
      <c r="A46" s="353" t="s">
        <v>263</v>
      </c>
      <c r="B46" s="331">
        <v>0</v>
      </c>
      <c r="C46" s="331">
        <v>1.8093300000000001</v>
      </c>
      <c r="D46" s="332">
        <v>1.8093300000000001</v>
      </c>
      <c r="E46" s="341" t="s">
        <v>220</v>
      </c>
      <c r="F46" s="331">
        <v>1.999999937004</v>
      </c>
      <c r="G46" s="332">
        <v>0.33333332283400002</v>
      </c>
      <c r="H46" s="334">
        <v>0</v>
      </c>
      <c r="I46" s="331">
        <v>0</v>
      </c>
      <c r="J46" s="332">
        <v>-0.33333332283400002</v>
      </c>
      <c r="K46" s="335">
        <v>0</v>
      </c>
    </row>
    <row r="47" spans="1:11" ht="14.4" customHeight="1" thickBot="1" x14ac:dyDescent="0.35">
      <c r="A47" s="353" t="s">
        <v>264</v>
      </c>
      <c r="B47" s="331">
        <v>1684.02895441125</v>
      </c>
      <c r="C47" s="331">
        <v>1994.52259</v>
      </c>
      <c r="D47" s="332">
        <v>310.49363558874802</v>
      </c>
      <c r="E47" s="333">
        <v>1.18437547334</v>
      </c>
      <c r="F47" s="331">
        <v>3099.9999023575101</v>
      </c>
      <c r="G47" s="332">
        <v>516.666650392919</v>
      </c>
      <c r="H47" s="334">
        <v>139.09495000000001</v>
      </c>
      <c r="I47" s="331">
        <v>277.07477</v>
      </c>
      <c r="J47" s="332">
        <v>-239.591880392918</v>
      </c>
      <c r="K47" s="335">
        <v>8.9378960879000005E-2</v>
      </c>
    </row>
    <row r="48" spans="1:11" ht="14.4" customHeight="1" thickBot="1" x14ac:dyDescent="0.35">
      <c r="A48" s="353" t="s">
        <v>265</v>
      </c>
      <c r="B48" s="331">
        <v>4117.9200388859299</v>
      </c>
      <c r="C48" s="331">
        <v>3515.2721900000001</v>
      </c>
      <c r="D48" s="332">
        <v>-602.64784888592806</v>
      </c>
      <c r="E48" s="333">
        <v>0.85365236740899997</v>
      </c>
      <c r="F48" s="331">
        <v>4486.9998586703796</v>
      </c>
      <c r="G48" s="332">
        <v>747.83330977839603</v>
      </c>
      <c r="H48" s="334">
        <v>301.85402000000101</v>
      </c>
      <c r="I48" s="331">
        <v>634.92850000000101</v>
      </c>
      <c r="J48" s="332">
        <v>-112.904809778396</v>
      </c>
      <c r="K48" s="335">
        <v>0.14150401604599999</v>
      </c>
    </row>
    <row r="49" spans="1:11" ht="14.4" customHeight="1" thickBot="1" x14ac:dyDescent="0.35">
      <c r="A49" s="353" t="s">
        <v>266</v>
      </c>
      <c r="B49" s="331">
        <v>383.94781042965298</v>
      </c>
      <c r="C49" s="331">
        <v>660.22981000000004</v>
      </c>
      <c r="D49" s="332">
        <v>276.28199957034798</v>
      </c>
      <c r="E49" s="333">
        <v>1.7195821725380001</v>
      </c>
      <c r="F49" s="331">
        <v>1292.9999592736301</v>
      </c>
      <c r="G49" s="332">
        <v>215.49999321227199</v>
      </c>
      <c r="H49" s="334">
        <v>69.485309999999998</v>
      </c>
      <c r="I49" s="331">
        <v>124.50606000000001</v>
      </c>
      <c r="J49" s="332">
        <v>-90.993933212271997</v>
      </c>
      <c r="K49" s="335">
        <v>9.6292392823999998E-2</v>
      </c>
    </row>
    <row r="50" spans="1:11" ht="14.4" customHeight="1" thickBot="1" x14ac:dyDescent="0.35">
      <c r="A50" s="351" t="s">
        <v>29</v>
      </c>
      <c r="B50" s="331">
        <v>2162.72153689896</v>
      </c>
      <c r="C50" s="331">
        <v>1949.989</v>
      </c>
      <c r="D50" s="332">
        <v>-212.73253689895799</v>
      </c>
      <c r="E50" s="333">
        <v>0.90163664934599996</v>
      </c>
      <c r="F50" s="331">
        <v>2159.2232972500901</v>
      </c>
      <c r="G50" s="332">
        <v>359.87054954168099</v>
      </c>
      <c r="H50" s="334">
        <v>214.83200000000099</v>
      </c>
      <c r="I50" s="331">
        <v>469.69400000000002</v>
      </c>
      <c r="J50" s="332">
        <v>109.823450458319</v>
      </c>
      <c r="K50" s="335">
        <v>0.217529146058</v>
      </c>
    </row>
    <row r="51" spans="1:11" ht="14.4" customHeight="1" thickBot="1" x14ac:dyDescent="0.35">
      <c r="A51" s="352" t="s">
        <v>267</v>
      </c>
      <c r="B51" s="336">
        <v>2162.72153689896</v>
      </c>
      <c r="C51" s="336">
        <v>1949.989</v>
      </c>
      <c r="D51" s="337">
        <v>-212.73253689895799</v>
      </c>
      <c r="E51" s="343">
        <v>0.90163664934599996</v>
      </c>
      <c r="F51" s="336">
        <v>2159.2232972500901</v>
      </c>
      <c r="G51" s="337">
        <v>359.87054954168099</v>
      </c>
      <c r="H51" s="339">
        <v>214.83200000000099</v>
      </c>
      <c r="I51" s="336">
        <v>469.69400000000002</v>
      </c>
      <c r="J51" s="337">
        <v>109.823450458319</v>
      </c>
      <c r="K51" s="344">
        <v>0.217529146058</v>
      </c>
    </row>
    <row r="52" spans="1:11" ht="14.4" customHeight="1" thickBot="1" x14ac:dyDescent="0.35">
      <c r="A52" s="353" t="s">
        <v>268</v>
      </c>
      <c r="B52" s="331">
        <v>609.68701612278403</v>
      </c>
      <c r="C52" s="331">
        <v>512.31899999999996</v>
      </c>
      <c r="D52" s="332">
        <v>-97.368016122783999</v>
      </c>
      <c r="E52" s="333">
        <v>0.84029836039100003</v>
      </c>
      <c r="F52" s="331">
        <v>526.22334868562803</v>
      </c>
      <c r="G52" s="332">
        <v>87.703891447603993</v>
      </c>
      <c r="H52" s="334">
        <v>41.42</v>
      </c>
      <c r="I52" s="331">
        <v>86.122</v>
      </c>
      <c r="J52" s="332">
        <v>-1.581891447604</v>
      </c>
      <c r="K52" s="335">
        <v>0.163660544928</v>
      </c>
    </row>
    <row r="53" spans="1:11" ht="14.4" customHeight="1" thickBot="1" x14ac:dyDescent="0.35">
      <c r="A53" s="353" t="s">
        <v>269</v>
      </c>
      <c r="B53" s="331">
        <v>900.00609651507102</v>
      </c>
      <c r="C53" s="331">
        <v>831.87300000000005</v>
      </c>
      <c r="D53" s="332">
        <v>-68.133096515069994</v>
      </c>
      <c r="E53" s="333">
        <v>0.92429707223199997</v>
      </c>
      <c r="F53" s="331">
        <v>1005.99996831344</v>
      </c>
      <c r="G53" s="332">
        <v>167.66666138557301</v>
      </c>
      <c r="H53" s="334">
        <v>75.319000000000003</v>
      </c>
      <c r="I53" s="331">
        <v>168.53</v>
      </c>
      <c r="J53" s="332">
        <v>0.863338614427</v>
      </c>
      <c r="K53" s="335">
        <v>0.16752485617099999</v>
      </c>
    </row>
    <row r="54" spans="1:11" ht="14.4" customHeight="1" thickBot="1" x14ac:dyDescent="0.35">
      <c r="A54" s="353" t="s">
        <v>270</v>
      </c>
      <c r="B54" s="331">
        <v>653.02842426110396</v>
      </c>
      <c r="C54" s="331">
        <v>605.79700000000003</v>
      </c>
      <c r="D54" s="332">
        <v>-47.231424261103001</v>
      </c>
      <c r="E54" s="333">
        <v>0.92767324896299996</v>
      </c>
      <c r="F54" s="331">
        <v>626.99998025102298</v>
      </c>
      <c r="G54" s="332">
        <v>104.499996708504</v>
      </c>
      <c r="H54" s="334">
        <v>98.093000000000004</v>
      </c>
      <c r="I54" s="331">
        <v>215.042</v>
      </c>
      <c r="J54" s="332">
        <v>110.542003291496</v>
      </c>
      <c r="K54" s="335">
        <v>0.34296970777199998</v>
      </c>
    </row>
    <row r="55" spans="1:11" ht="14.4" customHeight="1" thickBot="1" x14ac:dyDescent="0.35">
      <c r="A55" s="354" t="s">
        <v>271</v>
      </c>
      <c r="B55" s="336">
        <v>5378.7353457003401</v>
      </c>
      <c r="C55" s="336">
        <v>9098.6901799999996</v>
      </c>
      <c r="D55" s="337">
        <v>3719.95483429966</v>
      </c>
      <c r="E55" s="343">
        <v>1.6916039914979999</v>
      </c>
      <c r="F55" s="336">
        <v>9564.9237175257695</v>
      </c>
      <c r="G55" s="337">
        <v>1594.1539529209599</v>
      </c>
      <c r="H55" s="339">
        <v>327.84624000000099</v>
      </c>
      <c r="I55" s="336">
        <v>783.66541000000097</v>
      </c>
      <c r="J55" s="337">
        <v>-810.48854292096098</v>
      </c>
      <c r="K55" s="344">
        <v>8.1931171972000005E-2</v>
      </c>
    </row>
    <row r="56" spans="1:11" ht="14.4" customHeight="1" thickBot="1" x14ac:dyDescent="0.35">
      <c r="A56" s="351" t="s">
        <v>32</v>
      </c>
      <c r="B56" s="331">
        <v>1310.4887640844299</v>
      </c>
      <c r="C56" s="331">
        <v>1267.2437500000001</v>
      </c>
      <c r="D56" s="332">
        <v>-43.245014084429002</v>
      </c>
      <c r="E56" s="333">
        <v>0.96700085092700006</v>
      </c>
      <c r="F56" s="331">
        <v>956.481866684171</v>
      </c>
      <c r="G56" s="332">
        <v>159.413644447362</v>
      </c>
      <c r="H56" s="334">
        <v>26.548369999999998</v>
      </c>
      <c r="I56" s="331">
        <v>155.15812</v>
      </c>
      <c r="J56" s="332">
        <v>-4.2555244473610001</v>
      </c>
      <c r="K56" s="335">
        <v>0.162217523828</v>
      </c>
    </row>
    <row r="57" spans="1:11" ht="14.4" customHeight="1" thickBot="1" x14ac:dyDescent="0.35">
      <c r="A57" s="355" t="s">
        <v>272</v>
      </c>
      <c r="B57" s="331">
        <v>1310.4887640844299</v>
      </c>
      <c r="C57" s="331">
        <v>1267.2437500000001</v>
      </c>
      <c r="D57" s="332">
        <v>-43.245014084429002</v>
      </c>
      <c r="E57" s="333">
        <v>0.96700085092700006</v>
      </c>
      <c r="F57" s="331">
        <v>956.481866684171</v>
      </c>
      <c r="G57" s="332">
        <v>159.413644447362</v>
      </c>
      <c r="H57" s="334">
        <v>26.548369999999998</v>
      </c>
      <c r="I57" s="331">
        <v>155.15812</v>
      </c>
      <c r="J57" s="332">
        <v>-4.2555244473610001</v>
      </c>
      <c r="K57" s="335">
        <v>0.162217523828</v>
      </c>
    </row>
    <row r="58" spans="1:11" ht="14.4" customHeight="1" thickBot="1" x14ac:dyDescent="0.35">
      <c r="A58" s="353" t="s">
        <v>273</v>
      </c>
      <c r="B58" s="331">
        <v>817.45143495754803</v>
      </c>
      <c r="C58" s="331">
        <v>942.56224999999995</v>
      </c>
      <c r="D58" s="332">
        <v>125.110815042452</v>
      </c>
      <c r="E58" s="333">
        <v>1.153049844543</v>
      </c>
      <c r="F58" s="331">
        <v>610.55367247525498</v>
      </c>
      <c r="G58" s="332">
        <v>101.758945412543</v>
      </c>
      <c r="H58" s="334">
        <v>21.114000000000001</v>
      </c>
      <c r="I58" s="331">
        <v>131.17214999999999</v>
      </c>
      <c r="J58" s="332">
        <v>29.413204587456999</v>
      </c>
      <c r="K58" s="335">
        <v>0.21484130865699999</v>
      </c>
    </row>
    <row r="59" spans="1:11" ht="14.4" customHeight="1" thickBot="1" x14ac:dyDescent="0.35">
      <c r="A59" s="353" t="s">
        <v>274</v>
      </c>
      <c r="B59" s="331">
        <v>276.33555588538798</v>
      </c>
      <c r="C59" s="331">
        <v>127.31041</v>
      </c>
      <c r="D59" s="332">
        <v>-149.02514588538901</v>
      </c>
      <c r="E59" s="333">
        <v>0.46070947906800003</v>
      </c>
      <c r="F59" s="331">
        <v>28.447842463335</v>
      </c>
      <c r="G59" s="332">
        <v>4.7413070772220003</v>
      </c>
      <c r="H59" s="334">
        <v>0</v>
      </c>
      <c r="I59" s="331">
        <v>2.044</v>
      </c>
      <c r="J59" s="332">
        <v>-2.6973070772219998</v>
      </c>
      <c r="K59" s="335">
        <v>7.1850791588999999E-2</v>
      </c>
    </row>
    <row r="60" spans="1:11" ht="14.4" customHeight="1" thickBot="1" x14ac:dyDescent="0.35">
      <c r="A60" s="353" t="s">
        <v>275</v>
      </c>
      <c r="B60" s="331">
        <v>81.999861559118003</v>
      </c>
      <c r="C60" s="331">
        <v>132.21358000000001</v>
      </c>
      <c r="D60" s="332">
        <v>50.213718440881003</v>
      </c>
      <c r="E60" s="333">
        <v>1.6123634538660001</v>
      </c>
      <c r="F60" s="331">
        <v>263.99999168464097</v>
      </c>
      <c r="G60" s="332">
        <v>43.999998614105998</v>
      </c>
      <c r="H60" s="334">
        <v>0</v>
      </c>
      <c r="I60" s="331">
        <v>0</v>
      </c>
      <c r="J60" s="332">
        <v>-43.999998614105998</v>
      </c>
      <c r="K60" s="335">
        <v>0</v>
      </c>
    </row>
    <row r="61" spans="1:11" ht="14.4" customHeight="1" thickBot="1" x14ac:dyDescent="0.35">
      <c r="A61" s="353" t="s">
        <v>276</v>
      </c>
      <c r="B61" s="331">
        <v>134.701911682375</v>
      </c>
      <c r="C61" s="331">
        <v>65.157510000000002</v>
      </c>
      <c r="D61" s="332">
        <v>-69.544401682374001</v>
      </c>
      <c r="E61" s="333">
        <v>0.48371629761000001</v>
      </c>
      <c r="F61" s="331">
        <v>53.480360060938999</v>
      </c>
      <c r="G61" s="332">
        <v>8.913393343489</v>
      </c>
      <c r="H61" s="334">
        <v>5.4343700000000004</v>
      </c>
      <c r="I61" s="331">
        <v>21.941970000000001</v>
      </c>
      <c r="J61" s="332">
        <v>13.028576656509999</v>
      </c>
      <c r="K61" s="335">
        <v>0.41028089517299998</v>
      </c>
    </row>
    <row r="62" spans="1:11" ht="14.4" customHeight="1" thickBot="1" x14ac:dyDescent="0.35">
      <c r="A62" s="356" t="s">
        <v>33</v>
      </c>
      <c r="B62" s="336">
        <v>0</v>
      </c>
      <c r="C62" s="336">
        <v>21</v>
      </c>
      <c r="D62" s="337">
        <v>21</v>
      </c>
      <c r="E62" s="338" t="s">
        <v>220</v>
      </c>
      <c r="F62" s="336">
        <v>0</v>
      </c>
      <c r="G62" s="337">
        <v>0</v>
      </c>
      <c r="H62" s="339">
        <v>0</v>
      </c>
      <c r="I62" s="336">
        <v>0</v>
      </c>
      <c r="J62" s="337">
        <v>0</v>
      </c>
      <c r="K62" s="340" t="s">
        <v>220</v>
      </c>
    </row>
    <row r="63" spans="1:11" ht="14.4" customHeight="1" thickBot="1" x14ac:dyDescent="0.35">
      <c r="A63" s="352" t="s">
        <v>277</v>
      </c>
      <c r="B63" s="336">
        <v>0</v>
      </c>
      <c r="C63" s="336">
        <v>21</v>
      </c>
      <c r="D63" s="337">
        <v>21</v>
      </c>
      <c r="E63" s="338" t="s">
        <v>220</v>
      </c>
      <c r="F63" s="336">
        <v>0</v>
      </c>
      <c r="G63" s="337">
        <v>0</v>
      </c>
      <c r="H63" s="339">
        <v>0</v>
      </c>
      <c r="I63" s="336">
        <v>0</v>
      </c>
      <c r="J63" s="337">
        <v>0</v>
      </c>
      <c r="K63" s="340" t="s">
        <v>220</v>
      </c>
    </row>
    <row r="64" spans="1:11" ht="14.4" customHeight="1" thickBot="1" x14ac:dyDescent="0.35">
      <c r="A64" s="353" t="s">
        <v>278</v>
      </c>
      <c r="B64" s="331">
        <v>0</v>
      </c>
      <c r="C64" s="331">
        <v>17.149999999999999</v>
      </c>
      <c r="D64" s="332">
        <v>17.149999999999999</v>
      </c>
      <c r="E64" s="341" t="s">
        <v>220</v>
      </c>
      <c r="F64" s="331">
        <v>0</v>
      </c>
      <c r="G64" s="332">
        <v>0</v>
      </c>
      <c r="H64" s="334">
        <v>0</v>
      </c>
      <c r="I64" s="331">
        <v>0</v>
      </c>
      <c r="J64" s="332">
        <v>0</v>
      </c>
      <c r="K64" s="342" t="s">
        <v>220</v>
      </c>
    </row>
    <row r="65" spans="1:11" ht="14.4" customHeight="1" thickBot="1" x14ac:dyDescent="0.35">
      <c r="A65" s="353" t="s">
        <v>279</v>
      </c>
      <c r="B65" s="331">
        <v>0</v>
      </c>
      <c r="C65" s="331">
        <v>3.85</v>
      </c>
      <c r="D65" s="332">
        <v>3.85</v>
      </c>
      <c r="E65" s="341" t="s">
        <v>220</v>
      </c>
      <c r="F65" s="331">
        <v>0</v>
      </c>
      <c r="G65" s="332">
        <v>0</v>
      </c>
      <c r="H65" s="334">
        <v>0</v>
      </c>
      <c r="I65" s="331">
        <v>0</v>
      </c>
      <c r="J65" s="332">
        <v>0</v>
      </c>
      <c r="K65" s="342" t="s">
        <v>220</v>
      </c>
    </row>
    <row r="66" spans="1:11" ht="14.4" customHeight="1" thickBot="1" x14ac:dyDescent="0.35">
      <c r="A66" s="351" t="s">
        <v>34</v>
      </c>
      <c r="B66" s="331">
        <v>4068.2465816159101</v>
      </c>
      <c r="C66" s="331">
        <v>7810.44643</v>
      </c>
      <c r="D66" s="332">
        <v>3742.1998483840898</v>
      </c>
      <c r="E66" s="333">
        <v>1.9198557101460001</v>
      </c>
      <c r="F66" s="331">
        <v>8608.4418508416002</v>
      </c>
      <c r="G66" s="332">
        <v>1434.7403084736</v>
      </c>
      <c r="H66" s="334">
        <v>301.29787000000101</v>
      </c>
      <c r="I66" s="331">
        <v>628.50729000000103</v>
      </c>
      <c r="J66" s="332">
        <v>-806.23301847359903</v>
      </c>
      <c r="K66" s="335">
        <v>7.3010575071000006E-2</v>
      </c>
    </row>
    <row r="67" spans="1:11" ht="14.4" customHeight="1" thickBot="1" x14ac:dyDescent="0.35">
      <c r="A67" s="352" t="s">
        <v>280</v>
      </c>
      <c r="B67" s="336">
        <v>1.0919770817029999</v>
      </c>
      <c r="C67" s="336">
        <v>3.5870000000000002</v>
      </c>
      <c r="D67" s="337">
        <v>2.4950229182960002</v>
      </c>
      <c r="E67" s="343">
        <v>3.284867475794</v>
      </c>
      <c r="F67" s="336">
        <v>4.9288370241140003</v>
      </c>
      <c r="G67" s="337">
        <v>0.82147283735200005</v>
      </c>
      <c r="H67" s="339">
        <v>0.104</v>
      </c>
      <c r="I67" s="336">
        <v>0.311</v>
      </c>
      <c r="J67" s="337">
        <v>-0.510472837352</v>
      </c>
      <c r="K67" s="344">
        <v>6.3098048986999999E-2</v>
      </c>
    </row>
    <row r="68" spans="1:11" ht="14.4" customHeight="1" thickBot="1" x14ac:dyDescent="0.35">
      <c r="A68" s="353" t="s">
        <v>281</v>
      </c>
      <c r="B68" s="331">
        <v>1.0919770817029999</v>
      </c>
      <c r="C68" s="331">
        <v>3.5870000000000002</v>
      </c>
      <c r="D68" s="332">
        <v>2.4950229182960002</v>
      </c>
      <c r="E68" s="333">
        <v>3.284867475794</v>
      </c>
      <c r="F68" s="331">
        <v>4.9288370241140003</v>
      </c>
      <c r="G68" s="332">
        <v>0.82147283735200005</v>
      </c>
      <c r="H68" s="334">
        <v>0.104</v>
      </c>
      <c r="I68" s="331">
        <v>0.311</v>
      </c>
      <c r="J68" s="332">
        <v>-0.510472837352</v>
      </c>
      <c r="K68" s="335">
        <v>6.3098048986999999E-2</v>
      </c>
    </row>
    <row r="69" spans="1:11" ht="14.4" customHeight="1" thickBot="1" x14ac:dyDescent="0.35">
      <c r="A69" s="352" t="s">
        <v>282</v>
      </c>
      <c r="B69" s="336">
        <v>4.802707233534</v>
      </c>
      <c r="C69" s="336">
        <v>6.3520300000000001</v>
      </c>
      <c r="D69" s="337">
        <v>1.549322766465</v>
      </c>
      <c r="E69" s="343">
        <v>1.322593631285</v>
      </c>
      <c r="F69" s="336">
        <v>7.0592965272099999</v>
      </c>
      <c r="G69" s="337">
        <v>1.1765494212009999</v>
      </c>
      <c r="H69" s="339">
        <v>0.35820999999999997</v>
      </c>
      <c r="I69" s="336">
        <v>0.23782</v>
      </c>
      <c r="J69" s="337">
        <v>-0.938729421201</v>
      </c>
      <c r="K69" s="344">
        <v>3.3688909239000003E-2</v>
      </c>
    </row>
    <row r="70" spans="1:11" ht="14.4" customHeight="1" thickBot="1" x14ac:dyDescent="0.35">
      <c r="A70" s="353" t="s">
        <v>283</v>
      </c>
      <c r="B70" s="331">
        <v>4.802707233534</v>
      </c>
      <c r="C70" s="331">
        <v>6.3520300000000001</v>
      </c>
      <c r="D70" s="332">
        <v>1.549322766465</v>
      </c>
      <c r="E70" s="333">
        <v>1.322593631285</v>
      </c>
      <c r="F70" s="331">
        <v>7.0592965272099999</v>
      </c>
      <c r="G70" s="332">
        <v>1.1765494212009999</v>
      </c>
      <c r="H70" s="334">
        <v>0.35820999999999997</v>
      </c>
      <c r="I70" s="331">
        <v>0.23782</v>
      </c>
      <c r="J70" s="332">
        <v>-0.938729421201</v>
      </c>
      <c r="K70" s="335">
        <v>3.3688909239000003E-2</v>
      </c>
    </row>
    <row r="71" spans="1:11" ht="14.4" customHeight="1" thickBot="1" x14ac:dyDescent="0.35">
      <c r="A71" s="352" t="s">
        <v>284</v>
      </c>
      <c r="B71" s="336">
        <v>20.325387597793998</v>
      </c>
      <c r="C71" s="336">
        <v>24.0822</v>
      </c>
      <c r="D71" s="337">
        <v>3.756812402205</v>
      </c>
      <c r="E71" s="343">
        <v>1.1848334937830001</v>
      </c>
      <c r="F71" s="336">
        <v>20.999999338550001</v>
      </c>
      <c r="G71" s="337">
        <v>3.499999889758</v>
      </c>
      <c r="H71" s="339">
        <v>0.29476000000000002</v>
      </c>
      <c r="I71" s="336">
        <v>13.85336</v>
      </c>
      <c r="J71" s="337">
        <v>10.353360110241001</v>
      </c>
      <c r="K71" s="344">
        <v>0.65968383030199995</v>
      </c>
    </row>
    <row r="72" spans="1:11" ht="14.4" customHeight="1" thickBot="1" x14ac:dyDescent="0.35">
      <c r="A72" s="353" t="s">
        <v>285</v>
      </c>
      <c r="B72" s="331">
        <v>6.0008246184620004</v>
      </c>
      <c r="C72" s="331">
        <v>6.48</v>
      </c>
      <c r="D72" s="332">
        <v>0.47917538153700001</v>
      </c>
      <c r="E72" s="333">
        <v>1.0798515890730001</v>
      </c>
      <c r="F72" s="331">
        <v>5.9999998110139998</v>
      </c>
      <c r="G72" s="332">
        <v>0.99999996850200001</v>
      </c>
      <c r="H72" s="334">
        <v>0</v>
      </c>
      <c r="I72" s="331">
        <v>1.62</v>
      </c>
      <c r="J72" s="332">
        <v>0.620000031497</v>
      </c>
      <c r="K72" s="335">
        <v>0.27000000850400002</v>
      </c>
    </row>
    <row r="73" spans="1:11" ht="14.4" customHeight="1" thickBot="1" x14ac:dyDescent="0.35">
      <c r="A73" s="353" t="s">
        <v>286</v>
      </c>
      <c r="B73" s="331">
        <v>14.324562979331001</v>
      </c>
      <c r="C73" s="331">
        <v>17.6022</v>
      </c>
      <c r="D73" s="332">
        <v>3.2776370206680001</v>
      </c>
      <c r="E73" s="333">
        <v>1.228812357165</v>
      </c>
      <c r="F73" s="331">
        <v>14.999999527536</v>
      </c>
      <c r="G73" s="332">
        <v>2.4999999212559998</v>
      </c>
      <c r="H73" s="334">
        <v>0.29476000000000002</v>
      </c>
      <c r="I73" s="331">
        <v>12.233359999999999</v>
      </c>
      <c r="J73" s="332">
        <v>9.7333600787430008</v>
      </c>
      <c r="K73" s="335">
        <v>0.81555735902100002</v>
      </c>
    </row>
    <row r="74" spans="1:11" ht="14.4" customHeight="1" thickBot="1" x14ac:dyDescent="0.35">
      <c r="A74" s="352" t="s">
        <v>287</v>
      </c>
      <c r="B74" s="336">
        <v>0</v>
      </c>
      <c r="C74" s="336">
        <v>1.8149999999999999</v>
      </c>
      <c r="D74" s="337">
        <v>1.8149999999999999</v>
      </c>
      <c r="E74" s="338" t="s">
        <v>243</v>
      </c>
      <c r="F74" s="336">
        <v>0</v>
      </c>
      <c r="G74" s="337">
        <v>0</v>
      </c>
      <c r="H74" s="339">
        <v>0</v>
      </c>
      <c r="I74" s="336">
        <v>0</v>
      </c>
      <c r="J74" s="337">
        <v>0</v>
      </c>
      <c r="K74" s="340" t="s">
        <v>220</v>
      </c>
    </row>
    <row r="75" spans="1:11" ht="14.4" customHeight="1" thickBot="1" x14ac:dyDescent="0.35">
      <c r="A75" s="353" t="s">
        <v>288</v>
      </c>
      <c r="B75" s="331">
        <v>0</v>
      </c>
      <c r="C75" s="331">
        <v>1.8149999999999999</v>
      </c>
      <c r="D75" s="332">
        <v>1.8149999999999999</v>
      </c>
      <c r="E75" s="341" t="s">
        <v>243</v>
      </c>
      <c r="F75" s="331">
        <v>0</v>
      </c>
      <c r="G75" s="332">
        <v>0</v>
      </c>
      <c r="H75" s="334">
        <v>0</v>
      </c>
      <c r="I75" s="331">
        <v>0</v>
      </c>
      <c r="J75" s="332">
        <v>0</v>
      </c>
      <c r="K75" s="342" t="s">
        <v>220</v>
      </c>
    </row>
    <row r="76" spans="1:11" ht="14.4" customHeight="1" thickBot="1" x14ac:dyDescent="0.35">
      <c r="A76" s="352" t="s">
        <v>289</v>
      </c>
      <c r="B76" s="336">
        <v>3275.8686367514401</v>
      </c>
      <c r="C76" s="336">
        <v>2961.4804100000001</v>
      </c>
      <c r="D76" s="337">
        <v>-314.388226751437</v>
      </c>
      <c r="E76" s="343">
        <v>0.90402904950899998</v>
      </c>
      <c r="F76" s="336">
        <v>3159.4773717541402</v>
      </c>
      <c r="G76" s="337">
        <v>526.57956195902398</v>
      </c>
      <c r="H76" s="339">
        <v>222.30440000000101</v>
      </c>
      <c r="I76" s="336">
        <v>441.12947000000003</v>
      </c>
      <c r="J76" s="337">
        <v>-85.450091959022998</v>
      </c>
      <c r="K76" s="344">
        <v>0.13962102528199999</v>
      </c>
    </row>
    <row r="77" spans="1:11" ht="14.4" customHeight="1" thickBot="1" x14ac:dyDescent="0.35">
      <c r="A77" s="353" t="s">
        <v>290</v>
      </c>
      <c r="B77" s="331">
        <v>2950.7320486654799</v>
      </c>
      <c r="C77" s="331">
        <v>2616.0415400000002</v>
      </c>
      <c r="D77" s="332">
        <v>-334.69050866547502</v>
      </c>
      <c r="E77" s="333">
        <v>0.88657373724699995</v>
      </c>
      <c r="F77" s="331">
        <v>2813.8817109481301</v>
      </c>
      <c r="G77" s="332">
        <v>468.98028515802201</v>
      </c>
      <c r="H77" s="334">
        <v>192.95943000000099</v>
      </c>
      <c r="I77" s="331">
        <v>381.17808000000002</v>
      </c>
      <c r="J77" s="332">
        <v>-87.802205158020996</v>
      </c>
      <c r="K77" s="335">
        <v>0.13546343420000001</v>
      </c>
    </row>
    <row r="78" spans="1:11" ht="14.4" customHeight="1" thickBot="1" x14ac:dyDescent="0.35">
      <c r="A78" s="353" t="s">
        <v>291</v>
      </c>
      <c r="B78" s="331">
        <v>325.13658808596199</v>
      </c>
      <c r="C78" s="331">
        <v>345.43887000000001</v>
      </c>
      <c r="D78" s="332">
        <v>20.302281914038002</v>
      </c>
      <c r="E78" s="333">
        <v>1.062442317038</v>
      </c>
      <c r="F78" s="331">
        <v>345.595660806007</v>
      </c>
      <c r="G78" s="332">
        <v>57.599276801000997</v>
      </c>
      <c r="H78" s="334">
        <v>29.34497</v>
      </c>
      <c r="I78" s="331">
        <v>59.951390000000004</v>
      </c>
      <c r="J78" s="332">
        <v>2.352113198998</v>
      </c>
      <c r="K78" s="335">
        <v>0.17347263521799999</v>
      </c>
    </row>
    <row r="79" spans="1:11" ht="14.4" customHeight="1" thickBot="1" x14ac:dyDescent="0.35">
      <c r="A79" s="352" t="s">
        <v>292</v>
      </c>
      <c r="B79" s="336">
        <v>766.15787295144003</v>
      </c>
      <c r="C79" s="336">
        <v>4806.6052900000004</v>
      </c>
      <c r="D79" s="337">
        <v>4040.4474170485601</v>
      </c>
      <c r="E79" s="343">
        <v>6.2736486299919996</v>
      </c>
      <c r="F79" s="336">
        <v>5413.15437339045</v>
      </c>
      <c r="G79" s="337">
        <v>902.192395565075</v>
      </c>
      <c r="H79" s="339">
        <v>78.236500000000007</v>
      </c>
      <c r="I79" s="336">
        <v>172.97564</v>
      </c>
      <c r="J79" s="337">
        <v>-729.216755565075</v>
      </c>
      <c r="K79" s="344">
        <v>3.1954684471999999E-2</v>
      </c>
    </row>
    <row r="80" spans="1:11" ht="14.4" customHeight="1" thickBot="1" x14ac:dyDescent="0.35">
      <c r="A80" s="353" t="s">
        <v>293</v>
      </c>
      <c r="B80" s="331">
        <v>35.290920653268998</v>
      </c>
      <c r="C80" s="331">
        <v>8.9049999999999994</v>
      </c>
      <c r="D80" s="332">
        <v>-26.385920653269</v>
      </c>
      <c r="E80" s="333">
        <v>0.25233118986800002</v>
      </c>
      <c r="F80" s="331">
        <v>73.999997669178995</v>
      </c>
      <c r="G80" s="332">
        <v>12.333332944863001</v>
      </c>
      <c r="H80" s="334">
        <v>0</v>
      </c>
      <c r="I80" s="331">
        <v>0.90500000000000003</v>
      </c>
      <c r="J80" s="332">
        <v>-11.428332944863</v>
      </c>
      <c r="K80" s="335">
        <v>1.2229730114E-2</v>
      </c>
    </row>
    <row r="81" spans="1:11" ht="14.4" customHeight="1" thickBot="1" x14ac:dyDescent="0.35">
      <c r="A81" s="353" t="s">
        <v>294</v>
      </c>
      <c r="B81" s="331">
        <v>715.96003256276902</v>
      </c>
      <c r="C81" s="331">
        <v>615.33640000000003</v>
      </c>
      <c r="D81" s="332">
        <v>-100.623632562769</v>
      </c>
      <c r="E81" s="333">
        <v>0.85945635512200003</v>
      </c>
      <c r="F81" s="331">
        <v>542.71621057062703</v>
      </c>
      <c r="G81" s="332">
        <v>90.452701761770996</v>
      </c>
      <c r="H81" s="334">
        <v>77.465999999999994</v>
      </c>
      <c r="I81" s="331">
        <v>169.74664000000001</v>
      </c>
      <c r="J81" s="332">
        <v>79.293938238229003</v>
      </c>
      <c r="K81" s="335">
        <v>0.31277237844299999</v>
      </c>
    </row>
    <row r="82" spans="1:11" ht="14.4" customHeight="1" thickBot="1" x14ac:dyDescent="0.35">
      <c r="A82" s="353" t="s">
        <v>295</v>
      </c>
      <c r="B82" s="331">
        <v>4.0014576669619997</v>
      </c>
      <c r="C82" s="331">
        <v>3.2669999999999999</v>
      </c>
      <c r="D82" s="332">
        <v>-0.73445766696199999</v>
      </c>
      <c r="E82" s="333">
        <v>0.81645247105100005</v>
      </c>
      <c r="F82" s="331">
        <v>6.9999997795160001</v>
      </c>
      <c r="G82" s="332">
        <v>1.1666666299190001</v>
      </c>
      <c r="H82" s="334">
        <v>0</v>
      </c>
      <c r="I82" s="331">
        <v>0.78300000000000003</v>
      </c>
      <c r="J82" s="332">
        <v>-0.38366662991900002</v>
      </c>
      <c r="K82" s="335">
        <v>0.11185714637999999</v>
      </c>
    </row>
    <row r="83" spans="1:11" ht="14.4" customHeight="1" thickBot="1" x14ac:dyDescent="0.35">
      <c r="A83" s="353" t="s">
        <v>296</v>
      </c>
      <c r="B83" s="331">
        <v>0</v>
      </c>
      <c r="C83" s="331">
        <v>4.9473900000000004</v>
      </c>
      <c r="D83" s="332">
        <v>4.9473900000000004</v>
      </c>
      <c r="E83" s="341" t="s">
        <v>243</v>
      </c>
      <c r="F83" s="331">
        <v>6.033427503685</v>
      </c>
      <c r="G83" s="332">
        <v>1.005571250614</v>
      </c>
      <c r="H83" s="334">
        <v>0</v>
      </c>
      <c r="I83" s="331">
        <v>0</v>
      </c>
      <c r="J83" s="332">
        <v>-1.005571250614</v>
      </c>
      <c r="K83" s="335">
        <v>0</v>
      </c>
    </row>
    <row r="84" spans="1:11" ht="14.4" customHeight="1" thickBot="1" x14ac:dyDescent="0.35">
      <c r="A84" s="353" t="s">
        <v>297</v>
      </c>
      <c r="B84" s="331">
        <v>10.905462068438</v>
      </c>
      <c r="C84" s="331">
        <v>4174.1495000000004</v>
      </c>
      <c r="D84" s="332">
        <v>4163.2440379315603</v>
      </c>
      <c r="E84" s="333">
        <v>382.75769277858302</v>
      </c>
      <c r="F84" s="331">
        <v>4783.4047378674404</v>
      </c>
      <c r="G84" s="332">
        <v>797.23412297790696</v>
      </c>
      <c r="H84" s="334">
        <v>0.77049999999999996</v>
      </c>
      <c r="I84" s="331">
        <v>1.5409999999999999</v>
      </c>
      <c r="J84" s="332">
        <v>-795.69312297790702</v>
      </c>
      <c r="K84" s="335">
        <v>3.2215546899999999E-4</v>
      </c>
    </row>
    <row r="85" spans="1:11" ht="14.4" customHeight="1" thickBot="1" x14ac:dyDescent="0.35">
      <c r="A85" s="352" t="s">
        <v>298</v>
      </c>
      <c r="B85" s="336">
        <v>0</v>
      </c>
      <c r="C85" s="336">
        <v>6.5244999999999997</v>
      </c>
      <c r="D85" s="337">
        <v>6.5244999999999997</v>
      </c>
      <c r="E85" s="338" t="s">
        <v>220</v>
      </c>
      <c r="F85" s="336">
        <v>2.821972807127</v>
      </c>
      <c r="G85" s="337">
        <v>0.47032880118699999</v>
      </c>
      <c r="H85" s="339">
        <v>0</v>
      </c>
      <c r="I85" s="336">
        <v>0</v>
      </c>
      <c r="J85" s="337">
        <v>-0.47032880118699999</v>
      </c>
      <c r="K85" s="344">
        <v>0</v>
      </c>
    </row>
    <row r="86" spans="1:11" ht="14.4" customHeight="1" thickBot="1" x14ac:dyDescent="0.35">
      <c r="A86" s="353" t="s">
        <v>299</v>
      </c>
      <c r="B86" s="331">
        <v>0</v>
      </c>
      <c r="C86" s="331">
        <v>0.77700000000000002</v>
      </c>
      <c r="D86" s="332">
        <v>0.77700000000000002</v>
      </c>
      <c r="E86" s="341" t="s">
        <v>220</v>
      </c>
      <c r="F86" s="331">
        <v>2.821972807127</v>
      </c>
      <c r="G86" s="332">
        <v>0.47032880118699999</v>
      </c>
      <c r="H86" s="334">
        <v>0</v>
      </c>
      <c r="I86" s="331">
        <v>0</v>
      </c>
      <c r="J86" s="332">
        <v>-0.47032880118699999</v>
      </c>
      <c r="K86" s="335">
        <v>0</v>
      </c>
    </row>
    <row r="87" spans="1:11" ht="14.4" customHeight="1" thickBot="1" x14ac:dyDescent="0.35">
      <c r="A87" s="353" t="s">
        <v>300</v>
      </c>
      <c r="B87" s="331">
        <v>0</v>
      </c>
      <c r="C87" s="331">
        <v>5.7474999999999996</v>
      </c>
      <c r="D87" s="332">
        <v>5.7474999999999996</v>
      </c>
      <c r="E87" s="341" t="s">
        <v>243</v>
      </c>
      <c r="F87" s="331">
        <v>0</v>
      </c>
      <c r="G87" s="332">
        <v>0</v>
      </c>
      <c r="H87" s="334">
        <v>0</v>
      </c>
      <c r="I87" s="331">
        <v>0</v>
      </c>
      <c r="J87" s="332">
        <v>0</v>
      </c>
      <c r="K87" s="335">
        <v>0</v>
      </c>
    </row>
    <row r="88" spans="1:11" ht="14.4" customHeight="1" thickBot="1" x14ac:dyDescent="0.35">
      <c r="A88" s="350" t="s">
        <v>35</v>
      </c>
      <c r="B88" s="331">
        <v>21080.104276682399</v>
      </c>
      <c r="C88" s="331">
        <v>23085.713660000001</v>
      </c>
      <c r="D88" s="332">
        <v>2005.6093833176201</v>
      </c>
      <c r="E88" s="333">
        <v>1.095142289477</v>
      </c>
      <c r="F88" s="331">
        <v>22867.9992797134</v>
      </c>
      <c r="G88" s="332">
        <v>3811.3332132855699</v>
      </c>
      <c r="H88" s="334">
        <v>1885.6552799999999</v>
      </c>
      <c r="I88" s="331">
        <v>3766.15445</v>
      </c>
      <c r="J88" s="332">
        <v>-45.178763285564997</v>
      </c>
      <c r="K88" s="335">
        <v>0.164691034136</v>
      </c>
    </row>
    <row r="89" spans="1:11" ht="14.4" customHeight="1" thickBot="1" x14ac:dyDescent="0.35">
      <c r="A89" s="356" t="s">
        <v>301</v>
      </c>
      <c r="B89" s="336">
        <v>15627.9999999997</v>
      </c>
      <c r="C89" s="336">
        <v>17114.232</v>
      </c>
      <c r="D89" s="337">
        <v>1486.2320000002901</v>
      </c>
      <c r="E89" s="343">
        <v>1.0951005886859999</v>
      </c>
      <c r="F89" s="336">
        <v>16951.999466053101</v>
      </c>
      <c r="G89" s="337">
        <v>2825.33324434218</v>
      </c>
      <c r="H89" s="339">
        <v>1400.4390000000001</v>
      </c>
      <c r="I89" s="336">
        <v>2795.7170000000001</v>
      </c>
      <c r="J89" s="337">
        <v>-29.616244342178</v>
      </c>
      <c r="K89" s="344">
        <v>0.16491960170200001</v>
      </c>
    </row>
    <row r="90" spans="1:11" ht="14.4" customHeight="1" thickBot="1" x14ac:dyDescent="0.35">
      <c r="A90" s="352" t="s">
        <v>302</v>
      </c>
      <c r="B90" s="336">
        <v>15575.9999999997</v>
      </c>
      <c r="C90" s="336">
        <v>17067.292000000001</v>
      </c>
      <c r="D90" s="337">
        <v>1491.29200000029</v>
      </c>
      <c r="E90" s="343">
        <v>1.0957429378529999</v>
      </c>
      <c r="F90" s="336">
        <v>16898.9994677225</v>
      </c>
      <c r="G90" s="337">
        <v>2816.4999112870801</v>
      </c>
      <c r="H90" s="339">
        <v>1385.92</v>
      </c>
      <c r="I90" s="336">
        <v>2772.0079999999998</v>
      </c>
      <c r="J90" s="337">
        <v>-44.491911287073002</v>
      </c>
      <c r="K90" s="344">
        <v>0.164033853323</v>
      </c>
    </row>
    <row r="91" spans="1:11" ht="14.4" customHeight="1" thickBot="1" x14ac:dyDescent="0.35">
      <c r="A91" s="353" t="s">
        <v>303</v>
      </c>
      <c r="B91" s="331">
        <v>15575.9999999997</v>
      </c>
      <c r="C91" s="331">
        <v>17067.292000000001</v>
      </c>
      <c r="D91" s="332">
        <v>1491.29200000029</v>
      </c>
      <c r="E91" s="333">
        <v>1.0957429378529999</v>
      </c>
      <c r="F91" s="331">
        <v>16898.9994677225</v>
      </c>
      <c r="G91" s="332">
        <v>2816.4999112870801</v>
      </c>
      <c r="H91" s="334">
        <v>1385.92</v>
      </c>
      <c r="I91" s="331">
        <v>2772.0079999999998</v>
      </c>
      <c r="J91" s="332">
        <v>-44.491911287073002</v>
      </c>
      <c r="K91" s="335">
        <v>0.164033853323</v>
      </c>
    </row>
    <row r="92" spans="1:11" ht="14.4" customHeight="1" thickBot="1" x14ac:dyDescent="0.35">
      <c r="A92" s="352" t="s">
        <v>304</v>
      </c>
      <c r="B92" s="336">
        <v>51.999999999998998</v>
      </c>
      <c r="C92" s="336">
        <v>46.94</v>
      </c>
      <c r="D92" s="337">
        <v>-5.0599999999990004</v>
      </c>
      <c r="E92" s="343">
        <v>0.90269230769200004</v>
      </c>
      <c r="F92" s="336">
        <v>52.999998330628003</v>
      </c>
      <c r="G92" s="337">
        <v>8.8333330551039992</v>
      </c>
      <c r="H92" s="339">
        <v>14.519</v>
      </c>
      <c r="I92" s="336">
        <v>23.709</v>
      </c>
      <c r="J92" s="337">
        <v>14.875666944895</v>
      </c>
      <c r="K92" s="344">
        <v>0.44733963673100002</v>
      </c>
    </row>
    <row r="93" spans="1:11" ht="14.4" customHeight="1" thickBot="1" x14ac:dyDescent="0.35">
      <c r="A93" s="353" t="s">
        <v>305</v>
      </c>
      <c r="B93" s="331">
        <v>51.999999999998998</v>
      </c>
      <c r="C93" s="331">
        <v>46.94</v>
      </c>
      <c r="D93" s="332">
        <v>-5.0599999999990004</v>
      </c>
      <c r="E93" s="333">
        <v>0.90269230769200004</v>
      </c>
      <c r="F93" s="331">
        <v>52.999998330628003</v>
      </c>
      <c r="G93" s="332">
        <v>8.8333330551039992</v>
      </c>
      <c r="H93" s="334">
        <v>14.519</v>
      </c>
      <c r="I93" s="331">
        <v>23.709</v>
      </c>
      <c r="J93" s="332">
        <v>14.875666944895</v>
      </c>
      <c r="K93" s="335">
        <v>0.44733963673100002</v>
      </c>
    </row>
    <row r="94" spans="1:11" ht="14.4" customHeight="1" thickBot="1" x14ac:dyDescent="0.35">
      <c r="A94" s="351" t="s">
        <v>306</v>
      </c>
      <c r="B94" s="331">
        <v>5296.1042766826804</v>
      </c>
      <c r="C94" s="331">
        <v>5800.2638299999999</v>
      </c>
      <c r="D94" s="332">
        <v>504.15955331732101</v>
      </c>
      <c r="E94" s="333">
        <v>1.095194415928</v>
      </c>
      <c r="F94" s="331">
        <v>5746.9998189834296</v>
      </c>
      <c r="G94" s="332">
        <v>957.83330316390402</v>
      </c>
      <c r="H94" s="334">
        <v>471.211600000001</v>
      </c>
      <c r="I94" s="331">
        <v>942.48000000000104</v>
      </c>
      <c r="J94" s="332">
        <v>-15.353303163903</v>
      </c>
      <c r="K94" s="335">
        <v>0.16399513305800001</v>
      </c>
    </row>
    <row r="95" spans="1:11" ht="14.4" customHeight="1" thickBot="1" x14ac:dyDescent="0.35">
      <c r="A95" s="352" t="s">
        <v>307</v>
      </c>
      <c r="B95" s="336">
        <v>1402.10427668276</v>
      </c>
      <c r="C95" s="336">
        <v>1536.1835799999999</v>
      </c>
      <c r="D95" s="337">
        <v>134.079303317241</v>
      </c>
      <c r="E95" s="343">
        <v>1.095627198024</v>
      </c>
      <c r="F95" s="336">
        <v>1521.99995206069</v>
      </c>
      <c r="G95" s="337">
        <v>253.666658676781</v>
      </c>
      <c r="H95" s="339">
        <v>124.7316</v>
      </c>
      <c r="I95" s="336">
        <v>249.47800000000001</v>
      </c>
      <c r="J95" s="337">
        <v>-4.1886586767810003</v>
      </c>
      <c r="K95" s="344">
        <v>0.16391459123300001</v>
      </c>
    </row>
    <row r="96" spans="1:11" ht="14.4" customHeight="1" thickBot="1" x14ac:dyDescent="0.35">
      <c r="A96" s="353" t="s">
        <v>308</v>
      </c>
      <c r="B96" s="331">
        <v>1402.10427668276</v>
      </c>
      <c r="C96" s="331">
        <v>1536.1835799999999</v>
      </c>
      <c r="D96" s="332">
        <v>134.079303317241</v>
      </c>
      <c r="E96" s="333">
        <v>1.095627198024</v>
      </c>
      <c r="F96" s="331">
        <v>1521.99995206069</v>
      </c>
      <c r="G96" s="332">
        <v>253.666658676781</v>
      </c>
      <c r="H96" s="334">
        <v>124.7316</v>
      </c>
      <c r="I96" s="331">
        <v>249.47800000000001</v>
      </c>
      <c r="J96" s="332">
        <v>-4.1886586767810003</v>
      </c>
      <c r="K96" s="335">
        <v>0.16391459123300001</v>
      </c>
    </row>
    <row r="97" spans="1:11" ht="14.4" customHeight="1" thickBot="1" x14ac:dyDescent="0.35">
      <c r="A97" s="352" t="s">
        <v>309</v>
      </c>
      <c r="B97" s="336">
        <v>3893.99999999992</v>
      </c>
      <c r="C97" s="336">
        <v>4264.08025</v>
      </c>
      <c r="D97" s="337">
        <v>370.08025000008001</v>
      </c>
      <c r="E97" s="343">
        <v>1.0950385850019999</v>
      </c>
      <c r="F97" s="336">
        <v>4224.9998669227398</v>
      </c>
      <c r="G97" s="337">
        <v>704.16664448712299</v>
      </c>
      <c r="H97" s="339">
        <v>346.48000000000098</v>
      </c>
      <c r="I97" s="336">
        <v>693.00200000000098</v>
      </c>
      <c r="J97" s="337">
        <v>-11.164644487122001</v>
      </c>
      <c r="K97" s="344">
        <v>0.16402414717800001</v>
      </c>
    </row>
    <row r="98" spans="1:11" ht="14.4" customHeight="1" thickBot="1" x14ac:dyDescent="0.35">
      <c r="A98" s="353" t="s">
        <v>310</v>
      </c>
      <c r="B98" s="331">
        <v>3893.99999999992</v>
      </c>
      <c r="C98" s="331">
        <v>4264.08025</v>
      </c>
      <c r="D98" s="332">
        <v>370.08025000008001</v>
      </c>
      <c r="E98" s="333">
        <v>1.0950385850019999</v>
      </c>
      <c r="F98" s="331">
        <v>4224.9998669227398</v>
      </c>
      <c r="G98" s="332">
        <v>704.16664448712299</v>
      </c>
      <c r="H98" s="334">
        <v>346.48000000000098</v>
      </c>
      <c r="I98" s="331">
        <v>693.00200000000098</v>
      </c>
      <c r="J98" s="332">
        <v>-11.164644487122001</v>
      </c>
      <c r="K98" s="335">
        <v>0.16402414717800001</v>
      </c>
    </row>
    <row r="99" spans="1:11" ht="14.4" customHeight="1" thickBot="1" x14ac:dyDescent="0.35">
      <c r="A99" s="351" t="s">
        <v>311</v>
      </c>
      <c r="B99" s="331">
        <v>155.99999999999699</v>
      </c>
      <c r="C99" s="331">
        <v>171.21782999999999</v>
      </c>
      <c r="D99" s="332">
        <v>15.217830000003</v>
      </c>
      <c r="E99" s="333">
        <v>1.0975501923069999</v>
      </c>
      <c r="F99" s="331">
        <v>168.99999467691001</v>
      </c>
      <c r="G99" s="332">
        <v>28.166665779483999</v>
      </c>
      <c r="H99" s="334">
        <v>14.00468</v>
      </c>
      <c r="I99" s="331">
        <v>27.957450000000001</v>
      </c>
      <c r="J99" s="332">
        <v>-0.209215779484</v>
      </c>
      <c r="K99" s="335">
        <v>0.16542870343499999</v>
      </c>
    </row>
    <row r="100" spans="1:11" ht="14.4" customHeight="1" thickBot="1" x14ac:dyDescent="0.35">
      <c r="A100" s="352" t="s">
        <v>312</v>
      </c>
      <c r="B100" s="336">
        <v>155.99999999999699</v>
      </c>
      <c r="C100" s="336">
        <v>171.21782999999999</v>
      </c>
      <c r="D100" s="337">
        <v>15.217830000003</v>
      </c>
      <c r="E100" s="343">
        <v>1.0975501923069999</v>
      </c>
      <c r="F100" s="336">
        <v>168.99999467691001</v>
      </c>
      <c r="G100" s="337">
        <v>28.166665779483999</v>
      </c>
      <c r="H100" s="339">
        <v>14.00468</v>
      </c>
      <c r="I100" s="336">
        <v>27.957450000000001</v>
      </c>
      <c r="J100" s="337">
        <v>-0.209215779484</v>
      </c>
      <c r="K100" s="344">
        <v>0.16542870343499999</v>
      </c>
    </row>
    <row r="101" spans="1:11" ht="14.4" customHeight="1" thickBot="1" x14ac:dyDescent="0.35">
      <c r="A101" s="353" t="s">
        <v>313</v>
      </c>
      <c r="B101" s="331">
        <v>155.99999999999699</v>
      </c>
      <c r="C101" s="331">
        <v>171.21782999999999</v>
      </c>
      <c r="D101" s="332">
        <v>15.217830000003</v>
      </c>
      <c r="E101" s="333">
        <v>1.0975501923069999</v>
      </c>
      <c r="F101" s="331">
        <v>168.99999467691001</v>
      </c>
      <c r="G101" s="332">
        <v>28.166665779483999</v>
      </c>
      <c r="H101" s="334">
        <v>14.00468</v>
      </c>
      <c r="I101" s="331">
        <v>27.957450000000001</v>
      </c>
      <c r="J101" s="332">
        <v>-0.209215779484</v>
      </c>
      <c r="K101" s="335">
        <v>0.16542870343499999</v>
      </c>
    </row>
    <row r="102" spans="1:11" ht="14.4" customHeight="1" thickBot="1" x14ac:dyDescent="0.35">
      <c r="A102" s="350" t="s">
        <v>314</v>
      </c>
      <c r="B102" s="331">
        <v>0</v>
      </c>
      <c r="C102" s="331">
        <v>42.719099999999997</v>
      </c>
      <c r="D102" s="332">
        <v>42.719099999999997</v>
      </c>
      <c r="E102" s="341" t="s">
        <v>220</v>
      </c>
      <c r="F102" s="331">
        <v>0</v>
      </c>
      <c r="G102" s="332">
        <v>0</v>
      </c>
      <c r="H102" s="334">
        <v>0</v>
      </c>
      <c r="I102" s="331">
        <v>1.518</v>
      </c>
      <c r="J102" s="332">
        <v>1.518</v>
      </c>
      <c r="K102" s="342" t="s">
        <v>220</v>
      </c>
    </row>
    <row r="103" spans="1:11" ht="14.4" customHeight="1" thickBot="1" x14ac:dyDescent="0.35">
      <c r="A103" s="351" t="s">
        <v>315</v>
      </c>
      <c r="B103" s="331">
        <v>0</v>
      </c>
      <c r="C103" s="331">
        <v>42.719099999999997</v>
      </c>
      <c r="D103" s="332">
        <v>42.719099999999997</v>
      </c>
      <c r="E103" s="341" t="s">
        <v>220</v>
      </c>
      <c r="F103" s="331">
        <v>0</v>
      </c>
      <c r="G103" s="332">
        <v>0</v>
      </c>
      <c r="H103" s="334">
        <v>0</v>
      </c>
      <c r="I103" s="331">
        <v>1.518</v>
      </c>
      <c r="J103" s="332">
        <v>1.518</v>
      </c>
      <c r="K103" s="342" t="s">
        <v>220</v>
      </c>
    </row>
    <row r="104" spans="1:11" ht="14.4" customHeight="1" thickBot="1" x14ac:dyDescent="0.35">
      <c r="A104" s="352" t="s">
        <v>316</v>
      </c>
      <c r="B104" s="336">
        <v>0</v>
      </c>
      <c r="C104" s="336">
        <v>31.508949999999999</v>
      </c>
      <c r="D104" s="337">
        <v>31.508949999999999</v>
      </c>
      <c r="E104" s="338" t="s">
        <v>220</v>
      </c>
      <c r="F104" s="336">
        <v>0</v>
      </c>
      <c r="G104" s="337">
        <v>0</v>
      </c>
      <c r="H104" s="339">
        <v>0</v>
      </c>
      <c r="I104" s="336">
        <v>1.518</v>
      </c>
      <c r="J104" s="337">
        <v>1.518</v>
      </c>
      <c r="K104" s="340" t="s">
        <v>220</v>
      </c>
    </row>
    <row r="105" spans="1:11" ht="14.4" customHeight="1" thickBot="1" x14ac:dyDescent="0.35">
      <c r="A105" s="353" t="s">
        <v>317</v>
      </c>
      <c r="B105" s="331">
        <v>0</v>
      </c>
      <c r="C105" s="331">
        <v>0.58094999999999997</v>
      </c>
      <c r="D105" s="332">
        <v>0.58094999999999997</v>
      </c>
      <c r="E105" s="341" t="s">
        <v>220</v>
      </c>
      <c r="F105" s="331">
        <v>0</v>
      </c>
      <c r="G105" s="332">
        <v>0</v>
      </c>
      <c r="H105" s="334">
        <v>0</v>
      </c>
      <c r="I105" s="331">
        <v>0</v>
      </c>
      <c r="J105" s="332">
        <v>0</v>
      </c>
      <c r="K105" s="342" t="s">
        <v>220</v>
      </c>
    </row>
    <row r="106" spans="1:11" ht="14.4" customHeight="1" thickBot="1" x14ac:dyDescent="0.35">
      <c r="A106" s="353" t="s">
        <v>318</v>
      </c>
      <c r="B106" s="331">
        <v>0</v>
      </c>
      <c r="C106" s="331">
        <v>30.928000000000001</v>
      </c>
      <c r="D106" s="332">
        <v>30.928000000000001</v>
      </c>
      <c r="E106" s="341" t="s">
        <v>220</v>
      </c>
      <c r="F106" s="331">
        <v>0</v>
      </c>
      <c r="G106" s="332">
        <v>0</v>
      </c>
      <c r="H106" s="334">
        <v>0</v>
      </c>
      <c r="I106" s="331">
        <v>1.518</v>
      </c>
      <c r="J106" s="332">
        <v>1.518</v>
      </c>
      <c r="K106" s="342" t="s">
        <v>220</v>
      </c>
    </row>
    <row r="107" spans="1:11" ht="14.4" customHeight="1" thickBot="1" x14ac:dyDescent="0.35">
      <c r="A107" s="352" t="s">
        <v>319</v>
      </c>
      <c r="B107" s="336">
        <v>0</v>
      </c>
      <c r="C107" s="336">
        <v>0.95014999999899996</v>
      </c>
      <c r="D107" s="337">
        <v>0.95014999999899996</v>
      </c>
      <c r="E107" s="338" t="s">
        <v>243</v>
      </c>
      <c r="F107" s="336">
        <v>0</v>
      </c>
      <c r="G107" s="337">
        <v>0</v>
      </c>
      <c r="H107" s="339">
        <v>0</v>
      </c>
      <c r="I107" s="336">
        <v>0</v>
      </c>
      <c r="J107" s="337">
        <v>0</v>
      </c>
      <c r="K107" s="340" t="s">
        <v>220</v>
      </c>
    </row>
    <row r="108" spans="1:11" ht="14.4" customHeight="1" thickBot="1" x14ac:dyDescent="0.35">
      <c r="A108" s="353" t="s">
        <v>320</v>
      </c>
      <c r="B108" s="331">
        <v>0</v>
      </c>
      <c r="C108" s="331">
        <v>0.95014999999899996</v>
      </c>
      <c r="D108" s="332">
        <v>0.95014999999899996</v>
      </c>
      <c r="E108" s="341" t="s">
        <v>243</v>
      </c>
      <c r="F108" s="331">
        <v>0</v>
      </c>
      <c r="G108" s="332">
        <v>0</v>
      </c>
      <c r="H108" s="334">
        <v>0</v>
      </c>
      <c r="I108" s="331">
        <v>0</v>
      </c>
      <c r="J108" s="332">
        <v>0</v>
      </c>
      <c r="K108" s="342" t="s">
        <v>220</v>
      </c>
    </row>
    <row r="109" spans="1:11" ht="14.4" customHeight="1" thickBot="1" x14ac:dyDescent="0.35">
      <c r="A109" s="355" t="s">
        <v>321</v>
      </c>
      <c r="B109" s="331">
        <v>0</v>
      </c>
      <c r="C109" s="331">
        <v>10.26</v>
      </c>
      <c r="D109" s="332">
        <v>10.26</v>
      </c>
      <c r="E109" s="341" t="s">
        <v>243</v>
      </c>
      <c r="F109" s="331">
        <v>0</v>
      </c>
      <c r="G109" s="332">
        <v>0</v>
      </c>
      <c r="H109" s="334">
        <v>0</v>
      </c>
      <c r="I109" s="331">
        <v>0</v>
      </c>
      <c r="J109" s="332">
        <v>0</v>
      </c>
      <c r="K109" s="342" t="s">
        <v>220</v>
      </c>
    </row>
    <row r="110" spans="1:11" ht="14.4" customHeight="1" thickBot="1" x14ac:dyDescent="0.35">
      <c r="A110" s="353" t="s">
        <v>322</v>
      </c>
      <c r="B110" s="331">
        <v>0</v>
      </c>
      <c r="C110" s="331">
        <v>10.26</v>
      </c>
      <c r="D110" s="332">
        <v>10.26</v>
      </c>
      <c r="E110" s="341" t="s">
        <v>243</v>
      </c>
      <c r="F110" s="331">
        <v>0</v>
      </c>
      <c r="G110" s="332">
        <v>0</v>
      </c>
      <c r="H110" s="334">
        <v>0</v>
      </c>
      <c r="I110" s="331">
        <v>0</v>
      </c>
      <c r="J110" s="332">
        <v>0</v>
      </c>
      <c r="K110" s="342" t="s">
        <v>220</v>
      </c>
    </row>
    <row r="111" spans="1:11" ht="14.4" customHeight="1" thickBot="1" x14ac:dyDescent="0.35">
      <c r="A111" s="350" t="s">
        <v>323</v>
      </c>
      <c r="B111" s="331">
        <v>20186.963161780001</v>
      </c>
      <c r="C111" s="331">
        <v>20748.079659999999</v>
      </c>
      <c r="D111" s="332">
        <v>561.11649821997696</v>
      </c>
      <c r="E111" s="333">
        <v>1.027795983661</v>
      </c>
      <c r="F111" s="331">
        <v>19861.002670810401</v>
      </c>
      <c r="G111" s="332">
        <v>3310.1671118017298</v>
      </c>
      <c r="H111" s="334">
        <v>1689.8109999999999</v>
      </c>
      <c r="I111" s="331">
        <v>3379.6239999999998</v>
      </c>
      <c r="J111" s="332">
        <v>69.456888198274996</v>
      </c>
      <c r="K111" s="335">
        <v>0.17016381579600001</v>
      </c>
    </row>
    <row r="112" spans="1:11" ht="14.4" customHeight="1" thickBot="1" x14ac:dyDescent="0.35">
      <c r="A112" s="351" t="s">
        <v>324</v>
      </c>
      <c r="B112" s="331">
        <v>20146.963161780001</v>
      </c>
      <c r="C112" s="331">
        <v>20354.355</v>
      </c>
      <c r="D112" s="332">
        <v>207.39183821997699</v>
      </c>
      <c r="E112" s="333">
        <v>1.010293950336</v>
      </c>
      <c r="F112" s="331">
        <v>19861.002670810401</v>
      </c>
      <c r="G112" s="332">
        <v>3310.1671118017298</v>
      </c>
      <c r="H112" s="334">
        <v>1689.8109999999999</v>
      </c>
      <c r="I112" s="331">
        <v>3379.6239999999998</v>
      </c>
      <c r="J112" s="332">
        <v>69.456888198274996</v>
      </c>
      <c r="K112" s="335">
        <v>0.17016381579600001</v>
      </c>
    </row>
    <row r="113" spans="1:11" ht="14.4" customHeight="1" thickBot="1" x14ac:dyDescent="0.35">
      <c r="A113" s="352" t="s">
        <v>325</v>
      </c>
      <c r="B113" s="336">
        <v>20146.963161780001</v>
      </c>
      <c r="C113" s="336">
        <v>20354.355</v>
      </c>
      <c r="D113" s="337">
        <v>207.39183821997699</v>
      </c>
      <c r="E113" s="343">
        <v>1.010293950336</v>
      </c>
      <c r="F113" s="336">
        <v>19861.002670810401</v>
      </c>
      <c r="G113" s="337">
        <v>3310.1671118017298</v>
      </c>
      <c r="H113" s="339">
        <v>1689.8109999999999</v>
      </c>
      <c r="I113" s="336">
        <v>3379.6239999999998</v>
      </c>
      <c r="J113" s="337">
        <v>69.456888198274996</v>
      </c>
      <c r="K113" s="344">
        <v>0.17016381579600001</v>
      </c>
    </row>
    <row r="114" spans="1:11" ht="14.4" customHeight="1" thickBot="1" x14ac:dyDescent="0.35">
      <c r="A114" s="353" t="s">
        <v>326</v>
      </c>
      <c r="B114" s="331">
        <v>345.98625349666401</v>
      </c>
      <c r="C114" s="331">
        <v>351.27800000000002</v>
      </c>
      <c r="D114" s="332">
        <v>5.2917465033360003</v>
      </c>
      <c r="E114" s="333">
        <v>1.015294672692</v>
      </c>
      <c r="F114" s="331">
        <v>359.99998866086599</v>
      </c>
      <c r="G114" s="332">
        <v>59.999998110143999</v>
      </c>
      <c r="H114" s="334">
        <v>29.995999999999999</v>
      </c>
      <c r="I114" s="331">
        <v>59.991999999999997</v>
      </c>
      <c r="J114" s="332">
        <v>-7.9981101440000004E-3</v>
      </c>
      <c r="K114" s="335">
        <v>0.16664444969299999</v>
      </c>
    </row>
    <row r="115" spans="1:11" ht="14.4" customHeight="1" thickBot="1" x14ac:dyDescent="0.35">
      <c r="A115" s="353" t="s">
        <v>327</v>
      </c>
      <c r="B115" s="331">
        <v>6724.9999999998799</v>
      </c>
      <c r="C115" s="331">
        <v>6925.0079999999998</v>
      </c>
      <c r="D115" s="332">
        <v>200.00800000012501</v>
      </c>
      <c r="E115" s="333">
        <v>1.0297409665420001</v>
      </c>
      <c r="F115" s="331">
        <v>6955.99978090272</v>
      </c>
      <c r="G115" s="332">
        <v>1159.3332968171201</v>
      </c>
      <c r="H115" s="334">
        <v>580.93800000000101</v>
      </c>
      <c r="I115" s="331">
        <v>1161.877</v>
      </c>
      <c r="J115" s="332">
        <v>2.5437031828799999</v>
      </c>
      <c r="K115" s="335">
        <v>0.16703235143699999</v>
      </c>
    </row>
    <row r="116" spans="1:11" ht="14.4" customHeight="1" thickBot="1" x14ac:dyDescent="0.35">
      <c r="A116" s="353" t="s">
        <v>328</v>
      </c>
      <c r="B116" s="331">
        <v>426.00356411090002</v>
      </c>
      <c r="C116" s="331">
        <v>426.09500000000003</v>
      </c>
      <c r="D116" s="332">
        <v>9.1435889098999995E-2</v>
      </c>
      <c r="E116" s="333">
        <v>1.0002146364410001</v>
      </c>
      <c r="F116" s="331">
        <v>420.003283155166</v>
      </c>
      <c r="G116" s="332">
        <v>70.000547192526994</v>
      </c>
      <c r="H116" s="334">
        <v>35.506999999999998</v>
      </c>
      <c r="I116" s="331">
        <v>71.013999999999996</v>
      </c>
      <c r="J116" s="332">
        <v>1.013452807472</v>
      </c>
      <c r="K116" s="335">
        <v>0.169079630679</v>
      </c>
    </row>
    <row r="117" spans="1:11" ht="14.4" customHeight="1" thickBot="1" x14ac:dyDescent="0.35">
      <c r="A117" s="353" t="s">
        <v>329</v>
      </c>
      <c r="B117" s="331">
        <v>2163.9733441727699</v>
      </c>
      <c r="C117" s="331">
        <v>2165.0259999999998</v>
      </c>
      <c r="D117" s="332">
        <v>1.0526558272269999</v>
      </c>
      <c r="E117" s="333">
        <v>1.0004864458380001</v>
      </c>
      <c r="F117" s="331">
        <v>2166.99993174471</v>
      </c>
      <c r="G117" s="332">
        <v>361.166655290785</v>
      </c>
      <c r="H117" s="334">
        <v>180.56899999999999</v>
      </c>
      <c r="I117" s="331">
        <v>361.13799999999998</v>
      </c>
      <c r="J117" s="332">
        <v>-2.8655290784E-2</v>
      </c>
      <c r="K117" s="335">
        <v>0.166653443181</v>
      </c>
    </row>
    <row r="118" spans="1:11" ht="14.4" customHeight="1" thickBot="1" x14ac:dyDescent="0.35">
      <c r="A118" s="353" t="s">
        <v>330</v>
      </c>
      <c r="B118" s="331">
        <v>9736.9999999998308</v>
      </c>
      <c r="C118" s="331">
        <v>9737.5630000000001</v>
      </c>
      <c r="D118" s="332">
        <v>0.56300000017399998</v>
      </c>
      <c r="E118" s="333">
        <v>1.0000578206840001</v>
      </c>
      <c r="F118" s="331">
        <v>9735.9996933393704</v>
      </c>
      <c r="G118" s="332">
        <v>1622.6666155565599</v>
      </c>
      <c r="H118" s="334">
        <v>800.35600000000204</v>
      </c>
      <c r="I118" s="331">
        <v>1600.713</v>
      </c>
      <c r="J118" s="332">
        <v>-21.953615556559001</v>
      </c>
      <c r="K118" s="335">
        <v>0.16441177592600001</v>
      </c>
    </row>
    <row r="119" spans="1:11" ht="14.4" customHeight="1" thickBot="1" x14ac:dyDescent="0.35">
      <c r="A119" s="353" t="s">
        <v>331</v>
      </c>
      <c r="B119" s="331">
        <v>748.99999999998602</v>
      </c>
      <c r="C119" s="331">
        <v>749.38499999999999</v>
      </c>
      <c r="D119" s="332">
        <v>0.38500000001399998</v>
      </c>
      <c r="E119" s="333">
        <v>1.000514018691</v>
      </c>
      <c r="F119" s="331">
        <v>221.99999300753399</v>
      </c>
      <c r="G119" s="332">
        <v>36.999998834589</v>
      </c>
      <c r="H119" s="334">
        <v>62.445</v>
      </c>
      <c r="I119" s="331">
        <v>124.89</v>
      </c>
      <c r="J119" s="332">
        <v>87.890001165410993</v>
      </c>
      <c r="K119" s="335">
        <v>0.56256758528700002</v>
      </c>
    </row>
    <row r="120" spans="1:11" ht="14.4" customHeight="1" thickBot="1" x14ac:dyDescent="0.35">
      <c r="A120" s="351" t="s">
        <v>332</v>
      </c>
      <c r="B120" s="331">
        <v>40</v>
      </c>
      <c r="C120" s="331">
        <v>393.72465999999997</v>
      </c>
      <c r="D120" s="332">
        <v>353.72465999999997</v>
      </c>
      <c r="E120" s="333">
        <v>9.8431165000000007</v>
      </c>
      <c r="F120" s="331">
        <v>0</v>
      </c>
      <c r="G120" s="332">
        <v>0</v>
      </c>
      <c r="H120" s="334">
        <v>0</v>
      </c>
      <c r="I120" s="331">
        <v>0</v>
      </c>
      <c r="J120" s="332">
        <v>0</v>
      </c>
      <c r="K120" s="342" t="s">
        <v>220</v>
      </c>
    </row>
    <row r="121" spans="1:11" ht="14.4" customHeight="1" thickBot="1" x14ac:dyDescent="0.35">
      <c r="A121" s="352" t="s">
        <v>333</v>
      </c>
      <c r="B121" s="336">
        <v>40</v>
      </c>
      <c r="C121" s="336">
        <v>259.59710999999999</v>
      </c>
      <c r="D121" s="337">
        <v>219.59710999999999</v>
      </c>
      <c r="E121" s="343">
        <v>6.4899277499999997</v>
      </c>
      <c r="F121" s="336">
        <v>0</v>
      </c>
      <c r="G121" s="337">
        <v>0</v>
      </c>
      <c r="H121" s="339">
        <v>0</v>
      </c>
      <c r="I121" s="336">
        <v>0</v>
      </c>
      <c r="J121" s="337">
        <v>0</v>
      </c>
      <c r="K121" s="340" t="s">
        <v>220</v>
      </c>
    </row>
    <row r="122" spans="1:11" ht="14.4" customHeight="1" thickBot="1" x14ac:dyDescent="0.35">
      <c r="A122" s="353" t="s">
        <v>334</v>
      </c>
      <c r="B122" s="331">
        <v>40</v>
      </c>
      <c r="C122" s="331">
        <v>174.79884999999999</v>
      </c>
      <c r="D122" s="332">
        <v>134.79884999999999</v>
      </c>
      <c r="E122" s="333">
        <v>4.3699712499999999</v>
      </c>
      <c r="F122" s="331">
        <v>0</v>
      </c>
      <c r="G122" s="332">
        <v>0</v>
      </c>
      <c r="H122" s="334">
        <v>0</v>
      </c>
      <c r="I122" s="331">
        <v>0</v>
      </c>
      <c r="J122" s="332">
        <v>0</v>
      </c>
      <c r="K122" s="342" t="s">
        <v>220</v>
      </c>
    </row>
    <row r="123" spans="1:11" ht="14.4" customHeight="1" thickBot="1" x14ac:dyDescent="0.35">
      <c r="A123" s="353" t="s">
        <v>335</v>
      </c>
      <c r="B123" s="331">
        <v>0</v>
      </c>
      <c r="C123" s="331">
        <v>84.798259999999999</v>
      </c>
      <c r="D123" s="332">
        <v>84.798259999999999</v>
      </c>
      <c r="E123" s="341" t="s">
        <v>220</v>
      </c>
      <c r="F123" s="331">
        <v>0</v>
      </c>
      <c r="G123" s="332">
        <v>0</v>
      </c>
      <c r="H123" s="334">
        <v>0</v>
      </c>
      <c r="I123" s="331">
        <v>0</v>
      </c>
      <c r="J123" s="332">
        <v>0</v>
      </c>
      <c r="K123" s="335">
        <v>0</v>
      </c>
    </row>
    <row r="124" spans="1:11" ht="14.4" customHeight="1" thickBot="1" x14ac:dyDescent="0.35">
      <c r="A124" s="352" t="s">
        <v>336</v>
      </c>
      <c r="B124" s="336">
        <v>0</v>
      </c>
      <c r="C124" s="336">
        <v>110.06908</v>
      </c>
      <c r="D124" s="337">
        <v>110.06908</v>
      </c>
      <c r="E124" s="338" t="s">
        <v>220</v>
      </c>
      <c r="F124" s="336">
        <v>0</v>
      </c>
      <c r="G124" s="337">
        <v>0</v>
      </c>
      <c r="H124" s="339">
        <v>0</v>
      </c>
      <c r="I124" s="336">
        <v>0</v>
      </c>
      <c r="J124" s="337">
        <v>0</v>
      </c>
      <c r="K124" s="344">
        <v>0</v>
      </c>
    </row>
    <row r="125" spans="1:11" ht="14.4" customHeight="1" thickBot="1" x14ac:dyDescent="0.35">
      <c r="A125" s="353" t="s">
        <v>337</v>
      </c>
      <c r="B125" s="331">
        <v>0</v>
      </c>
      <c r="C125" s="331">
        <v>110.06908</v>
      </c>
      <c r="D125" s="332">
        <v>110.06908</v>
      </c>
      <c r="E125" s="341" t="s">
        <v>220</v>
      </c>
      <c r="F125" s="331">
        <v>0</v>
      </c>
      <c r="G125" s="332">
        <v>0</v>
      </c>
      <c r="H125" s="334">
        <v>0</v>
      </c>
      <c r="I125" s="331">
        <v>0</v>
      </c>
      <c r="J125" s="332">
        <v>0</v>
      </c>
      <c r="K125" s="335">
        <v>0</v>
      </c>
    </row>
    <row r="126" spans="1:11" ht="14.4" customHeight="1" thickBot="1" x14ac:dyDescent="0.35">
      <c r="A126" s="352" t="s">
        <v>338</v>
      </c>
      <c r="B126" s="336">
        <v>0</v>
      </c>
      <c r="C126" s="336">
        <v>18.158470000000001</v>
      </c>
      <c r="D126" s="337">
        <v>18.158470000000001</v>
      </c>
      <c r="E126" s="338" t="s">
        <v>220</v>
      </c>
      <c r="F126" s="336">
        <v>0</v>
      </c>
      <c r="G126" s="337">
        <v>0</v>
      </c>
      <c r="H126" s="339">
        <v>0</v>
      </c>
      <c r="I126" s="336">
        <v>0</v>
      </c>
      <c r="J126" s="337">
        <v>0</v>
      </c>
      <c r="K126" s="340" t="s">
        <v>220</v>
      </c>
    </row>
    <row r="127" spans="1:11" ht="14.4" customHeight="1" thickBot="1" x14ac:dyDescent="0.35">
      <c r="A127" s="353" t="s">
        <v>339</v>
      </c>
      <c r="B127" s="331">
        <v>0</v>
      </c>
      <c r="C127" s="331">
        <v>18.158470000000001</v>
      </c>
      <c r="D127" s="332">
        <v>18.158470000000001</v>
      </c>
      <c r="E127" s="341" t="s">
        <v>220</v>
      </c>
      <c r="F127" s="331">
        <v>0</v>
      </c>
      <c r="G127" s="332">
        <v>0</v>
      </c>
      <c r="H127" s="334">
        <v>0</v>
      </c>
      <c r="I127" s="331">
        <v>0</v>
      </c>
      <c r="J127" s="332">
        <v>0</v>
      </c>
      <c r="K127" s="342" t="s">
        <v>220</v>
      </c>
    </row>
    <row r="128" spans="1:11" ht="14.4" customHeight="1" thickBot="1" x14ac:dyDescent="0.35">
      <c r="A128" s="352" t="s">
        <v>340</v>
      </c>
      <c r="B128" s="336">
        <v>0</v>
      </c>
      <c r="C128" s="336">
        <v>5.9</v>
      </c>
      <c r="D128" s="337">
        <v>5.9</v>
      </c>
      <c r="E128" s="338" t="s">
        <v>243</v>
      </c>
      <c r="F128" s="336">
        <v>0</v>
      </c>
      <c r="G128" s="337">
        <v>0</v>
      </c>
      <c r="H128" s="339">
        <v>0</v>
      </c>
      <c r="I128" s="336">
        <v>0</v>
      </c>
      <c r="J128" s="337">
        <v>0</v>
      </c>
      <c r="K128" s="340" t="s">
        <v>220</v>
      </c>
    </row>
    <row r="129" spans="1:11" ht="14.4" customHeight="1" thickBot="1" x14ac:dyDescent="0.35">
      <c r="A129" s="353" t="s">
        <v>341</v>
      </c>
      <c r="B129" s="331">
        <v>0</v>
      </c>
      <c r="C129" s="331">
        <v>5.9</v>
      </c>
      <c r="D129" s="332">
        <v>5.9</v>
      </c>
      <c r="E129" s="341" t="s">
        <v>243</v>
      </c>
      <c r="F129" s="331">
        <v>0</v>
      </c>
      <c r="G129" s="332">
        <v>0</v>
      </c>
      <c r="H129" s="334">
        <v>0</v>
      </c>
      <c r="I129" s="331">
        <v>0</v>
      </c>
      <c r="J129" s="332">
        <v>0</v>
      </c>
      <c r="K129" s="342" t="s">
        <v>220</v>
      </c>
    </row>
    <row r="130" spans="1:11" ht="14.4" customHeight="1" thickBot="1" x14ac:dyDescent="0.35">
      <c r="A130" s="350" t="s">
        <v>342</v>
      </c>
      <c r="B130" s="331">
        <v>0</v>
      </c>
      <c r="C130" s="331">
        <v>113.55182000000001</v>
      </c>
      <c r="D130" s="332">
        <v>113.55182000000001</v>
      </c>
      <c r="E130" s="341" t="s">
        <v>220</v>
      </c>
      <c r="F130" s="331">
        <v>0</v>
      </c>
      <c r="G130" s="332">
        <v>0</v>
      </c>
      <c r="H130" s="334">
        <v>0.31668000000000002</v>
      </c>
      <c r="I130" s="331">
        <v>3.129</v>
      </c>
      <c r="J130" s="332">
        <v>3.129</v>
      </c>
      <c r="K130" s="342" t="s">
        <v>220</v>
      </c>
    </row>
    <row r="131" spans="1:11" ht="14.4" customHeight="1" thickBot="1" x14ac:dyDescent="0.35">
      <c r="A131" s="351" t="s">
        <v>343</v>
      </c>
      <c r="B131" s="331">
        <v>0</v>
      </c>
      <c r="C131" s="331">
        <v>113.55182000000001</v>
      </c>
      <c r="D131" s="332">
        <v>113.55182000000001</v>
      </c>
      <c r="E131" s="341" t="s">
        <v>220</v>
      </c>
      <c r="F131" s="331">
        <v>0</v>
      </c>
      <c r="G131" s="332">
        <v>0</v>
      </c>
      <c r="H131" s="334">
        <v>0.31668000000000002</v>
      </c>
      <c r="I131" s="331">
        <v>3.129</v>
      </c>
      <c r="J131" s="332">
        <v>3.129</v>
      </c>
      <c r="K131" s="342" t="s">
        <v>220</v>
      </c>
    </row>
    <row r="132" spans="1:11" ht="14.4" customHeight="1" thickBot="1" x14ac:dyDescent="0.35">
      <c r="A132" s="352" t="s">
        <v>344</v>
      </c>
      <c r="B132" s="336">
        <v>0</v>
      </c>
      <c r="C132" s="336">
        <v>113.55182000000001</v>
      </c>
      <c r="D132" s="337">
        <v>113.55182000000001</v>
      </c>
      <c r="E132" s="338" t="s">
        <v>220</v>
      </c>
      <c r="F132" s="336">
        <v>0</v>
      </c>
      <c r="G132" s="337">
        <v>0</v>
      </c>
      <c r="H132" s="339">
        <v>0.31668000000000002</v>
      </c>
      <c r="I132" s="336">
        <v>3.129</v>
      </c>
      <c r="J132" s="337">
        <v>3.129</v>
      </c>
      <c r="K132" s="340" t="s">
        <v>220</v>
      </c>
    </row>
    <row r="133" spans="1:11" ht="14.4" customHeight="1" thickBot="1" x14ac:dyDescent="0.35">
      <c r="A133" s="353" t="s">
        <v>345</v>
      </c>
      <c r="B133" s="331">
        <v>0</v>
      </c>
      <c r="C133" s="331">
        <v>113.55182000000001</v>
      </c>
      <c r="D133" s="332">
        <v>113.55182000000001</v>
      </c>
      <c r="E133" s="341" t="s">
        <v>220</v>
      </c>
      <c r="F133" s="331">
        <v>0</v>
      </c>
      <c r="G133" s="332">
        <v>0</v>
      </c>
      <c r="H133" s="334">
        <v>0.31668000000000002</v>
      </c>
      <c r="I133" s="331">
        <v>3.129</v>
      </c>
      <c r="J133" s="332">
        <v>3.129</v>
      </c>
      <c r="K133" s="342" t="s">
        <v>220</v>
      </c>
    </row>
    <row r="134" spans="1:11" ht="14.4" customHeight="1" thickBot="1" x14ac:dyDescent="0.35">
      <c r="A134" s="349" t="s">
        <v>346</v>
      </c>
      <c r="B134" s="331">
        <v>62.146079213581999</v>
      </c>
      <c r="C134" s="331">
        <v>97.601100000000002</v>
      </c>
      <c r="D134" s="332">
        <v>35.455020786417002</v>
      </c>
      <c r="E134" s="333">
        <v>1.570510983718</v>
      </c>
      <c r="F134" s="331">
        <v>228.988260687858</v>
      </c>
      <c r="G134" s="332">
        <v>38.164710114643</v>
      </c>
      <c r="H134" s="334">
        <v>5.2213599999999998</v>
      </c>
      <c r="I134" s="331">
        <v>10.377359999999999</v>
      </c>
      <c r="J134" s="332">
        <v>-27.787350114643001</v>
      </c>
      <c r="K134" s="335">
        <v>4.5318305700999997E-2</v>
      </c>
    </row>
    <row r="135" spans="1:11" ht="14.4" customHeight="1" thickBot="1" x14ac:dyDescent="0.35">
      <c r="A135" s="350" t="s">
        <v>347</v>
      </c>
      <c r="B135" s="331">
        <v>5.1460792135820004</v>
      </c>
      <c r="C135" s="331">
        <v>4.9090999999999996</v>
      </c>
      <c r="D135" s="332">
        <v>-0.236979213582</v>
      </c>
      <c r="E135" s="333">
        <v>0.95394955970399997</v>
      </c>
      <c r="F135" s="331">
        <v>4.0926489969600004</v>
      </c>
      <c r="G135" s="332">
        <v>0.68210816616000003</v>
      </c>
      <c r="H135" s="334">
        <v>0</v>
      </c>
      <c r="I135" s="331">
        <v>0</v>
      </c>
      <c r="J135" s="332">
        <v>-0.68210816616000003</v>
      </c>
      <c r="K135" s="335">
        <v>0</v>
      </c>
    </row>
    <row r="136" spans="1:11" ht="14.4" customHeight="1" thickBot="1" x14ac:dyDescent="0.35">
      <c r="A136" s="356" t="s">
        <v>348</v>
      </c>
      <c r="B136" s="336">
        <v>5.1460792135820004</v>
      </c>
      <c r="C136" s="336">
        <v>4.9090999999999996</v>
      </c>
      <c r="D136" s="337">
        <v>-0.236979213582</v>
      </c>
      <c r="E136" s="343">
        <v>0.95394955970399997</v>
      </c>
      <c r="F136" s="336">
        <v>4.0926489969600004</v>
      </c>
      <c r="G136" s="337">
        <v>0.68210816616000003</v>
      </c>
      <c r="H136" s="339">
        <v>0</v>
      </c>
      <c r="I136" s="336">
        <v>0</v>
      </c>
      <c r="J136" s="337">
        <v>-0.68210816616000003</v>
      </c>
      <c r="K136" s="344">
        <v>0</v>
      </c>
    </row>
    <row r="137" spans="1:11" ht="14.4" customHeight="1" thickBot="1" x14ac:dyDescent="0.35">
      <c r="A137" s="352" t="s">
        <v>349</v>
      </c>
      <c r="B137" s="336">
        <v>0</v>
      </c>
      <c r="C137" s="336">
        <v>2.0000000000000002E-5</v>
      </c>
      <c r="D137" s="337">
        <v>2.0000000000000002E-5</v>
      </c>
      <c r="E137" s="338" t="s">
        <v>220</v>
      </c>
      <c r="F137" s="336">
        <v>0</v>
      </c>
      <c r="G137" s="337">
        <v>0</v>
      </c>
      <c r="H137" s="339">
        <v>0</v>
      </c>
      <c r="I137" s="336">
        <v>0</v>
      </c>
      <c r="J137" s="337">
        <v>0</v>
      </c>
      <c r="K137" s="340" t="s">
        <v>220</v>
      </c>
    </row>
    <row r="138" spans="1:11" ht="14.4" customHeight="1" thickBot="1" x14ac:dyDescent="0.35">
      <c r="A138" s="353" t="s">
        <v>350</v>
      </c>
      <c r="B138" s="331">
        <v>0</v>
      </c>
      <c r="C138" s="331">
        <v>2.0000000000000002E-5</v>
      </c>
      <c r="D138" s="332">
        <v>2.0000000000000002E-5</v>
      </c>
      <c r="E138" s="341" t="s">
        <v>220</v>
      </c>
      <c r="F138" s="331">
        <v>0</v>
      </c>
      <c r="G138" s="332">
        <v>0</v>
      </c>
      <c r="H138" s="334">
        <v>0</v>
      </c>
      <c r="I138" s="331">
        <v>0</v>
      </c>
      <c r="J138" s="332">
        <v>0</v>
      </c>
      <c r="K138" s="342" t="s">
        <v>220</v>
      </c>
    </row>
    <row r="139" spans="1:11" ht="14.4" customHeight="1" thickBot="1" x14ac:dyDescent="0.35">
      <c r="A139" s="352" t="s">
        <v>351</v>
      </c>
      <c r="B139" s="336">
        <v>5.1460792135820004</v>
      </c>
      <c r="C139" s="336">
        <v>4.9090800000000003</v>
      </c>
      <c r="D139" s="337">
        <v>-0.23699921358199999</v>
      </c>
      <c r="E139" s="343">
        <v>0.95394567325000001</v>
      </c>
      <c r="F139" s="336">
        <v>4.0926489969600004</v>
      </c>
      <c r="G139" s="337">
        <v>0.68210816616000003</v>
      </c>
      <c r="H139" s="339">
        <v>0</v>
      </c>
      <c r="I139" s="336">
        <v>0</v>
      </c>
      <c r="J139" s="337">
        <v>-0.68210816616000003</v>
      </c>
      <c r="K139" s="344">
        <v>0</v>
      </c>
    </row>
    <row r="140" spans="1:11" ht="14.4" customHeight="1" thickBot="1" x14ac:dyDescent="0.35">
      <c r="A140" s="353" t="s">
        <v>352</v>
      </c>
      <c r="B140" s="331">
        <v>5.1460792135820004</v>
      </c>
      <c r="C140" s="331">
        <v>4.9090800000000003</v>
      </c>
      <c r="D140" s="332">
        <v>-0.23699921358199999</v>
      </c>
      <c r="E140" s="333">
        <v>0.95394567325000001</v>
      </c>
      <c r="F140" s="331">
        <v>4.0926489969600004</v>
      </c>
      <c r="G140" s="332">
        <v>0.68210816616000003</v>
      </c>
      <c r="H140" s="334">
        <v>0</v>
      </c>
      <c r="I140" s="331">
        <v>0</v>
      </c>
      <c r="J140" s="332">
        <v>-0.68210816616000003</v>
      </c>
      <c r="K140" s="335">
        <v>0</v>
      </c>
    </row>
    <row r="141" spans="1:11" ht="14.4" customHeight="1" thickBot="1" x14ac:dyDescent="0.35">
      <c r="A141" s="350" t="s">
        <v>353</v>
      </c>
      <c r="B141" s="331">
        <v>0</v>
      </c>
      <c r="C141" s="331">
        <v>0</v>
      </c>
      <c r="D141" s="332">
        <v>0</v>
      </c>
      <c r="E141" s="333">
        <v>1</v>
      </c>
      <c r="F141" s="331">
        <v>0</v>
      </c>
      <c r="G141" s="332">
        <v>0</v>
      </c>
      <c r="H141" s="334">
        <v>6.5360000000000001E-2</v>
      </c>
      <c r="I141" s="331">
        <v>6.5360000000000001E-2</v>
      </c>
      <c r="J141" s="332">
        <v>6.5360000000000001E-2</v>
      </c>
      <c r="K141" s="342" t="s">
        <v>243</v>
      </c>
    </row>
    <row r="142" spans="1:11" ht="14.4" customHeight="1" thickBot="1" x14ac:dyDescent="0.35">
      <c r="A142" s="356" t="s">
        <v>354</v>
      </c>
      <c r="B142" s="336">
        <v>0</v>
      </c>
      <c r="C142" s="336">
        <v>0</v>
      </c>
      <c r="D142" s="337">
        <v>0</v>
      </c>
      <c r="E142" s="343">
        <v>1</v>
      </c>
      <c r="F142" s="336">
        <v>0</v>
      </c>
      <c r="G142" s="337">
        <v>0</v>
      </c>
      <c r="H142" s="339">
        <v>6.5360000000000001E-2</v>
      </c>
      <c r="I142" s="336">
        <v>6.5360000000000001E-2</v>
      </c>
      <c r="J142" s="337">
        <v>6.5360000000000001E-2</v>
      </c>
      <c r="K142" s="340" t="s">
        <v>243</v>
      </c>
    </row>
    <row r="143" spans="1:11" ht="14.4" customHeight="1" thickBot="1" x14ac:dyDescent="0.35">
      <c r="A143" s="352" t="s">
        <v>355</v>
      </c>
      <c r="B143" s="336">
        <v>0</v>
      </c>
      <c r="C143" s="336">
        <v>0</v>
      </c>
      <c r="D143" s="337">
        <v>0</v>
      </c>
      <c r="E143" s="343">
        <v>1</v>
      </c>
      <c r="F143" s="336">
        <v>0</v>
      </c>
      <c r="G143" s="337">
        <v>0</v>
      </c>
      <c r="H143" s="339">
        <v>6.5360000000000001E-2</v>
      </c>
      <c r="I143" s="336">
        <v>6.5360000000000001E-2</v>
      </c>
      <c r="J143" s="337">
        <v>6.5360000000000001E-2</v>
      </c>
      <c r="K143" s="340" t="s">
        <v>243</v>
      </c>
    </row>
    <row r="144" spans="1:11" ht="14.4" customHeight="1" thickBot="1" x14ac:dyDescent="0.35">
      <c r="A144" s="353" t="s">
        <v>356</v>
      </c>
      <c r="B144" s="331">
        <v>0</v>
      </c>
      <c r="C144" s="331">
        <v>0</v>
      </c>
      <c r="D144" s="332">
        <v>0</v>
      </c>
      <c r="E144" s="333">
        <v>1</v>
      </c>
      <c r="F144" s="331">
        <v>0</v>
      </c>
      <c r="G144" s="332">
        <v>0</v>
      </c>
      <c r="H144" s="334">
        <v>6.5360000000000001E-2</v>
      </c>
      <c r="I144" s="331">
        <v>6.5360000000000001E-2</v>
      </c>
      <c r="J144" s="332">
        <v>6.5360000000000001E-2</v>
      </c>
      <c r="K144" s="342" t="s">
        <v>243</v>
      </c>
    </row>
    <row r="145" spans="1:11" ht="14.4" customHeight="1" thickBot="1" x14ac:dyDescent="0.35">
      <c r="A145" s="350" t="s">
        <v>357</v>
      </c>
      <c r="B145" s="331">
        <v>57</v>
      </c>
      <c r="C145" s="331">
        <v>92.691999999999993</v>
      </c>
      <c r="D145" s="332">
        <v>35.692</v>
      </c>
      <c r="E145" s="333">
        <v>1.6261754385959999</v>
      </c>
      <c r="F145" s="331">
        <v>224.89561169089799</v>
      </c>
      <c r="G145" s="332">
        <v>37.482601948483001</v>
      </c>
      <c r="H145" s="334">
        <v>5.1559999999999997</v>
      </c>
      <c r="I145" s="331">
        <v>10.311999999999999</v>
      </c>
      <c r="J145" s="332">
        <v>-27.170601948483</v>
      </c>
      <c r="K145" s="335">
        <v>4.5852384234000003E-2</v>
      </c>
    </row>
    <row r="146" spans="1:11" ht="14.4" customHeight="1" thickBot="1" x14ac:dyDescent="0.35">
      <c r="A146" s="356" t="s">
        <v>358</v>
      </c>
      <c r="B146" s="336">
        <v>57</v>
      </c>
      <c r="C146" s="336">
        <v>92.691999999999993</v>
      </c>
      <c r="D146" s="337">
        <v>35.692</v>
      </c>
      <c r="E146" s="343">
        <v>1.6261754385959999</v>
      </c>
      <c r="F146" s="336">
        <v>224.89561169089799</v>
      </c>
      <c r="G146" s="337">
        <v>37.482601948483001</v>
      </c>
      <c r="H146" s="339">
        <v>5.1559999999999997</v>
      </c>
      <c r="I146" s="336">
        <v>10.311999999999999</v>
      </c>
      <c r="J146" s="337">
        <v>-27.170601948483</v>
      </c>
      <c r="K146" s="344">
        <v>4.5852384234000003E-2</v>
      </c>
    </row>
    <row r="147" spans="1:11" ht="14.4" customHeight="1" thickBot="1" x14ac:dyDescent="0.35">
      <c r="A147" s="352" t="s">
        <v>359</v>
      </c>
      <c r="B147" s="336">
        <v>57</v>
      </c>
      <c r="C147" s="336">
        <v>56.6</v>
      </c>
      <c r="D147" s="337">
        <v>-0.4</v>
      </c>
      <c r="E147" s="343">
        <v>0.99298245614000002</v>
      </c>
      <c r="F147" s="336">
        <v>182.000000000048</v>
      </c>
      <c r="G147" s="337">
        <v>30.333333333340999</v>
      </c>
      <c r="H147" s="339">
        <v>0</v>
      </c>
      <c r="I147" s="336">
        <v>0</v>
      </c>
      <c r="J147" s="337">
        <v>-30.333333333340999</v>
      </c>
      <c r="K147" s="344">
        <v>0</v>
      </c>
    </row>
    <row r="148" spans="1:11" ht="14.4" customHeight="1" thickBot="1" x14ac:dyDescent="0.35">
      <c r="A148" s="353" t="s">
        <v>360</v>
      </c>
      <c r="B148" s="331">
        <v>57</v>
      </c>
      <c r="C148" s="331">
        <v>56.6</v>
      </c>
      <c r="D148" s="332">
        <v>-0.4</v>
      </c>
      <c r="E148" s="333">
        <v>0.99298245614000002</v>
      </c>
      <c r="F148" s="331">
        <v>182.000000000048</v>
      </c>
      <c r="G148" s="332">
        <v>30.333333333340999</v>
      </c>
      <c r="H148" s="334">
        <v>0</v>
      </c>
      <c r="I148" s="331">
        <v>0</v>
      </c>
      <c r="J148" s="332">
        <v>-30.333333333340999</v>
      </c>
      <c r="K148" s="335">
        <v>0</v>
      </c>
    </row>
    <row r="149" spans="1:11" ht="14.4" customHeight="1" thickBot="1" x14ac:dyDescent="0.35">
      <c r="A149" s="355" t="s">
        <v>361</v>
      </c>
      <c r="B149" s="331">
        <v>0</v>
      </c>
      <c r="C149" s="331">
        <v>36.091999999999999</v>
      </c>
      <c r="D149" s="332">
        <v>36.091999999999999</v>
      </c>
      <c r="E149" s="341" t="s">
        <v>243</v>
      </c>
      <c r="F149" s="331">
        <v>42.895611690849002</v>
      </c>
      <c r="G149" s="332">
        <v>7.1492686151409996</v>
      </c>
      <c r="H149" s="334">
        <v>5.1559999999999997</v>
      </c>
      <c r="I149" s="331">
        <v>10.311999999999999</v>
      </c>
      <c r="J149" s="332">
        <v>3.1627313848580001</v>
      </c>
      <c r="K149" s="335">
        <v>0.24039755101999999</v>
      </c>
    </row>
    <row r="150" spans="1:11" ht="14.4" customHeight="1" thickBot="1" x14ac:dyDescent="0.35">
      <c r="A150" s="353" t="s">
        <v>362</v>
      </c>
      <c r="B150" s="331">
        <v>0</v>
      </c>
      <c r="C150" s="331">
        <v>36.091999999999999</v>
      </c>
      <c r="D150" s="332">
        <v>36.091999999999999</v>
      </c>
      <c r="E150" s="341" t="s">
        <v>243</v>
      </c>
      <c r="F150" s="331">
        <v>42.895611690849002</v>
      </c>
      <c r="G150" s="332">
        <v>7.1492686151409996</v>
      </c>
      <c r="H150" s="334">
        <v>5.1559999999999997</v>
      </c>
      <c r="I150" s="331">
        <v>10.311999999999999</v>
      </c>
      <c r="J150" s="332">
        <v>3.1627313848580001</v>
      </c>
      <c r="K150" s="335">
        <v>0.24039755101999999</v>
      </c>
    </row>
    <row r="151" spans="1:11" ht="14.4" customHeight="1" thickBot="1" x14ac:dyDescent="0.35">
      <c r="A151" s="349" t="s">
        <v>363</v>
      </c>
      <c r="B151" s="331">
        <v>2936.4428464133798</v>
      </c>
      <c r="C151" s="331">
        <v>3159.1585599999999</v>
      </c>
      <c r="D151" s="332">
        <v>222.715713586617</v>
      </c>
      <c r="E151" s="333">
        <v>1.0758454106669999</v>
      </c>
      <c r="F151" s="331">
        <v>0</v>
      </c>
      <c r="G151" s="332">
        <v>0</v>
      </c>
      <c r="H151" s="334">
        <v>255.7527</v>
      </c>
      <c r="I151" s="331">
        <v>494.10494999999997</v>
      </c>
      <c r="J151" s="332">
        <v>494.10494999999997</v>
      </c>
      <c r="K151" s="342" t="s">
        <v>220</v>
      </c>
    </row>
    <row r="152" spans="1:11" ht="14.4" customHeight="1" thickBot="1" x14ac:dyDescent="0.35">
      <c r="A152" s="354" t="s">
        <v>364</v>
      </c>
      <c r="B152" s="336">
        <v>2936.4428464133798</v>
      </c>
      <c r="C152" s="336">
        <v>3159.1585599999999</v>
      </c>
      <c r="D152" s="337">
        <v>222.715713586617</v>
      </c>
      <c r="E152" s="343">
        <v>1.0758454106669999</v>
      </c>
      <c r="F152" s="336">
        <v>0</v>
      </c>
      <c r="G152" s="337">
        <v>0</v>
      </c>
      <c r="H152" s="339">
        <v>255.7527</v>
      </c>
      <c r="I152" s="336">
        <v>494.10494999999997</v>
      </c>
      <c r="J152" s="337">
        <v>494.10494999999997</v>
      </c>
      <c r="K152" s="340" t="s">
        <v>220</v>
      </c>
    </row>
    <row r="153" spans="1:11" ht="14.4" customHeight="1" thickBot="1" x14ac:dyDescent="0.35">
      <c r="A153" s="356" t="s">
        <v>41</v>
      </c>
      <c r="B153" s="336">
        <v>2936.4428464133798</v>
      </c>
      <c r="C153" s="336">
        <v>3159.1585599999999</v>
      </c>
      <c r="D153" s="337">
        <v>222.715713586617</v>
      </c>
      <c r="E153" s="343">
        <v>1.0758454106669999</v>
      </c>
      <c r="F153" s="336">
        <v>0</v>
      </c>
      <c r="G153" s="337">
        <v>0</v>
      </c>
      <c r="H153" s="339">
        <v>255.7527</v>
      </c>
      <c r="I153" s="336">
        <v>494.10494999999997</v>
      </c>
      <c r="J153" s="337">
        <v>494.10494999999997</v>
      </c>
      <c r="K153" s="340" t="s">
        <v>220</v>
      </c>
    </row>
    <row r="154" spans="1:11" ht="14.4" customHeight="1" thickBot="1" x14ac:dyDescent="0.35">
      <c r="A154" s="352" t="s">
        <v>365</v>
      </c>
      <c r="B154" s="336">
        <v>35</v>
      </c>
      <c r="C154" s="336">
        <v>81.84</v>
      </c>
      <c r="D154" s="337">
        <v>46.84</v>
      </c>
      <c r="E154" s="343">
        <v>2.338285714285</v>
      </c>
      <c r="F154" s="336">
        <v>0</v>
      </c>
      <c r="G154" s="337">
        <v>0</v>
      </c>
      <c r="H154" s="339">
        <v>2.0499999999999998</v>
      </c>
      <c r="I154" s="336">
        <v>6.173</v>
      </c>
      <c r="J154" s="337">
        <v>6.173</v>
      </c>
      <c r="K154" s="340" t="s">
        <v>220</v>
      </c>
    </row>
    <row r="155" spans="1:11" ht="14.4" customHeight="1" thickBot="1" x14ac:dyDescent="0.35">
      <c r="A155" s="353" t="s">
        <v>366</v>
      </c>
      <c r="B155" s="331">
        <v>35</v>
      </c>
      <c r="C155" s="331">
        <v>81.84</v>
      </c>
      <c r="D155" s="332">
        <v>46.84</v>
      </c>
      <c r="E155" s="333">
        <v>2.338285714285</v>
      </c>
      <c r="F155" s="331">
        <v>0</v>
      </c>
      <c r="G155" s="332">
        <v>0</v>
      </c>
      <c r="H155" s="334">
        <v>2.0499999999999998</v>
      </c>
      <c r="I155" s="331">
        <v>6.173</v>
      </c>
      <c r="J155" s="332">
        <v>6.173</v>
      </c>
      <c r="K155" s="342" t="s">
        <v>220</v>
      </c>
    </row>
    <row r="156" spans="1:11" ht="14.4" customHeight="1" thickBot="1" x14ac:dyDescent="0.35">
      <c r="A156" s="352" t="s">
        <v>367</v>
      </c>
      <c r="B156" s="336">
        <v>49.006946413382003</v>
      </c>
      <c r="C156" s="336">
        <v>71.032319999999999</v>
      </c>
      <c r="D156" s="337">
        <v>22.025373586617</v>
      </c>
      <c r="E156" s="343">
        <v>1.449433706822</v>
      </c>
      <c r="F156" s="336">
        <v>0</v>
      </c>
      <c r="G156" s="337">
        <v>0</v>
      </c>
      <c r="H156" s="339">
        <v>4.7039999999999997</v>
      </c>
      <c r="I156" s="336">
        <v>8.0114999999999998</v>
      </c>
      <c r="J156" s="337">
        <v>8.0114999999999998</v>
      </c>
      <c r="K156" s="340" t="s">
        <v>220</v>
      </c>
    </row>
    <row r="157" spans="1:11" ht="14.4" customHeight="1" thickBot="1" x14ac:dyDescent="0.35">
      <c r="A157" s="353" t="s">
        <v>368</v>
      </c>
      <c r="B157" s="331">
        <v>49.006946413382003</v>
      </c>
      <c r="C157" s="331">
        <v>71.032319999999999</v>
      </c>
      <c r="D157" s="332">
        <v>22.025373586617</v>
      </c>
      <c r="E157" s="333">
        <v>1.449433706822</v>
      </c>
      <c r="F157" s="331">
        <v>0</v>
      </c>
      <c r="G157" s="332">
        <v>0</v>
      </c>
      <c r="H157" s="334">
        <v>4.7039999999999997</v>
      </c>
      <c r="I157" s="331">
        <v>8.0114999999999998</v>
      </c>
      <c r="J157" s="332">
        <v>8.0114999999999998</v>
      </c>
      <c r="K157" s="342" t="s">
        <v>220</v>
      </c>
    </row>
    <row r="158" spans="1:11" ht="14.4" customHeight="1" thickBot="1" x14ac:dyDescent="0.35">
      <c r="A158" s="352" t="s">
        <v>369</v>
      </c>
      <c r="B158" s="336">
        <v>68.435900000000004</v>
      </c>
      <c r="C158" s="336">
        <v>72.135599999999997</v>
      </c>
      <c r="D158" s="337">
        <v>3.6996999999989999</v>
      </c>
      <c r="E158" s="343">
        <v>1.054060807266</v>
      </c>
      <c r="F158" s="336">
        <v>0</v>
      </c>
      <c r="G158" s="337">
        <v>0</v>
      </c>
      <c r="H158" s="339">
        <v>5.8763800000000002</v>
      </c>
      <c r="I158" s="336">
        <v>12.524990000000001</v>
      </c>
      <c r="J158" s="337">
        <v>12.524990000000001</v>
      </c>
      <c r="K158" s="340" t="s">
        <v>220</v>
      </c>
    </row>
    <row r="159" spans="1:11" ht="14.4" customHeight="1" thickBot="1" x14ac:dyDescent="0.35">
      <c r="A159" s="353" t="s">
        <v>370</v>
      </c>
      <c r="B159" s="331">
        <v>68.435900000000004</v>
      </c>
      <c r="C159" s="331">
        <v>72.135599999999997</v>
      </c>
      <c r="D159" s="332">
        <v>3.6996999999989999</v>
      </c>
      <c r="E159" s="333">
        <v>1.054060807266</v>
      </c>
      <c r="F159" s="331">
        <v>0</v>
      </c>
      <c r="G159" s="332">
        <v>0</v>
      </c>
      <c r="H159" s="334">
        <v>5.8763800000000002</v>
      </c>
      <c r="I159" s="331">
        <v>12.524990000000001</v>
      </c>
      <c r="J159" s="332">
        <v>12.524990000000001</v>
      </c>
      <c r="K159" s="342" t="s">
        <v>220</v>
      </c>
    </row>
    <row r="160" spans="1:11" ht="14.4" customHeight="1" thickBot="1" x14ac:dyDescent="0.35">
      <c r="A160" s="352" t="s">
        <v>371</v>
      </c>
      <c r="B160" s="336">
        <v>0</v>
      </c>
      <c r="C160" s="336">
        <v>1.7000000000000001E-2</v>
      </c>
      <c r="D160" s="337">
        <v>1.7000000000000001E-2</v>
      </c>
      <c r="E160" s="338" t="s">
        <v>243</v>
      </c>
      <c r="F160" s="336">
        <v>0</v>
      </c>
      <c r="G160" s="337">
        <v>0</v>
      </c>
      <c r="H160" s="339">
        <v>0</v>
      </c>
      <c r="I160" s="336">
        <v>0</v>
      </c>
      <c r="J160" s="337">
        <v>0</v>
      </c>
      <c r="K160" s="340" t="s">
        <v>220</v>
      </c>
    </row>
    <row r="161" spans="1:11" ht="14.4" customHeight="1" thickBot="1" x14ac:dyDescent="0.35">
      <c r="A161" s="353" t="s">
        <v>372</v>
      </c>
      <c r="B161" s="331">
        <v>0</v>
      </c>
      <c r="C161" s="331">
        <v>1.7000000000000001E-2</v>
      </c>
      <c r="D161" s="332">
        <v>1.7000000000000001E-2</v>
      </c>
      <c r="E161" s="341" t="s">
        <v>243</v>
      </c>
      <c r="F161" s="331">
        <v>0</v>
      </c>
      <c r="G161" s="332">
        <v>0</v>
      </c>
      <c r="H161" s="334">
        <v>0</v>
      </c>
      <c r="I161" s="331">
        <v>0</v>
      </c>
      <c r="J161" s="332">
        <v>0</v>
      </c>
      <c r="K161" s="342" t="s">
        <v>220</v>
      </c>
    </row>
    <row r="162" spans="1:11" ht="14.4" customHeight="1" thickBot="1" x14ac:dyDescent="0.35">
      <c r="A162" s="352" t="s">
        <v>373</v>
      </c>
      <c r="B162" s="336">
        <v>441</v>
      </c>
      <c r="C162" s="336">
        <v>386.58582000000001</v>
      </c>
      <c r="D162" s="337">
        <v>-54.414179999999</v>
      </c>
      <c r="E162" s="343">
        <v>0.87661183673400001</v>
      </c>
      <c r="F162" s="336">
        <v>0</v>
      </c>
      <c r="G162" s="337">
        <v>0</v>
      </c>
      <c r="H162" s="339">
        <v>36.929290000000002</v>
      </c>
      <c r="I162" s="336">
        <v>93.251599999999996</v>
      </c>
      <c r="J162" s="337">
        <v>93.251599999999996</v>
      </c>
      <c r="K162" s="340" t="s">
        <v>220</v>
      </c>
    </row>
    <row r="163" spans="1:11" ht="14.4" customHeight="1" thickBot="1" x14ac:dyDescent="0.35">
      <c r="A163" s="353" t="s">
        <v>374</v>
      </c>
      <c r="B163" s="331">
        <v>441</v>
      </c>
      <c r="C163" s="331">
        <v>386.58582000000001</v>
      </c>
      <c r="D163" s="332">
        <v>-54.414179999999</v>
      </c>
      <c r="E163" s="333">
        <v>0.87661183673400001</v>
      </c>
      <c r="F163" s="331">
        <v>0</v>
      </c>
      <c r="G163" s="332">
        <v>0</v>
      </c>
      <c r="H163" s="334">
        <v>36.929290000000002</v>
      </c>
      <c r="I163" s="331">
        <v>93.251599999999996</v>
      </c>
      <c r="J163" s="332">
        <v>93.251599999999996</v>
      </c>
      <c r="K163" s="342" t="s">
        <v>220</v>
      </c>
    </row>
    <row r="164" spans="1:11" ht="14.4" customHeight="1" thickBot="1" x14ac:dyDescent="0.35">
      <c r="A164" s="352" t="s">
        <v>375</v>
      </c>
      <c r="B164" s="336">
        <v>2343</v>
      </c>
      <c r="C164" s="336">
        <v>2547.5478199999998</v>
      </c>
      <c r="D164" s="337">
        <v>204.54782</v>
      </c>
      <c r="E164" s="343">
        <v>1.0873016730680001</v>
      </c>
      <c r="F164" s="336">
        <v>0</v>
      </c>
      <c r="G164" s="337">
        <v>0</v>
      </c>
      <c r="H164" s="339">
        <v>206.19302999999999</v>
      </c>
      <c r="I164" s="336">
        <v>374.14386000000002</v>
      </c>
      <c r="J164" s="337">
        <v>374.14386000000002</v>
      </c>
      <c r="K164" s="340" t="s">
        <v>220</v>
      </c>
    </row>
    <row r="165" spans="1:11" ht="14.4" customHeight="1" thickBot="1" x14ac:dyDescent="0.35">
      <c r="A165" s="353" t="s">
        <v>376</v>
      </c>
      <c r="B165" s="331">
        <v>2343</v>
      </c>
      <c r="C165" s="331">
        <v>2547.5478199999998</v>
      </c>
      <c r="D165" s="332">
        <v>204.54782</v>
      </c>
      <c r="E165" s="333">
        <v>1.0873016730680001</v>
      </c>
      <c r="F165" s="331">
        <v>0</v>
      </c>
      <c r="G165" s="332">
        <v>0</v>
      </c>
      <c r="H165" s="334">
        <v>206.19302999999999</v>
      </c>
      <c r="I165" s="331">
        <v>374.14386000000002</v>
      </c>
      <c r="J165" s="332">
        <v>374.14386000000002</v>
      </c>
      <c r="K165" s="342" t="s">
        <v>220</v>
      </c>
    </row>
    <row r="166" spans="1:11" ht="14.4" customHeight="1" thickBot="1" x14ac:dyDescent="0.35">
      <c r="A166" s="357"/>
      <c r="B166" s="331">
        <v>-68891.723827809605</v>
      </c>
      <c r="C166" s="331">
        <v>-83104.695139999996</v>
      </c>
      <c r="D166" s="332">
        <v>-14212.971312190401</v>
      </c>
      <c r="E166" s="333">
        <v>1.206308835408</v>
      </c>
      <c r="F166" s="331">
        <v>-78783.3033154359</v>
      </c>
      <c r="G166" s="332">
        <v>-13130.5505525726</v>
      </c>
      <c r="H166" s="334">
        <v>-7618.7542400000202</v>
      </c>
      <c r="I166" s="331">
        <v>-12561.717329999999</v>
      </c>
      <c r="J166" s="332">
        <v>568.83322257262796</v>
      </c>
      <c r="K166" s="335">
        <v>0.15944644107700001</v>
      </c>
    </row>
    <row r="167" spans="1:11" ht="14.4" customHeight="1" thickBot="1" x14ac:dyDescent="0.35">
      <c r="A167" s="358" t="s">
        <v>53</v>
      </c>
      <c r="B167" s="345">
        <v>-68891.723827809605</v>
      </c>
      <c r="C167" s="345">
        <v>-83104.695139999996</v>
      </c>
      <c r="D167" s="346">
        <v>-14212.971312190401</v>
      </c>
      <c r="E167" s="347">
        <v>-0.71778909602300001</v>
      </c>
      <c r="F167" s="345">
        <v>-78783.3033154359</v>
      </c>
      <c r="G167" s="346">
        <v>-13130.5505525726</v>
      </c>
      <c r="H167" s="345">
        <v>-7618.7542400000202</v>
      </c>
      <c r="I167" s="345">
        <v>-12561.717329999999</v>
      </c>
      <c r="J167" s="346">
        <v>568.83322257262603</v>
      </c>
      <c r="K167" s="348">
        <v>0.15944644107700001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6" customWidth="1"/>
    <col min="2" max="2" width="61.109375" style="176" customWidth="1"/>
    <col min="3" max="3" width="9.5546875" style="107" customWidth="1"/>
    <col min="4" max="4" width="9.5546875" style="177" customWidth="1"/>
    <col min="5" max="5" width="2.21875" style="177" customWidth="1"/>
    <col min="6" max="6" width="9.5546875" style="178" customWidth="1"/>
    <col min="7" max="7" width="9.5546875" style="175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303" t="s">
        <v>87</v>
      </c>
      <c r="B1" s="304"/>
      <c r="C1" s="304"/>
      <c r="D1" s="304"/>
      <c r="E1" s="304"/>
      <c r="F1" s="304"/>
      <c r="G1" s="275"/>
      <c r="H1" s="305"/>
      <c r="I1" s="305"/>
    </row>
    <row r="2" spans="1:10" ht="14.4" customHeight="1" thickBot="1" x14ac:dyDescent="0.35">
      <c r="A2" s="188" t="s">
        <v>219</v>
      </c>
      <c r="B2" s="174"/>
      <c r="C2" s="174"/>
      <c r="D2" s="174"/>
      <c r="E2" s="174"/>
      <c r="F2" s="174"/>
    </row>
    <row r="3" spans="1:10" ht="14.4" customHeight="1" thickBot="1" x14ac:dyDescent="0.35">
      <c r="A3" s="188"/>
      <c r="B3" s="174"/>
      <c r="C3" s="246">
        <v>2013</v>
      </c>
      <c r="D3" s="247">
        <v>2014</v>
      </c>
      <c r="E3" s="7"/>
      <c r="F3" s="298">
        <v>2015</v>
      </c>
      <c r="G3" s="299"/>
      <c r="H3" s="299"/>
      <c r="I3" s="300"/>
    </row>
    <row r="4" spans="1:10" ht="14.4" customHeight="1" thickBot="1" x14ac:dyDescent="0.35">
      <c r="A4" s="251" t="s">
        <v>0</v>
      </c>
      <c r="B4" s="252" t="s">
        <v>185</v>
      </c>
      <c r="C4" s="301" t="s">
        <v>58</v>
      </c>
      <c r="D4" s="302"/>
      <c r="E4" s="253"/>
      <c r="F4" s="248" t="s">
        <v>58</v>
      </c>
      <c r="G4" s="249" t="s">
        <v>59</v>
      </c>
      <c r="H4" s="249" t="s">
        <v>55</v>
      </c>
      <c r="I4" s="250" t="s">
        <v>60</v>
      </c>
    </row>
    <row r="5" spans="1:10" ht="14.4" customHeight="1" x14ac:dyDescent="0.3">
      <c r="A5" s="359" t="s">
        <v>377</v>
      </c>
      <c r="B5" s="360" t="s">
        <v>378</v>
      </c>
      <c r="C5" s="361" t="s">
        <v>379</v>
      </c>
      <c r="D5" s="361" t="s">
        <v>379</v>
      </c>
      <c r="E5" s="361"/>
      <c r="F5" s="361" t="s">
        <v>379</v>
      </c>
      <c r="G5" s="361" t="s">
        <v>379</v>
      </c>
      <c r="H5" s="361" t="s">
        <v>379</v>
      </c>
      <c r="I5" s="362" t="s">
        <v>379</v>
      </c>
      <c r="J5" s="363" t="s">
        <v>56</v>
      </c>
    </row>
    <row r="6" spans="1:10" ht="14.4" customHeight="1" x14ac:dyDescent="0.3">
      <c r="A6" s="359" t="s">
        <v>377</v>
      </c>
      <c r="B6" s="360" t="s">
        <v>228</v>
      </c>
      <c r="C6" s="361">
        <v>88.872380000000007</v>
      </c>
      <c r="D6" s="361">
        <v>107.3002</v>
      </c>
      <c r="E6" s="361"/>
      <c r="F6" s="361">
        <v>94.231729999999999</v>
      </c>
      <c r="G6" s="361">
        <v>116.52766850151301</v>
      </c>
      <c r="H6" s="361">
        <v>-22.295938501513007</v>
      </c>
      <c r="I6" s="362">
        <v>0.80866399552803625</v>
      </c>
      <c r="J6" s="363" t="s">
        <v>1</v>
      </c>
    </row>
    <row r="7" spans="1:10" ht="14.4" customHeight="1" x14ac:dyDescent="0.3">
      <c r="A7" s="359" t="s">
        <v>377</v>
      </c>
      <c r="B7" s="360" t="s">
        <v>380</v>
      </c>
      <c r="C7" s="361">
        <v>6.1598899999999999</v>
      </c>
      <c r="D7" s="361">
        <v>0</v>
      </c>
      <c r="E7" s="361"/>
      <c r="F7" s="361" t="s">
        <v>379</v>
      </c>
      <c r="G7" s="361" t="s">
        <v>379</v>
      </c>
      <c r="H7" s="361" t="s">
        <v>379</v>
      </c>
      <c r="I7" s="362" t="s">
        <v>379</v>
      </c>
      <c r="J7" s="363" t="s">
        <v>1</v>
      </c>
    </row>
    <row r="8" spans="1:10" ht="14.4" customHeight="1" x14ac:dyDescent="0.3">
      <c r="A8" s="359" t="s">
        <v>377</v>
      </c>
      <c r="B8" s="360" t="s">
        <v>229</v>
      </c>
      <c r="C8" s="361">
        <v>0.25950000000000001</v>
      </c>
      <c r="D8" s="361">
        <v>1.06</v>
      </c>
      <c r="E8" s="361"/>
      <c r="F8" s="361">
        <v>1.20194</v>
      </c>
      <c r="G8" s="361">
        <v>2.9999999055071669</v>
      </c>
      <c r="H8" s="361">
        <v>-1.7980599055071669</v>
      </c>
      <c r="I8" s="362">
        <v>0.40064667928607994</v>
      </c>
      <c r="J8" s="363" t="s">
        <v>1</v>
      </c>
    </row>
    <row r="9" spans="1:10" ht="14.4" customHeight="1" x14ac:dyDescent="0.3">
      <c r="A9" s="359" t="s">
        <v>377</v>
      </c>
      <c r="B9" s="360" t="s">
        <v>230</v>
      </c>
      <c r="C9" s="361">
        <v>39.718090000000004</v>
      </c>
      <c r="D9" s="361">
        <v>25.027640000000002</v>
      </c>
      <c r="E9" s="361"/>
      <c r="F9" s="361">
        <v>36.29074</v>
      </c>
      <c r="G9" s="361">
        <v>32.235861024184167</v>
      </c>
      <c r="H9" s="361">
        <v>4.0548789758158321</v>
      </c>
      <c r="I9" s="362">
        <v>1.1257878290508125</v>
      </c>
      <c r="J9" s="363" t="s">
        <v>1</v>
      </c>
    </row>
    <row r="10" spans="1:10" ht="14.4" customHeight="1" x14ac:dyDescent="0.3">
      <c r="A10" s="359" t="s">
        <v>377</v>
      </c>
      <c r="B10" s="360" t="s">
        <v>381</v>
      </c>
      <c r="C10" s="361">
        <v>135.00986</v>
      </c>
      <c r="D10" s="361">
        <v>133.38784000000001</v>
      </c>
      <c r="E10" s="361"/>
      <c r="F10" s="361">
        <v>131.72440999999998</v>
      </c>
      <c r="G10" s="361">
        <v>151.76352943120435</v>
      </c>
      <c r="H10" s="361">
        <v>-20.039119431204369</v>
      </c>
      <c r="I10" s="362">
        <v>0.86795826700717138</v>
      </c>
      <c r="J10" s="363" t="s">
        <v>382</v>
      </c>
    </row>
    <row r="12" spans="1:10" ht="14.4" customHeight="1" x14ac:dyDescent="0.3">
      <c r="A12" s="359" t="s">
        <v>377</v>
      </c>
      <c r="B12" s="360" t="s">
        <v>378</v>
      </c>
      <c r="C12" s="361" t="s">
        <v>379</v>
      </c>
      <c r="D12" s="361" t="s">
        <v>379</v>
      </c>
      <c r="E12" s="361"/>
      <c r="F12" s="361" t="s">
        <v>379</v>
      </c>
      <c r="G12" s="361" t="s">
        <v>379</v>
      </c>
      <c r="H12" s="361" t="s">
        <v>379</v>
      </c>
      <c r="I12" s="362" t="s">
        <v>379</v>
      </c>
      <c r="J12" s="363" t="s">
        <v>56</v>
      </c>
    </row>
    <row r="13" spans="1:10" ht="14.4" customHeight="1" x14ac:dyDescent="0.3">
      <c r="A13" s="359" t="s">
        <v>383</v>
      </c>
      <c r="B13" s="360" t="s">
        <v>384</v>
      </c>
      <c r="C13" s="361" t="s">
        <v>379</v>
      </c>
      <c r="D13" s="361" t="s">
        <v>379</v>
      </c>
      <c r="E13" s="361"/>
      <c r="F13" s="361" t="s">
        <v>379</v>
      </c>
      <c r="G13" s="361" t="s">
        <v>379</v>
      </c>
      <c r="H13" s="361" t="s">
        <v>379</v>
      </c>
      <c r="I13" s="362" t="s">
        <v>379</v>
      </c>
      <c r="J13" s="363" t="s">
        <v>0</v>
      </c>
    </row>
    <row r="14" spans="1:10" ht="14.4" customHeight="1" x14ac:dyDescent="0.3">
      <c r="A14" s="359" t="s">
        <v>383</v>
      </c>
      <c r="B14" s="360" t="s">
        <v>228</v>
      </c>
      <c r="C14" s="361">
        <v>84.209370000000007</v>
      </c>
      <c r="D14" s="361">
        <v>102.43457000000001</v>
      </c>
      <c r="E14" s="361"/>
      <c r="F14" s="361">
        <v>93.986919999999998</v>
      </c>
      <c r="G14" s="361">
        <v>113.83332974785917</v>
      </c>
      <c r="H14" s="361">
        <v>-19.84640974785917</v>
      </c>
      <c r="I14" s="362">
        <v>0.82565378881722107</v>
      </c>
      <c r="J14" s="363" t="s">
        <v>1</v>
      </c>
    </row>
    <row r="15" spans="1:10" ht="14.4" customHeight="1" x14ac:dyDescent="0.3">
      <c r="A15" s="359" t="s">
        <v>383</v>
      </c>
      <c r="B15" s="360" t="s">
        <v>380</v>
      </c>
      <c r="C15" s="361">
        <v>6.1598899999999999</v>
      </c>
      <c r="D15" s="361">
        <v>0</v>
      </c>
      <c r="E15" s="361"/>
      <c r="F15" s="361" t="s">
        <v>379</v>
      </c>
      <c r="G15" s="361" t="s">
        <v>379</v>
      </c>
      <c r="H15" s="361" t="s">
        <v>379</v>
      </c>
      <c r="I15" s="362" t="s">
        <v>379</v>
      </c>
      <c r="J15" s="363" t="s">
        <v>1</v>
      </c>
    </row>
    <row r="16" spans="1:10" ht="14.4" customHeight="1" x14ac:dyDescent="0.3">
      <c r="A16" s="359" t="s">
        <v>383</v>
      </c>
      <c r="B16" s="360" t="s">
        <v>229</v>
      </c>
      <c r="C16" s="361">
        <v>0.25950000000000001</v>
      </c>
      <c r="D16" s="361">
        <v>1.06</v>
      </c>
      <c r="E16" s="361"/>
      <c r="F16" s="361">
        <v>1.20194</v>
      </c>
      <c r="G16" s="361">
        <v>2.9999999055071669</v>
      </c>
      <c r="H16" s="361">
        <v>-1.7980599055071669</v>
      </c>
      <c r="I16" s="362">
        <v>0.40064667928607994</v>
      </c>
      <c r="J16" s="363" t="s">
        <v>1</v>
      </c>
    </row>
    <row r="17" spans="1:10" ht="14.4" customHeight="1" x14ac:dyDescent="0.3">
      <c r="A17" s="359" t="s">
        <v>383</v>
      </c>
      <c r="B17" s="360" t="s">
        <v>230</v>
      </c>
      <c r="C17" s="361">
        <v>39.718090000000004</v>
      </c>
      <c r="D17" s="361">
        <v>25.027640000000002</v>
      </c>
      <c r="E17" s="361"/>
      <c r="F17" s="361">
        <v>36.29074</v>
      </c>
      <c r="G17" s="361">
        <v>32.235861024184167</v>
      </c>
      <c r="H17" s="361">
        <v>4.0548789758158321</v>
      </c>
      <c r="I17" s="362">
        <v>1.1257878290508125</v>
      </c>
      <c r="J17" s="363" t="s">
        <v>1</v>
      </c>
    </row>
    <row r="18" spans="1:10" ht="14.4" customHeight="1" x14ac:dyDescent="0.3">
      <c r="A18" s="359" t="s">
        <v>383</v>
      </c>
      <c r="B18" s="360" t="s">
        <v>385</v>
      </c>
      <c r="C18" s="361">
        <v>130.34685000000002</v>
      </c>
      <c r="D18" s="361">
        <v>128.52221</v>
      </c>
      <c r="E18" s="361"/>
      <c r="F18" s="361">
        <v>131.4796</v>
      </c>
      <c r="G18" s="361">
        <v>149.06919067755049</v>
      </c>
      <c r="H18" s="361">
        <v>-17.58959067755049</v>
      </c>
      <c r="I18" s="362">
        <v>0.88200384936953014</v>
      </c>
      <c r="J18" s="363" t="s">
        <v>386</v>
      </c>
    </row>
    <row r="19" spans="1:10" ht="14.4" customHeight="1" x14ac:dyDescent="0.3">
      <c r="A19" s="359" t="s">
        <v>379</v>
      </c>
      <c r="B19" s="360" t="s">
        <v>379</v>
      </c>
      <c r="C19" s="361" t="s">
        <v>379</v>
      </c>
      <c r="D19" s="361" t="s">
        <v>379</v>
      </c>
      <c r="E19" s="361"/>
      <c r="F19" s="361" t="s">
        <v>379</v>
      </c>
      <c r="G19" s="361" t="s">
        <v>379</v>
      </c>
      <c r="H19" s="361" t="s">
        <v>379</v>
      </c>
      <c r="I19" s="362" t="s">
        <v>379</v>
      </c>
      <c r="J19" s="363" t="s">
        <v>387</v>
      </c>
    </row>
    <row r="20" spans="1:10" ht="14.4" customHeight="1" x14ac:dyDescent="0.3">
      <c r="A20" s="359" t="s">
        <v>388</v>
      </c>
      <c r="B20" s="360" t="s">
        <v>389</v>
      </c>
      <c r="C20" s="361" t="s">
        <v>379</v>
      </c>
      <c r="D20" s="361" t="s">
        <v>379</v>
      </c>
      <c r="E20" s="361"/>
      <c r="F20" s="361" t="s">
        <v>379</v>
      </c>
      <c r="G20" s="361" t="s">
        <v>379</v>
      </c>
      <c r="H20" s="361" t="s">
        <v>379</v>
      </c>
      <c r="I20" s="362" t="s">
        <v>379</v>
      </c>
      <c r="J20" s="363" t="s">
        <v>0</v>
      </c>
    </row>
    <row r="21" spans="1:10" ht="14.4" customHeight="1" x14ac:dyDescent="0.3">
      <c r="A21" s="359" t="s">
        <v>388</v>
      </c>
      <c r="B21" s="360" t="s">
        <v>228</v>
      </c>
      <c r="C21" s="361">
        <v>4.6630099999999999</v>
      </c>
      <c r="D21" s="361">
        <v>4.8656299999999995</v>
      </c>
      <c r="E21" s="361"/>
      <c r="F21" s="361">
        <v>0.24481</v>
      </c>
      <c r="G21" s="361">
        <v>2.6943387536538332</v>
      </c>
      <c r="H21" s="361">
        <v>-2.449528753653833</v>
      </c>
      <c r="I21" s="362">
        <v>9.0860883646501203E-2</v>
      </c>
      <c r="J21" s="363" t="s">
        <v>1</v>
      </c>
    </row>
    <row r="22" spans="1:10" ht="14.4" customHeight="1" x14ac:dyDescent="0.3">
      <c r="A22" s="359" t="s">
        <v>388</v>
      </c>
      <c r="B22" s="360" t="s">
        <v>390</v>
      </c>
      <c r="C22" s="361">
        <v>4.6630099999999999</v>
      </c>
      <c r="D22" s="361">
        <v>4.8656299999999995</v>
      </c>
      <c r="E22" s="361"/>
      <c r="F22" s="361">
        <v>0.24481</v>
      </c>
      <c r="G22" s="361">
        <v>2.6943387536538332</v>
      </c>
      <c r="H22" s="361">
        <v>-2.449528753653833</v>
      </c>
      <c r="I22" s="362">
        <v>9.0860883646501203E-2</v>
      </c>
      <c r="J22" s="363" t="s">
        <v>386</v>
      </c>
    </row>
    <row r="23" spans="1:10" ht="14.4" customHeight="1" x14ac:dyDescent="0.3">
      <c r="A23" s="359" t="s">
        <v>379</v>
      </c>
      <c r="B23" s="360" t="s">
        <v>379</v>
      </c>
      <c r="C23" s="361" t="s">
        <v>379</v>
      </c>
      <c r="D23" s="361" t="s">
        <v>379</v>
      </c>
      <c r="E23" s="361"/>
      <c r="F23" s="361" t="s">
        <v>379</v>
      </c>
      <c r="G23" s="361" t="s">
        <v>379</v>
      </c>
      <c r="H23" s="361" t="s">
        <v>379</v>
      </c>
      <c r="I23" s="362" t="s">
        <v>379</v>
      </c>
      <c r="J23" s="363" t="s">
        <v>387</v>
      </c>
    </row>
    <row r="24" spans="1:10" ht="14.4" customHeight="1" x14ac:dyDescent="0.3">
      <c r="A24" s="359" t="s">
        <v>377</v>
      </c>
      <c r="B24" s="360" t="s">
        <v>381</v>
      </c>
      <c r="C24" s="361">
        <v>135.00986</v>
      </c>
      <c r="D24" s="361">
        <v>133.38784000000001</v>
      </c>
      <c r="E24" s="361"/>
      <c r="F24" s="361">
        <v>131.72441000000001</v>
      </c>
      <c r="G24" s="361">
        <v>151.76352943120432</v>
      </c>
      <c r="H24" s="361">
        <v>-20.039119431204313</v>
      </c>
      <c r="I24" s="362">
        <v>0.86795826700717171</v>
      </c>
      <c r="J24" s="363" t="s">
        <v>382</v>
      </c>
    </row>
  </sheetData>
  <mergeCells count="3">
    <mergeCell ref="F3:I3"/>
    <mergeCell ref="C4:D4"/>
    <mergeCell ref="A1:I1"/>
  </mergeCells>
  <conditionalFormatting sqref="F11 F25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4">
    <cfRule type="expression" dxfId="29" priority="5">
      <formula>$H12&gt;0</formula>
    </cfRule>
  </conditionalFormatting>
  <conditionalFormatting sqref="A12:A24">
    <cfRule type="expression" dxfId="28" priority="2">
      <formula>AND($J12&lt;&gt;"mezeraKL",$J12&lt;&gt;"")</formula>
    </cfRule>
  </conditionalFormatting>
  <conditionalFormatting sqref="I12:I24">
    <cfRule type="expression" dxfId="27" priority="6">
      <formula>$I12&gt;1</formula>
    </cfRule>
  </conditionalFormatting>
  <conditionalFormatting sqref="B12:B24">
    <cfRule type="expression" dxfId="26" priority="1">
      <formula>OR($J12="NS",$J12="SumaNS",$J12="Účet")</formula>
    </cfRule>
  </conditionalFormatting>
  <conditionalFormatting sqref="A12:D24 F12:I24">
    <cfRule type="expression" dxfId="25" priority="8">
      <formula>AND($J12&lt;&gt;"",$J12&lt;&gt;"mezeraKL")</formula>
    </cfRule>
  </conditionalFormatting>
  <conditionalFormatting sqref="B12:D24 F12:I24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4 F12:I24">
    <cfRule type="expression" dxfId="23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7" bestFit="1" customWidth="1" collapsed="1"/>
    <col min="4" max="4" width="18.77734375" style="181" customWidth="1"/>
    <col min="5" max="5" width="9" style="177" bestFit="1" customWidth="1"/>
    <col min="6" max="6" width="18.77734375" style="181" customWidth="1"/>
    <col min="7" max="7" width="5" style="177" customWidth="1"/>
    <col min="8" max="8" width="12.44140625" style="177" hidden="1" customWidth="1" outlineLevel="1"/>
    <col min="9" max="9" width="8.5546875" style="177" hidden="1" customWidth="1" outlineLevel="1"/>
    <col min="10" max="10" width="25.77734375" style="177" customWidth="1" collapsed="1"/>
    <col min="11" max="11" width="8.77734375" style="177" customWidth="1"/>
    <col min="12" max="13" width="7.77734375" style="175" customWidth="1"/>
    <col min="14" max="14" width="11.109375" style="175" customWidth="1"/>
    <col min="15" max="16384" width="8.88671875" style="107"/>
  </cols>
  <sheetData>
    <row r="1" spans="1:14" ht="18.600000000000001" customHeight="1" thickBot="1" x14ac:dyDescent="0.4">
      <c r="A1" s="310" t="s">
        <v>107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14.4" customHeight="1" thickBot="1" x14ac:dyDescent="0.35">
      <c r="A2" s="188" t="s">
        <v>219</v>
      </c>
      <c r="B2" s="62"/>
      <c r="C2" s="179"/>
      <c r="D2" s="179"/>
      <c r="E2" s="179"/>
      <c r="F2" s="179"/>
      <c r="G2" s="179"/>
      <c r="H2" s="179"/>
      <c r="I2" s="179"/>
      <c r="J2" s="179"/>
      <c r="K2" s="179"/>
      <c r="L2" s="180"/>
      <c r="M2" s="180"/>
      <c r="N2" s="180"/>
    </row>
    <row r="3" spans="1:14" ht="14.4" customHeight="1" thickBot="1" x14ac:dyDescent="0.35">
      <c r="A3" s="62"/>
      <c r="B3" s="62"/>
      <c r="C3" s="306"/>
      <c r="D3" s="307"/>
      <c r="E3" s="307"/>
      <c r="F3" s="307"/>
      <c r="G3" s="307"/>
      <c r="H3" s="307"/>
      <c r="I3" s="307"/>
      <c r="J3" s="308" t="s">
        <v>78</v>
      </c>
      <c r="K3" s="309"/>
      <c r="L3" s="81">
        <f>IF(M3&lt;&gt;0,N3/M3,0)</f>
        <v>151.00264142180907</v>
      </c>
      <c r="M3" s="81">
        <f>SUBTOTAL(9,M5:M1048576)</f>
        <v>632</v>
      </c>
      <c r="N3" s="82">
        <f>SUBTOTAL(9,N5:N1048576)</f>
        <v>95433.669378583334</v>
      </c>
    </row>
    <row r="4" spans="1:14" s="176" customFormat="1" ht="14.4" customHeight="1" thickBot="1" x14ac:dyDescent="0.35">
      <c r="A4" s="364" t="s">
        <v>4</v>
      </c>
      <c r="B4" s="365" t="s">
        <v>5</v>
      </c>
      <c r="C4" s="365" t="s">
        <v>0</v>
      </c>
      <c r="D4" s="365" t="s">
        <v>6</v>
      </c>
      <c r="E4" s="365" t="s">
        <v>7</v>
      </c>
      <c r="F4" s="365" t="s">
        <v>1</v>
      </c>
      <c r="G4" s="365" t="s">
        <v>8</v>
      </c>
      <c r="H4" s="365" t="s">
        <v>9</v>
      </c>
      <c r="I4" s="365" t="s">
        <v>10</v>
      </c>
      <c r="J4" s="366" t="s">
        <v>11</v>
      </c>
      <c r="K4" s="366" t="s">
        <v>12</v>
      </c>
      <c r="L4" s="367" t="s">
        <v>91</v>
      </c>
      <c r="M4" s="367" t="s">
        <v>13</v>
      </c>
      <c r="N4" s="368" t="s">
        <v>102</v>
      </c>
    </row>
    <row r="5" spans="1:14" ht="14.4" customHeight="1" x14ac:dyDescent="0.3">
      <c r="A5" s="371" t="s">
        <v>377</v>
      </c>
      <c r="B5" s="372" t="s">
        <v>470</v>
      </c>
      <c r="C5" s="373" t="s">
        <v>383</v>
      </c>
      <c r="D5" s="374" t="s">
        <v>471</v>
      </c>
      <c r="E5" s="373" t="s">
        <v>391</v>
      </c>
      <c r="F5" s="374" t="s">
        <v>473</v>
      </c>
      <c r="G5" s="373" t="s">
        <v>392</v>
      </c>
      <c r="H5" s="373" t="s">
        <v>393</v>
      </c>
      <c r="I5" s="373" t="s">
        <v>394</v>
      </c>
      <c r="J5" s="373" t="s">
        <v>395</v>
      </c>
      <c r="K5" s="373" t="s">
        <v>396</v>
      </c>
      <c r="L5" s="375">
        <v>87.029446129797435</v>
      </c>
      <c r="M5" s="375">
        <v>16</v>
      </c>
      <c r="N5" s="376">
        <v>1392.471138076759</v>
      </c>
    </row>
    <row r="6" spans="1:14" ht="14.4" customHeight="1" x14ac:dyDescent="0.3">
      <c r="A6" s="377" t="s">
        <v>377</v>
      </c>
      <c r="B6" s="378" t="s">
        <v>470</v>
      </c>
      <c r="C6" s="379" t="s">
        <v>383</v>
      </c>
      <c r="D6" s="380" t="s">
        <v>471</v>
      </c>
      <c r="E6" s="379" t="s">
        <v>391</v>
      </c>
      <c r="F6" s="380" t="s">
        <v>473</v>
      </c>
      <c r="G6" s="379" t="s">
        <v>392</v>
      </c>
      <c r="H6" s="379" t="s">
        <v>397</v>
      </c>
      <c r="I6" s="379" t="s">
        <v>398</v>
      </c>
      <c r="J6" s="379" t="s">
        <v>399</v>
      </c>
      <c r="K6" s="379" t="s">
        <v>400</v>
      </c>
      <c r="L6" s="381">
        <v>165.88421453180692</v>
      </c>
      <c r="M6" s="381">
        <v>17</v>
      </c>
      <c r="N6" s="382">
        <v>2820.0316470407174</v>
      </c>
    </row>
    <row r="7" spans="1:14" ht="14.4" customHeight="1" x14ac:dyDescent="0.3">
      <c r="A7" s="377" t="s">
        <v>377</v>
      </c>
      <c r="B7" s="378" t="s">
        <v>470</v>
      </c>
      <c r="C7" s="379" t="s">
        <v>383</v>
      </c>
      <c r="D7" s="380" t="s">
        <v>471</v>
      </c>
      <c r="E7" s="379" t="s">
        <v>391</v>
      </c>
      <c r="F7" s="380" t="s">
        <v>473</v>
      </c>
      <c r="G7" s="379" t="s">
        <v>392</v>
      </c>
      <c r="H7" s="379" t="s">
        <v>401</v>
      </c>
      <c r="I7" s="379" t="s">
        <v>402</v>
      </c>
      <c r="J7" s="379" t="s">
        <v>403</v>
      </c>
      <c r="K7" s="379" t="s">
        <v>404</v>
      </c>
      <c r="L7" s="381">
        <v>72.659822096285481</v>
      </c>
      <c r="M7" s="381">
        <v>5</v>
      </c>
      <c r="N7" s="382">
        <v>363.29911048142742</v>
      </c>
    </row>
    <row r="8" spans="1:14" ht="14.4" customHeight="1" x14ac:dyDescent="0.3">
      <c r="A8" s="377" t="s">
        <v>377</v>
      </c>
      <c r="B8" s="378" t="s">
        <v>470</v>
      </c>
      <c r="C8" s="379" t="s">
        <v>383</v>
      </c>
      <c r="D8" s="380" t="s">
        <v>471</v>
      </c>
      <c r="E8" s="379" t="s">
        <v>391</v>
      </c>
      <c r="F8" s="380" t="s">
        <v>473</v>
      </c>
      <c r="G8" s="379" t="s">
        <v>392</v>
      </c>
      <c r="H8" s="379" t="s">
        <v>405</v>
      </c>
      <c r="I8" s="379" t="s">
        <v>110</v>
      </c>
      <c r="J8" s="379" t="s">
        <v>406</v>
      </c>
      <c r="K8" s="379"/>
      <c r="L8" s="381">
        <v>651.08083333333309</v>
      </c>
      <c r="M8" s="381">
        <v>3</v>
      </c>
      <c r="N8" s="382">
        <v>1953.2424999999994</v>
      </c>
    </row>
    <row r="9" spans="1:14" ht="14.4" customHeight="1" x14ac:dyDescent="0.3">
      <c r="A9" s="377" t="s">
        <v>377</v>
      </c>
      <c r="B9" s="378" t="s">
        <v>470</v>
      </c>
      <c r="C9" s="379" t="s">
        <v>383</v>
      </c>
      <c r="D9" s="380" t="s">
        <v>471</v>
      </c>
      <c r="E9" s="379" t="s">
        <v>391</v>
      </c>
      <c r="F9" s="380" t="s">
        <v>473</v>
      </c>
      <c r="G9" s="379" t="s">
        <v>392</v>
      </c>
      <c r="H9" s="379" t="s">
        <v>407</v>
      </c>
      <c r="I9" s="379" t="s">
        <v>110</v>
      </c>
      <c r="J9" s="379" t="s">
        <v>408</v>
      </c>
      <c r="K9" s="379"/>
      <c r="L9" s="381">
        <v>102.89353689633849</v>
      </c>
      <c r="M9" s="381">
        <v>20</v>
      </c>
      <c r="N9" s="382">
        <v>2057.8707379267698</v>
      </c>
    </row>
    <row r="10" spans="1:14" ht="14.4" customHeight="1" x14ac:dyDescent="0.3">
      <c r="A10" s="377" t="s">
        <v>377</v>
      </c>
      <c r="B10" s="378" t="s">
        <v>470</v>
      </c>
      <c r="C10" s="379" t="s">
        <v>383</v>
      </c>
      <c r="D10" s="380" t="s">
        <v>471</v>
      </c>
      <c r="E10" s="379" t="s">
        <v>391</v>
      </c>
      <c r="F10" s="380" t="s">
        <v>473</v>
      </c>
      <c r="G10" s="379" t="s">
        <v>392</v>
      </c>
      <c r="H10" s="379" t="s">
        <v>409</v>
      </c>
      <c r="I10" s="379" t="s">
        <v>410</v>
      </c>
      <c r="J10" s="379" t="s">
        <v>411</v>
      </c>
      <c r="K10" s="379" t="s">
        <v>412</v>
      </c>
      <c r="L10" s="381">
        <v>104.06999637517806</v>
      </c>
      <c r="M10" s="381">
        <v>3</v>
      </c>
      <c r="N10" s="382">
        <v>312.20998912553421</v>
      </c>
    </row>
    <row r="11" spans="1:14" ht="14.4" customHeight="1" x14ac:dyDescent="0.3">
      <c r="A11" s="377" t="s">
        <v>377</v>
      </c>
      <c r="B11" s="378" t="s">
        <v>470</v>
      </c>
      <c r="C11" s="379" t="s">
        <v>383</v>
      </c>
      <c r="D11" s="380" t="s">
        <v>471</v>
      </c>
      <c r="E11" s="379" t="s">
        <v>391</v>
      </c>
      <c r="F11" s="380" t="s">
        <v>473</v>
      </c>
      <c r="G11" s="379" t="s">
        <v>392</v>
      </c>
      <c r="H11" s="379" t="s">
        <v>413</v>
      </c>
      <c r="I11" s="379" t="s">
        <v>110</v>
      </c>
      <c r="J11" s="379" t="s">
        <v>414</v>
      </c>
      <c r="K11" s="379" t="s">
        <v>415</v>
      </c>
      <c r="L11" s="381">
        <v>23.7</v>
      </c>
      <c r="M11" s="381">
        <v>24</v>
      </c>
      <c r="N11" s="382">
        <v>568.79999999999995</v>
      </c>
    </row>
    <row r="12" spans="1:14" ht="14.4" customHeight="1" x14ac:dyDescent="0.3">
      <c r="A12" s="377" t="s">
        <v>377</v>
      </c>
      <c r="B12" s="378" t="s">
        <v>470</v>
      </c>
      <c r="C12" s="379" t="s">
        <v>383</v>
      </c>
      <c r="D12" s="380" t="s">
        <v>471</v>
      </c>
      <c r="E12" s="379" t="s">
        <v>391</v>
      </c>
      <c r="F12" s="380" t="s">
        <v>473</v>
      </c>
      <c r="G12" s="379" t="s">
        <v>392</v>
      </c>
      <c r="H12" s="379" t="s">
        <v>416</v>
      </c>
      <c r="I12" s="379" t="s">
        <v>417</v>
      </c>
      <c r="J12" s="379" t="s">
        <v>418</v>
      </c>
      <c r="K12" s="379" t="s">
        <v>419</v>
      </c>
      <c r="L12" s="381">
        <v>61.642500000000005</v>
      </c>
      <c r="M12" s="381">
        <v>4</v>
      </c>
      <c r="N12" s="382">
        <v>246.57000000000002</v>
      </c>
    </row>
    <row r="13" spans="1:14" ht="14.4" customHeight="1" x14ac:dyDescent="0.3">
      <c r="A13" s="377" t="s">
        <v>377</v>
      </c>
      <c r="B13" s="378" t="s">
        <v>470</v>
      </c>
      <c r="C13" s="379" t="s">
        <v>383</v>
      </c>
      <c r="D13" s="380" t="s">
        <v>471</v>
      </c>
      <c r="E13" s="379" t="s">
        <v>391</v>
      </c>
      <c r="F13" s="380" t="s">
        <v>473</v>
      </c>
      <c r="G13" s="379" t="s">
        <v>392</v>
      </c>
      <c r="H13" s="379" t="s">
        <v>420</v>
      </c>
      <c r="I13" s="379" t="s">
        <v>110</v>
      </c>
      <c r="J13" s="379" t="s">
        <v>421</v>
      </c>
      <c r="K13" s="379" t="s">
        <v>422</v>
      </c>
      <c r="L13" s="381">
        <v>92.179354879809125</v>
      </c>
      <c r="M13" s="381">
        <v>10</v>
      </c>
      <c r="N13" s="382">
        <v>921.79354879809125</v>
      </c>
    </row>
    <row r="14" spans="1:14" ht="14.4" customHeight="1" x14ac:dyDescent="0.3">
      <c r="A14" s="377" t="s">
        <v>377</v>
      </c>
      <c r="B14" s="378" t="s">
        <v>470</v>
      </c>
      <c r="C14" s="379" t="s">
        <v>383</v>
      </c>
      <c r="D14" s="380" t="s">
        <v>471</v>
      </c>
      <c r="E14" s="379" t="s">
        <v>391</v>
      </c>
      <c r="F14" s="380" t="s">
        <v>473</v>
      </c>
      <c r="G14" s="379" t="s">
        <v>392</v>
      </c>
      <c r="H14" s="379" t="s">
        <v>423</v>
      </c>
      <c r="I14" s="379" t="s">
        <v>424</v>
      </c>
      <c r="J14" s="379" t="s">
        <v>425</v>
      </c>
      <c r="K14" s="379" t="s">
        <v>426</v>
      </c>
      <c r="L14" s="381">
        <v>201.3</v>
      </c>
      <c r="M14" s="381">
        <v>105</v>
      </c>
      <c r="N14" s="382">
        <v>21136.5</v>
      </c>
    </row>
    <row r="15" spans="1:14" ht="14.4" customHeight="1" x14ac:dyDescent="0.3">
      <c r="A15" s="377" t="s">
        <v>377</v>
      </c>
      <c r="B15" s="378" t="s">
        <v>470</v>
      </c>
      <c r="C15" s="379" t="s">
        <v>383</v>
      </c>
      <c r="D15" s="380" t="s">
        <v>471</v>
      </c>
      <c r="E15" s="379" t="s">
        <v>391</v>
      </c>
      <c r="F15" s="380" t="s">
        <v>473</v>
      </c>
      <c r="G15" s="379" t="s">
        <v>392</v>
      </c>
      <c r="H15" s="379" t="s">
        <v>427</v>
      </c>
      <c r="I15" s="379" t="s">
        <v>428</v>
      </c>
      <c r="J15" s="379" t="s">
        <v>429</v>
      </c>
      <c r="K15" s="379"/>
      <c r="L15" s="381">
        <v>252.97795460465611</v>
      </c>
      <c r="M15" s="381">
        <v>11</v>
      </c>
      <c r="N15" s="382">
        <v>2782.757500651217</v>
      </c>
    </row>
    <row r="16" spans="1:14" ht="14.4" customHeight="1" x14ac:dyDescent="0.3">
      <c r="A16" s="377" t="s">
        <v>377</v>
      </c>
      <c r="B16" s="378" t="s">
        <v>470</v>
      </c>
      <c r="C16" s="379" t="s">
        <v>383</v>
      </c>
      <c r="D16" s="380" t="s">
        <v>471</v>
      </c>
      <c r="E16" s="379" t="s">
        <v>391</v>
      </c>
      <c r="F16" s="380" t="s">
        <v>473</v>
      </c>
      <c r="G16" s="379" t="s">
        <v>392</v>
      </c>
      <c r="H16" s="379" t="s">
        <v>430</v>
      </c>
      <c r="I16" s="379" t="s">
        <v>431</v>
      </c>
      <c r="J16" s="379" t="s">
        <v>432</v>
      </c>
      <c r="K16" s="379" t="s">
        <v>433</v>
      </c>
      <c r="L16" s="381">
        <v>279.38</v>
      </c>
      <c r="M16" s="381">
        <v>8</v>
      </c>
      <c r="N16" s="382">
        <v>2235.04</v>
      </c>
    </row>
    <row r="17" spans="1:14" ht="14.4" customHeight="1" x14ac:dyDescent="0.3">
      <c r="A17" s="377" t="s">
        <v>377</v>
      </c>
      <c r="B17" s="378" t="s">
        <v>470</v>
      </c>
      <c r="C17" s="379" t="s">
        <v>383</v>
      </c>
      <c r="D17" s="380" t="s">
        <v>471</v>
      </c>
      <c r="E17" s="379" t="s">
        <v>391</v>
      </c>
      <c r="F17" s="380" t="s">
        <v>473</v>
      </c>
      <c r="G17" s="379" t="s">
        <v>392</v>
      </c>
      <c r="H17" s="379" t="s">
        <v>434</v>
      </c>
      <c r="I17" s="379" t="s">
        <v>110</v>
      </c>
      <c r="J17" s="379" t="s">
        <v>435</v>
      </c>
      <c r="K17" s="379"/>
      <c r="L17" s="381">
        <v>57.364134152943763</v>
      </c>
      <c r="M17" s="381">
        <v>1</v>
      </c>
      <c r="N17" s="382">
        <v>57.364134152943763</v>
      </c>
    </row>
    <row r="18" spans="1:14" ht="14.4" customHeight="1" x14ac:dyDescent="0.3">
      <c r="A18" s="377" t="s">
        <v>377</v>
      </c>
      <c r="B18" s="378" t="s">
        <v>470</v>
      </c>
      <c r="C18" s="379" t="s">
        <v>383</v>
      </c>
      <c r="D18" s="380" t="s">
        <v>471</v>
      </c>
      <c r="E18" s="379" t="s">
        <v>391</v>
      </c>
      <c r="F18" s="380" t="s">
        <v>473</v>
      </c>
      <c r="G18" s="379" t="s">
        <v>392</v>
      </c>
      <c r="H18" s="379" t="s">
        <v>436</v>
      </c>
      <c r="I18" s="379" t="s">
        <v>110</v>
      </c>
      <c r="J18" s="379" t="s">
        <v>437</v>
      </c>
      <c r="K18" s="379"/>
      <c r="L18" s="381">
        <v>476.64966506601331</v>
      </c>
      <c r="M18" s="381">
        <v>38</v>
      </c>
      <c r="N18" s="382">
        <v>18112.687272508505</v>
      </c>
    </row>
    <row r="19" spans="1:14" ht="14.4" customHeight="1" x14ac:dyDescent="0.3">
      <c r="A19" s="377" t="s">
        <v>377</v>
      </c>
      <c r="B19" s="378" t="s">
        <v>470</v>
      </c>
      <c r="C19" s="379" t="s">
        <v>383</v>
      </c>
      <c r="D19" s="380" t="s">
        <v>471</v>
      </c>
      <c r="E19" s="379" t="s">
        <v>391</v>
      </c>
      <c r="F19" s="380" t="s">
        <v>473</v>
      </c>
      <c r="G19" s="379" t="s">
        <v>392</v>
      </c>
      <c r="H19" s="379" t="s">
        <v>438</v>
      </c>
      <c r="I19" s="379" t="s">
        <v>110</v>
      </c>
      <c r="J19" s="379" t="s">
        <v>439</v>
      </c>
      <c r="K19" s="379"/>
      <c r="L19" s="381">
        <v>57.899035759217114</v>
      </c>
      <c r="M19" s="381">
        <v>16</v>
      </c>
      <c r="N19" s="382">
        <v>926.38457214747382</v>
      </c>
    </row>
    <row r="20" spans="1:14" ht="14.4" customHeight="1" x14ac:dyDescent="0.3">
      <c r="A20" s="377" t="s">
        <v>377</v>
      </c>
      <c r="B20" s="378" t="s">
        <v>470</v>
      </c>
      <c r="C20" s="379" t="s">
        <v>383</v>
      </c>
      <c r="D20" s="380" t="s">
        <v>471</v>
      </c>
      <c r="E20" s="379" t="s">
        <v>391</v>
      </c>
      <c r="F20" s="380" t="s">
        <v>473</v>
      </c>
      <c r="G20" s="379" t="s">
        <v>392</v>
      </c>
      <c r="H20" s="379" t="s">
        <v>440</v>
      </c>
      <c r="I20" s="379" t="s">
        <v>110</v>
      </c>
      <c r="J20" s="379" t="s">
        <v>441</v>
      </c>
      <c r="K20" s="379" t="s">
        <v>442</v>
      </c>
      <c r="L20" s="381">
        <v>83.308805511479861</v>
      </c>
      <c r="M20" s="381">
        <v>272</v>
      </c>
      <c r="N20" s="382">
        <v>22659.995099122523</v>
      </c>
    </row>
    <row r="21" spans="1:14" ht="14.4" customHeight="1" x14ac:dyDescent="0.3">
      <c r="A21" s="377" t="s">
        <v>377</v>
      </c>
      <c r="B21" s="378" t="s">
        <v>470</v>
      </c>
      <c r="C21" s="379" t="s">
        <v>383</v>
      </c>
      <c r="D21" s="380" t="s">
        <v>471</v>
      </c>
      <c r="E21" s="379" t="s">
        <v>391</v>
      </c>
      <c r="F21" s="380" t="s">
        <v>473</v>
      </c>
      <c r="G21" s="379" t="s">
        <v>392</v>
      </c>
      <c r="H21" s="379" t="s">
        <v>443</v>
      </c>
      <c r="I21" s="379" t="s">
        <v>110</v>
      </c>
      <c r="J21" s="379" t="s">
        <v>444</v>
      </c>
      <c r="K21" s="379"/>
      <c r="L21" s="381">
        <v>167.25402221769511</v>
      </c>
      <c r="M21" s="381">
        <v>4</v>
      </c>
      <c r="N21" s="382">
        <v>669.01608887078044</v>
      </c>
    </row>
    <row r="22" spans="1:14" ht="14.4" customHeight="1" x14ac:dyDescent="0.3">
      <c r="A22" s="377" t="s">
        <v>377</v>
      </c>
      <c r="B22" s="378" t="s">
        <v>470</v>
      </c>
      <c r="C22" s="379" t="s">
        <v>383</v>
      </c>
      <c r="D22" s="380" t="s">
        <v>471</v>
      </c>
      <c r="E22" s="379" t="s">
        <v>391</v>
      </c>
      <c r="F22" s="380" t="s">
        <v>473</v>
      </c>
      <c r="G22" s="379" t="s">
        <v>392</v>
      </c>
      <c r="H22" s="379" t="s">
        <v>445</v>
      </c>
      <c r="I22" s="379" t="s">
        <v>446</v>
      </c>
      <c r="J22" s="379" t="s">
        <v>447</v>
      </c>
      <c r="K22" s="379" t="s">
        <v>448</v>
      </c>
      <c r="L22" s="381">
        <v>67.320000000000007</v>
      </c>
      <c r="M22" s="381">
        <v>40</v>
      </c>
      <c r="N22" s="382">
        <v>2692.8</v>
      </c>
    </row>
    <row r="23" spans="1:14" ht="14.4" customHeight="1" x14ac:dyDescent="0.3">
      <c r="A23" s="377" t="s">
        <v>377</v>
      </c>
      <c r="B23" s="378" t="s">
        <v>470</v>
      </c>
      <c r="C23" s="379" t="s">
        <v>383</v>
      </c>
      <c r="D23" s="380" t="s">
        <v>471</v>
      </c>
      <c r="E23" s="379" t="s">
        <v>391</v>
      </c>
      <c r="F23" s="380" t="s">
        <v>473</v>
      </c>
      <c r="G23" s="379" t="s">
        <v>392</v>
      </c>
      <c r="H23" s="379" t="s">
        <v>449</v>
      </c>
      <c r="I23" s="379" t="s">
        <v>110</v>
      </c>
      <c r="J23" s="379" t="s">
        <v>450</v>
      </c>
      <c r="K23" s="379" t="s">
        <v>451</v>
      </c>
      <c r="L23" s="381">
        <v>40.661808434255256</v>
      </c>
      <c r="M23" s="381">
        <v>8</v>
      </c>
      <c r="N23" s="382">
        <v>325.29446747404205</v>
      </c>
    </row>
    <row r="24" spans="1:14" ht="14.4" customHeight="1" x14ac:dyDescent="0.3">
      <c r="A24" s="377" t="s">
        <v>377</v>
      </c>
      <c r="B24" s="378" t="s">
        <v>470</v>
      </c>
      <c r="C24" s="379" t="s">
        <v>383</v>
      </c>
      <c r="D24" s="380" t="s">
        <v>471</v>
      </c>
      <c r="E24" s="379" t="s">
        <v>391</v>
      </c>
      <c r="F24" s="380" t="s">
        <v>473</v>
      </c>
      <c r="G24" s="379" t="s">
        <v>392</v>
      </c>
      <c r="H24" s="379" t="s">
        <v>452</v>
      </c>
      <c r="I24" s="379" t="s">
        <v>452</v>
      </c>
      <c r="J24" s="379" t="s">
        <v>453</v>
      </c>
      <c r="K24" s="379" t="s">
        <v>454</v>
      </c>
      <c r="L24" s="381">
        <v>58.510000000000012</v>
      </c>
      <c r="M24" s="381">
        <v>3</v>
      </c>
      <c r="N24" s="382">
        <v>175.53000000000003</v>
      </c>
    </row>
    <row r="25" spans="1:14" ht="14.4" customHeight="1" x14ac:dyDescent="0.3">
      <c r="A25" s="377" t="s">
        <v>377</v>
      </c>
      <c r="B25" s="378" t="s">
        <v>470</v>
      </c>
      <c r="C25" s="379" t="s">
        <v>383</v>
      </c>
      <c r="D25" s="380" t="s">
        <v>471</v>
      </c>
      <c r="E25" s="379" t="s">
        <v>391</v>
      </c>
      <c r="F25" s="380" t="s">
        <v>473</v>
      </c>
      <c r="G25" s="379" t="s">
        <v>392</v>
      </c>
      <c r="H25" s="379" t="s">
        <v>455</v>
      </c>
      <c r="I25" s="379" t="s">
        <v>455</v>
      </c>
      <c r="J25" s="379" t="s">
        <v>456</v>
      </c>
      <c r="K25" s="379" t="s">
        <v>457</v>
      </c>
      <c r="L25" s="381">
        <v>4820.5200000000004</v>
      </c>
      <c r="M25" s="381">
        <v>2</v>
      </c>
      <c r="N25" s="382">
        <v>9641.0400000000009</v>
      </c>
    </row>
    <row r="26" spans="1:14" ht="14.4" customHeight="1" x14ac:dyDescent="0.3">
      <c r="A26" s="377" t="s">
        <v>377</v>
      </c>
      <c r="B26" s="378" t="s">
        <v>470</v>
      </c>
      <c r="C26" s="379" t="s">
        <v>383</v>
      </c>
      <c r="D26" s="380" t="s">
        <v>471</v>
      </c>
      <c r="E26" s="379" t="s">
        <v>458</v>
      </c>
      <c r="F26" s="380" t="s">
        <v>474</v>
      </c>
      <c r="G26" s="379" t="s">
        <v>392</v>
      </c>
      <c r="H26" s="379" t="s">
        <v>459</v>
      </c>
      <c r="I26" s="379" t="s">
        <v>460</v>
      </c>
      <c r="J26" s="379" t="s">
        <v>461</v>
      </c>
      <c r="K26" s="379" t="s">
        <v>462</v>
      </c>
      <c r="L26" s="381">
        <v>70.086611152350386</v>
      </c>
      <c r="M26" s="381">
        <v>12</v>
      </c>
      <c r="N26" s="382">
        <v>841.03933382820469</v>
      </c>
    </row>
    <row r="27" spans="1:14" ht="14.4" customHeight="1" x14ac:dyDescent="0.3">
      <c r="A27" s="377" t="s">
        <v>377</v>
      </c>
      <c r="B27" s="378" t="s">
        <v>470</v>
      </c>
      <c r="C27" s="379" t="s">
        <v>383</v>
      </c>
      <c r="D27" s="380" t="s">
        <v>471</v>
      </c>
      <c r="E27" s="379" t="s">
        <v>458</v>
      </c>
      <c r="F27" s="380" t="s">
        <v>474</v>
      </c>
      <c r="G27" s="379" t="s">
        <v>392</v>
      </c>
      <c r="H27" s="379" t="s">
        <v>463</v>
      </c>
      <c r="I27" s="379" t="s">
        <v>464</v>
      </c>
      <c r="J27" s="379" t="s">
        <v>465</v>
      </c>
      <c r="K27" s="379" t="s">
        <v>462</v>
      </c>
      <c r="L27" s="381">
        <v>60.149749113674524</v>
      </c>
      <c r="M27" s="381">
        <v>6</v>
      </c>
      <c r="N27" s="382">
        <v>360.89849468204716</v>
      </c>
    </row>
    <row r="28" spans="1:14" ht="14.4" customHeight="1" x14ac:dyDescent="0.3">
      <c r="A28" s="377" t="s">
        <v>377</v>
      </c>
      <c r="B28" s="378" t="s">
        <v>470</v>
      </c>
      <c r="C28" s="379" t="s">
        <v>383</v>
      </c>
      <c r="D28" s="380" t="s">
        <v>471</v>
      </c>
      <c r="E28" s="379" t="s">
        <v>458</v>
      </c>
      <c r="F28" s="380" t="s">
        <v>474</v>
      </c>
      <c r="G28" s="379" t="s">
        <v>466</v>
      </c>
      <c r="H28" s="379" t="s">
        <v>467</v>
      </c>
      <c r="I28" s="379" t="s">
        <v>467</v>
      </c>
      <c r="J28" s="379" t="s">
        <v>468</v>
      </c>
      <c r="K28" s="379" t="s">
        <v>469</v>
      </c>
      <c r="L28" s="381">
        <v>1936.22</v>
      </c>
      <c r="M28" s="381">
        <v>1</v>
      </c>
      <c r="N28" s="382">
        <v>1936.22</v>
      </c>
    </row>
    <row r="29" spans="1:14" ht="14.4" customHeight="1" thickBot="1" x14ac:dyDescent="0.35">
      <c r="A29" s="383" t="s">
        <v>377</v>
      </c>
      <c r="B29" s="384" t="s">
        <v>470</v>
      </c>
      <c r="C29" s="385" t="s">
        <v>388</v>
      </c>
      <c r="D29" s="386" t="s">
        <v>472</v>
      </c>
      <c r="E29" s="385" t="s">
        <v>391</v>
      </c>
      <c r="F29" s="386" t="s">
        <v>473</v>
      </c>
      <c r="G29" s="385" t="s">
        <v>392</v>
      </c>
      <c r="H29" s="385" t="s">
        <v>434</v>
      </c>
      <c r="I29" s="385" t="s">
        <v>110</v>
      </c>
      <c r="J29" s="385" t="s">
        <v>435</v>
      </c>
      <c r="K29" s="385"/>
      <c r="L29" s="387">
        <v>81.604581232098994</v>
      </c>
      <c r="M29" s="387">
        <v>3</v>
      </c>
      <c r="N29" s="388">
        <v>244.81374369629697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7" customWidth="1"/>
    <col min="2" max="2" width="10" style="175" customWidth="1"/>
    <col min="3" max="3" width="5.5546875" style="178" customWidth="1"/>
    <col min="4" max="4" width="10" style="175" customWidth="1"/>
    <col min="5" max="5" width="5.5546875" style="178" customWidth="1"/>
    <col min="6" max="6" width="10" style="175" customWidth="1"/>
    <col min="7" max="16384" width="8.88671875" style="107"/>
  </cols>
  <sheetData>
    <row r="1" spans="1:6" ht="37.200000000000003" customHeight="1" thickBot="1" x14ac:dyDescent="0.4">
      <c r="A1" s="311" t="s">
        <v>108</v>
      </c>
      <c r="B1" s="312"/>
      <c r="C1" s="312"/>
      <c r="D1" s="312"/>
      <c r="E1" s="312"/>
      <c r="F1" s="312"/>
    </row>
    <row r="2" spans="1:6" ht="14.4" customHeight="1" thickBot="1" x14ac:dyDescent="0.35">
      <c r="A2" s="188" t="s">
        <v>219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3" t="s">
        <v>80</v>
      </c>
      <c r="C3" s="314"/>
      <c r="D3" s="315" t="s">
        <v>79</v>
      </c>
      <c r="E3" s="314"/>
      <c r="F3" s="70" t="s">
        <v>3</v>
      </c>
    </row>
    <row r="4" spans="1:6" ht="14.4" customHeight="1" thickBot="1" x14ac:dyDescent="0.35">
      <c r="A4" s="389" t="s">
        <v>92</v>
      </c>
      <c r="B4" s="390" t="s">
        <v>14</v>
      </c>
      <c r="C4" s="391" t="s">
        <v>2</v>
      </c>
      <c r="D4" s="390" t="s">
        <v>14</v>
      </c>
      <c r="E4" s="391" t="s">
        <v>2</v>
      </c>
      <c r="F4" s="392" t="s">
        <v>14</v>
      </c>
    </row>
    <row r="5" spans="1:6" ht="14.4" customHeight="1" thickBot="1" x14ac:dyDescent="0.35">
      <c r="A5" s="403" t="s">
        <v>475</v>
      </c>
      <c r="B5" s="369"/>
      <c r="C5" s="393">
        <v>0</v>
      </c>
      <c r="D5" s="369">
        <v>1936.22</v>
      </c>
      <c r="E5" s="393">
        <v>1</v>
      </c>
      <c r="F5" s="370">
        <v>1936.22</v>
      </c>
    </row>
    <row r="6" spans="1:6" ht="14.4" customHeight="1" thickBot="1" x14ac:dyDescent="0.35">
      <c r="A6" s="399" t="s">
        <v>3</v>
      </c>
      <c r="B6" s="400"/>
      <c r="C6" s="401">
        <v>0</v>
      </c>
      <c r="D6" s="400">
        <v>1936.22</v>
      </c>
      <c r="E6" s="401">
        <v>1</v>
      </c>
      <c r="F6" s="402">
        <v>1936.22</v>
      </c>
    </row>
    <row r="7" spans="1:6" ht="14.4" customHeight="1" thickBot="1" x14ac:dyDescent="0.35"/>
    <row r="8" spans="1:6" ht="14.4" customHeight="1" thickBot="1" x14ac:dyDescent="0.35">
      <c r="A8" s="403" t="s">
        <v>476</v>
      </c>
      <c r="B8" s="369"/>
      <c r="C8" s="393">
        <v>0</v>
      </c>
      <c r="D8" s="369">
        <v>1936.22</v>
      </c>
      <c r="E8" s="393">
        <v>1</v>
      </c>
      <c r="F8" s="370">
        <v>1936.22</v>
      </c>
    </row>
    <row r="9" spans="1:6" ht="14.4" customHeight="1" thickBot="1" x14ac:dyDescent="0.35">
      <c r="A9" s="399" t="s">
        <v>3</v>
      </c>
      <c r="B9" s="400"/>
      <c r="C9" s="401">
        <v>0</v>
      </c>
      <c r="D9" s="400">
        <v>1936.22</v>
      </c>
      <c r="E9" s="401">
        <v>1</v>
      </c>
      <c r="F9" s="402">
        <v>1936.22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7" bestFit="1" customWidth="1"/>
    <col min="2" max="2" width="8.88671875" style="107" bestFit="1" customWidth="1"/>
    <col min="3" max="3" width="7" style="107" bestFit="1" customWidth="1"/>
    <col min="4" max="4" width="53.44140625" style="107" bestFit="1" customWidth="1"/>
    <col min="5" max="5" width="28.44140625" style="107" bestFit="1" customWidth="1"/>
    <col min="6" max="6" width="6.6640625" style="175" customWidth="1"/>
    <col min="7" max="7" width="10" style="175" customWidth="1"/>
    <col min="8" max="8" width="6.77734375" style="178" bestFit="1" customWidth="1"/>
    <col min="9" max="9" width="6.6640625" style="175" customWidth="1"/>
    <col min="10" max="10" width="10" style="175" customWidth="1"/>
    <col min="11" max="11" width="6.77734375" style="178" bestFit="1" customWidth="1"/>
    <col min="12" max="12" width="6.6640625" style="175" customWidth="1"/>
    <col min="13" max="13" width="10" style="175" customWidth="1"/>
    <col min="14" max="16384" width="8.88671875" style="107"/>
  </cols>
  <sheetData>
    <row r="1" spans="1:13" ht="18.600000000000001" customHeight="1" thickBot="1" x14ac:dyDescent="0.4">
      <c r="A1" s="312" t="s">
        <v>478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274"/>
      <c r="M1" s="274"/>
    </row>
    <row r="2" spans="1:13" ht="14.4" customHeight="1" thickBot="1" x14ac:dyDescent="0.35">
      <c r="A2" s="188" t="s">
        <v>219</v>
      </c>
      <c r="B2" s="174"/>
      <c r="C2" s="174"/>
      <c r="D2" s="174"/>
      <c r="E2" s="174"/>
      <c r="F2" s="182"/>
      <c r="G2" s="182"/>
      <c r="H2" s="183"/>
      <c r="I2" s="182"/>
      <c r="J2" s="182"/>
      <c r="K2" s="183"/>
      <c r="L2" s="182"/>
    </row>
    <row r="3" spans="1:13" ht="14.4" customHeight="1" thickBot="1" x14ac:dyDescent="0.35">
      <c r="E3" s="69" t="s">
        <v>78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1936.22</v>
      </c>
      <c r="K3" s="44">
        <f>IF(M3=0,0,J3/M3)</f>
        <v>1</v>
      </c>
      <c r="L3" s="43">
        <f>SUBTOTAL(9,L6:L1048576)</f>
        <v>1</v>
      </c>
      <c r="M3" s="45">
        <f>SUBTOTAL(9,M6:M1048576)</f>
        <v>1936.22</v>
      </c>
    </row>
    <row r="4" spans="1:13" ht="14.4" customHeight="1" thickBot="1" x14ac:dyDescent="0.35">
      <c r="A4" s="41"/>
      <c r="B4" s="41"/>
      <c r="C4" s="41"/>
      <c r="D4" s="41"/>
      <c r="E4" s="42"/>
      <c r="F4" s="316" t="s">
        <v>80</v>
      </c>
      <c r="G4" s="317"/>
      <c r="H4" s="318"/>
      <c r="I4" s="319" t="s">
        <v>79</v>
      </c>
      <c r="J4" s="317"/>
      <c r="K4" s="318"/>
      <c r="L4" s="320" t="s">
        <v>3</v>
      </c>
      <c r="M4" s="321"/>
    </row>
    <row r="5" spans="1:13" ht="14.4" customHeight="1" thickBot="1" x14ac:dyDescent="0.35">
      <c r="A5" s="389" t="s">
        <v>81</v>
      </c>
      <c r="B5" s="405" t="s">
        <v>82</v>
      </c>
      <c r="C5" s="405" t="s">
        <v>57</v>
      </c>
      <c r="D5" s="405" t="s">
        <v>83</v>
      </c>
      <c r="E5" s="405" t="s">
        <v>84</v>
      </c>
      <c r="F5" s="406" t="s">
        <v>15</v>
      </c>
      <c r="G5" s="406" t="s">
        <v>14</v>
      </c>
      <c r="H5" s="391" t="s">
        <v>85</v>
      </c>
      <c r="I5" s="390" t="s">
        <v>15</v>
      </c>
      <c r="J5" s="406" t="s">
        <v>14</v>
      </c>
      <c r="K5" s="391" t="s">
        <v>85</v>
      </c>
      <c r="L5" s="390" t="s">
        <v>15</v>
      </c>
      <c r="M5" s="407" t="s">
        <v>14</v>
      </c>
    </row>
    <row r="6" spans="1:13" ht="14.4" customHeight="1" thickBot="1" x14ac:dyDescent="0.35">
      <c r="A6" s="396" t="s">
        <v>383</v>
      </c>
      <c r="B6" s="408" t="s">
        <v>477</v>
      </c>
      <c r="C6" s="408" t="s">
        <v>467</v>
      </c>
      <c r="D6" s="408" t="s">
        <v>468</v>
      </c>
      <c r="E6" s="408" t="s">
        <v>469</v>
      </c>
      <c r="F6" s="397"/>
      <c r="G6" s="397"/>
      <c r="H6" s="256">
        <v>0</v>
      </c>
      <c r="I6" s="397">
        <v>1</v>
      </c>
      <c r="J6" s="397">
        <v>1936.22</v>
      </c>
      <c r="K6" s="256">
        <v>1</v>
      </c>
      <c r="L6" s="397">
        <v>1</v>
      </c>
      <c r="M6" s="398">
        <v>1936.22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2015-03-21T00:25:41Z</dcterms:modified>
</cp:coreProperties>
</file>