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Man Tab" sheetId="366" r:id="rId4"/>
    <sheet name="HV" sheetId="367" r:id="rId5"/>
    <sheet name="Léky Žádanky" sheetId="219" r:id="rId6"/>
    <sheet name="LŽ Detail" sheetId="220" r:id="rId7"/>
    <sheet name="LŽ PL" sheetId="380" r:id="rId8"/>
    <sheet name="LŽ PL Detail" sheetId="387" r:id="rId9"/>
    <sheet name="LŽ Statim" sheetId="427" r:id="rId10"/>
    <sheet name="Materiál Žádanky" sheetId="420" r:id="rId11"/>
    <sheet name="MŽ Detail" sheetId="403" r:id="rId12"/>
    <sheet name="Osobní náklady" sheetId="419" r:id="rId13"/>
    <sheet name="ON Data" sheetId="418" state="hidden" r:id="rId14"/>
  </sheets>
  <definedNames>
    <definedName name="_xlnm._FilterDatabase" localSheetId="4" hidden="1">HV!$A$5:$A$5</definedName>
    <definedName name="_xlnm._FilterDatabase" localSheetId="5" hidden="1">'Léky Žádanky'!$A$4:$I$4</definedName>
    <definedName name="_xlnm._FilterDatabase" localSheetId="6" hidden="1">'LŽ Detail'!$A$4:$N$4</definedName>
    <definedName name="_xlnm._FilterDatabase" localSheetId="7" hidden="1">'LŽ PL'!$A$4:$F$15</definedName>
    <definedName name="_xlnm._FilterDatabase" localSheetId="8" hidden="1">'LŽ PL Detail'!$A$5:$M$374</definedName>
    <definedName name="_xlnm._FilterDatabase" localSheetId="9" hidden="1">'LŽ Statim'!$A$5:$I$5</definedName>
    <definedName name="_xlnm._FilterDatabase" localSheetId="3" hidden="1">'Man Tab'!$A$5:$A$31</definedName>
    <definedName name="_xlnm._FilterDatabase" localSheetId="10" hidden="1">'Materiál Žádanky'!$A$4:$I$4</definedName>
    <definedName name="_xlnm._FilterDatabase" localSheetId="11" hidden="1">'MŽ Detail'!$A$4:$K$4</definedName>
    <definedName name="doměsíce">#REF!</definedName>
  </definedNames>
  <calcPr calcId="152511"/>
</workbook>
</file>

<file path=xl/calcChain.xml><?xml version="1.0" encoding="utf-8"?>
<calcChain xmlns="http://schemas.openxmlformats.org/spreadsheetml/2006/main">
  <c r="A9" i="414" l="1"/>
  <c r="A8" i="414"/>
  <c r="A7" i="414"/>
  <c r="AH21" i="419" l="1"/>
  <c r="AH22" i="419" s="1"/>
  <c r="AG21" i="419"/>
  <c r="AG22" i="419" s="1"/>
  <c r="AF21" i="419"/>
  <c r="AE21" i="419"/>
  <c r="AD21" i="419"/>
  <c r="AC21" i="419"/>
  <c r="AC22" i="419" s="1"/>
  <c r="AB21" i="419"/>
  <c r="AA21" i="419"/>
  <c r="Z21" i="419"/>
  <c r="Y21" i="419"/>
  <c r="Y22" i="419" s="1"/>
  <c r="X21" i="419"/>
  <c r="W21" i="419"/>
  <c r="W22" i="419" s="1"/>
  <c r="V21" i="419"/>
  <c r="V22" i="419" s="1"/>
  <c r="U21" i="419"/>
  <c r="U22" i="419" s="1"/>
  <c r="T21" i="419"/>
  <c r="S21" i="419"/>
  <c r="R21" i="419"/>
  <c r="Q21" i="419"/>
  <c r="Q22" i="419" s="1"/>
  <c r="P21" i="419"/>
  <c r="O21" i="419"/>
  <c r="O22" i="419" s="1"/>
  <c r="N21" i="419"/>
  <c r="M21" i="419"/>
  <c r="M22" i="419" s="1"/>
  <c r="L21" i="419"/>
  <c r="K21" i="419"/>
  <c r="J21" i="419"/>
  <c r="I21" i="419"/>
  <c r="I22" i="419" s="1"/>
  <c r="H21" i="419"/>
  <c r="AH20" i="419"/>
  <c r="AG20" i="419"/>
  <c r="AF20" i="419"/>
  <c r="AE20" i="419"/>
  <c r="AD20" i="419"/>
  <c r="AC20" i="419"/>
  <c r="AB20" i="419"/>
  <c r="AA20" i="419"/>
  <c r="Z20" i="419"/>
  <c r="Y20" i="419"/>
  <c r="X20" i="419"/>
  <c r="W20" i="419"/>
  <c r="V20" i="419"/>
  <c r="U20" i="419"/>
  <c r="T20" i="419"/>
  <c r="S20" i="419"/>
  <c r="R20" i="419"/>
  <c r="Q20" i="419"/>
  <c r="P20" i="419"/>
  <c r="O20" i="419"/>
  <c r="N20" i="419"/>
  <c r="M20" i="419"/>
  <c r="L20" i="419"/>
  <c r="K20" i="419"/>
  <c r="J20" i="419"/>
  <c r="I20" i="419"/>
  <c r="H20" i="419"/>
  <c r="AH19" i="419"/>
  <c r="AG19" i="419"/>
  <c r="AF19" i="419"/>
  <c r="AE19" i="419"/>
  <c r="AD19" i="419"/>
  <c r="AC19" i="419"/>
  <c r="AB19" i="419"/>
  <c r="AA19" i="419"/>
  <c r="Z19" i="419"/>
  <c r="Y19" i="419"/>
  <c r="X19" i="419"/>
  <c r="W19" i="419"/>
  <c r="V19" i="419"/>
  <c r="U19" i="419"/>
  <c r="T19" i="419"/>
  <c r="S19" i="419"/>
  <c r="R19" i="419"/>
  <c r="Q19" i="419"/>
  <c r="P19" i="419"/>
  <c r="O19" i="419"/>
  <c r="N19" i="419"/>
  <c r="M19" i="419"/>
  <c r="L19" i="419"/>
  <c r="K19" i="419"/>
  <c r="J19" i="419"/>
  <c r="I19" i="419"/>
  <c r="H19" i="419"/>
  <c r="AH17" i="419"/>
  <c r="AG17" i="419"/>
  <c r="AF17" i="419"/>
  <c r="AE17" i="419"/>
  <c r="AD17" i="419"/>
  <c r="AC17" i="419"/>
  <c r="AB17" i="419"/>
  <c r="AA17" i="419"/>
  <c r="Z17" i="419"/>
  <c r="Y17" i="419"/>
  <c r="X17" i="419"/>
  <c r="W17" i="419"/>
  <c r="V17" i="419"/>
  <c r="U17" i="419"/>
  <c r="T17" i="419"/>
  <c r="S17" i="419"/>
  <c r="R17" i="419"/>
  <c r="Q17" i="419"/>
  <c r="P17" i="419"/>
  <c r="O17" i="419"/>
  <c r="N17" i="419"/>
  <c r="M17" i="419"/>
  <c r="L17" i="419"/>
  <c r="K17" i="419"/>
  <c r="J17" i="419"/>
  <c r="I17" i="419"/>
  <c r="H17" i="419"/>
  <c r="AH16" i="419"/>
  <c r="AG16" i="419"/>
  <c r="AF16" i="419"/>
  <c r="AF18" i="419" s="1"/>
  <c r="AE16" i="419"/>
  <c r="AD16" i="419"/>
  <c r="AD18" i="419" s="1"/>
  <c r="AC16" i="419"/>
  <c r="AB16" i="419"/>
  <c r="AB18" i="419" s="1"/>
  <c r="AA16" i="419"/>
  <c r="Z16" i="419"/>
  <c r="Z18" i="419" s="1"/>
  <c r="Y16" i="419"/>
  <c r="X16" i="419"/>
  <c r="X18" i="419" s="1"/>
  <c r="W16" i="419"/>
  <c r="V16" i="419"/>
  <c r="U16" i="419"/>
  <c r="T16" i="419"/>
  <c r="T18" i="419" s="1"/>
  <c r="S16" i="419"/>
  <c r="R16" i="419"/>
  <c r="R18" i="419" s="1"/>
  <c r="Q16" i="419"/>
  <c r="P16" i="419"/>
  <c r="P18" i="419" s="1"/>
  <c r="O16" i="419"/>
  <c r="N16" i="419"/>
  <c r="N18" i="419" s="1"/>
  <c r="M16" i="419"/>
  <c r="L16" i="419"/>
  <c r="L18" i="419" s="1"/>
  <c r="K16" i="419"/>
  <c r="J16" i="419"/>
  <c r="J18" i="419" s="1"/>
  <c r="I16" i="419"/>
  <c r="H16" i="419"/>
  <c r="H18" i="419" s="1"/>
  <c r="AH14" i="419"/>
  <c r="AG14" i="419"/>
  <c r="AF14" i="419"/>
  <c r="AE14" i="419"/>
  <c r="AD14" i="419"/>
  <c r="AC14" i="419"/>
  <c r="AB14" i="419"/>
  <c r="AA14" i="419"/>
  <c r="Z14" i="419"/>
  <c r="Y14" i="419"/>
  <c r="X14" i="419"/>
  <c r="W14" i="419"/>
  <c r="V14" i="419"/>
  <c r="U14" i="419"/>
  <c r="T14" i="419"/>
  <c r="S14" i="419"/>
  <c r="R14" i="419"/>
  <c r="Q14" i="419"/>
  <c r="P14" i="419"/>
  <c r="O14" i="419"/>
  <c r="N14" i="419"/>
  <c r="M14" i="419"/>
  <c r="L14" i="419"/>
  <c r="K14" i="419"/>
  <c r="J14" i="419"/>
  <c r="I14" i="419"/>
  <c r="H14" i="419"/>
  <c r="AH13" i="419"/>
  <c r="AG13" i="419"/>
  <c r="AF13" i="419"/>
  <c r="AE13" i="419"/>
  <c r="AD13" i="419"/>
  <c r="AC13" i="419"/>
  <c r="AB13" i="419"/>
  <c r="AA13" i="419"/>
  <c r="Z13" i="419"/>
  <c r="Y13" i="419"/>
  <c r="X13" i="419"/>
  <c r="W13" i="419"/>
  <c r="V13" i="419"/>
  <c r="U13" i="419"/>
  <c r="T13" i="419"/>
  <c r="S13" i="419"/>
  <c r="R13" i="419"/>
  <c r="Q13" i="419"/>
  <c r="P13" i="419"/>
  <c r="O13" i="419"/>
  <c r="N13" i="419"/>
  <c r="M13" i="419"/>
  <c r="L13" i="419"/>
  <c r="K13" i="419"/>
  <c r="J13" i="419"/>
  <c r="I13" i="419"/>
  <c r="H13" i="419"/>
  <c r="AH12" i="419"/>
  <c r="AG12" i="419"/>
  <c r="AF12" i="419"/>
  <c r="AE12" i="419"/>
  <c r="AD12" i="419"/>
  <c r="AC12" i="419"/>
  <c r="AB12" i="419"/>
  <c r="AA12" i="419"/>
  <c r="Z12" i="419"/>
  <c r="Y12" i="419"/>
  <c r="X12" i="419"/>
  <c r="W12" i="419"/>
  <c r="V12" i="419"/>
  <c r="U12" i="419"/>
  <c r="T12" i="419"/>
  <c r="S12" i="419"/>
  <c r="R12" i="419"/>
  <c r="Q12" i="419"/>
  <c r="P12" i="419"/>
  <c r="O12" i="419"/>
  <c r="N12" i="419"/>
  <c r="M12" i="419"/>
  <c r="L12" i="419"/>
  <c r="K12" i="419"/>
  <c r="J12" i="419"/>
  <c r="I12" i="419"/>
  <c r="H12" i="419"/>
  <c r="AH11" i="419"/>
  <c r="AG11" i="419"/>
  <c r="AF11" i="419"/>
  <c r="AE11" i="419"/>
  <c r="AD11" i="419"/>
  <c r="AC11" i="419"/>
  <c r="AB11" i="419"/>
  <c r="AA11" i="419"/>
  <c r="Z11" i="419"/>
  <c r="Y11" i="419"/>
  <c r="X11" i="419"/>
  <c r="W11" i="419"/>
  <c r="V11" i="419"/>
  <c r="U11" i="419"/>
  <c r="T11" i="419"/>
  <c r="S11" i="419"/>
  <c r="R11" i="419"/>
  <c r="Q11" i="419"/>
  <c r="P11" i="419"/>
  <c r="O11" i="419"/>
  <c r="N11" i="419"/>
  <c r="M11" i="419"/>
  <c r="L11" i="419"/>
  <c r="K11" i="419"/>
  <c r="J11" i="419"/>
  <c r="I11" i="419"/>
  <c r="H11" i="419"/>
  <c r="J23" i="419" l="1"/>
  <c r="N23" i="419"/>
  <c r="R23" i="419"/>
  <c r="Z23" i="419"/>
  <c r="AD23" i="419"/>
  <c r="V18" i="419"/>
  <c r="N22" i="419"/>
  <c r="AD22" i="419"/>
  <c r="M23" i="419"/>
  <c r="U23" i="419"/>
  <c r="AC23" i="419"/>
  <c r="I18" i="419"/>
  <c r="M18" i="419"/>
  <c r="Q18" i="419"/>
  <c r="U18" i="419"/>
  <c r="Y18" i="419"/>
  <c r="AC18" i="419"/>
  <c r="AG18" i="419"/>
  <c r="K23" i="419"/>
  <c r="S23" i="419"/>
  <c r="AA23" i="419"/>
  <c r="AE23" i="419"/>
  <c r="R22" i="419"/>
  <c r="V23" i="419"/>
  <c r="H23" i="419"/>
  <c r="L23" i="419"/>
  <c r="P23" i="419"/>
  <c r="T23" i="419"/>
  <c r="X23" i="419"/>
  <c r="AB23" i="419"/>
  <c r="AF23" i="419"/>
  <c r="I23" i="419"/>
  <c r="Q23" i="419"/>
  <c r="Y23" i="419"/>
  <c r="AG23" i="419"/>
  <c r="K18" i="419"/>
  <c r="O18" i="419"/>
  <c r="S18" i="419"/>
  <c r="W18" i="419"/>
  <c r="AA18" i="419"/>
  <c r="AE18" i="419"/>
  <c r="AH18" i="419"/>
  <c r="J22" i="419"/>
  <c r="Z22" i="419"/>
  <c r="K22" i="419"/>
  <c r="S22" i="419"/>
  <c r="AA22" i="419"/>
  <c r="AE22" i="419"/>
  <c r="H22" i="419"/>
  <c r="L22" i="419"/>
  <c r="P22" i="419"/>
  <c r="T22" i="419"/>
  <c r="X22" i="419"/>
  <c r="AB22" i="419"/>
  <c r="AF22" i="419"/>
  <c r="O23" i="419"/>
  <c r="W23" i="419"/>
  <c r="AH23" i="419"/>
  <c r="M3" i="418"/>
  <c r="G21" i="419" l="1"/>
  <c r="G22" i="419" s="1"/>
  <c r="F21" i="419"/>
  <c r="F22" i="419" s="1"/>
  <c r="E21" i="419"/>
  <c r="D21" i="419"/>
  <c r="D22" i="419" s="1"/>
  <c r="C21" i="419"/>
  <c r="C22" i="419" s="1"/>
  <c r="G20" i="419"/>
  <c r="F20" i="419"/>
  <c r="E20" i="419"/>
  <c r="D20" i="419"/>
  <c r="C20" i="419"/>
  <c r="G19" i="419"/>
  <c r="F19" i="419"/>
  <c r="E19" i="419"/>
  <c r="D19" i="419"/>
  <c r="C19" i="419"/>
  <c r="G17" i="419"/>
  <c r="F17" i="419"/>
  <c r="E17" i="419"/>
  <c r="D17" i="419"/>
  <c r="C17" i="419"/>
  <c r="G16" i="419"/>
  <c r="F16" i="419"/>
  <c r="E16" i="419"/>
  <c r="D16" i="419"/>
  <c r="C16" i="419"/>
  <c r="G14" i="419"/>
  <c r="F14" i="419"/>
  <c r="E14" i="419"/>
  <c r="D14" i="419"/>
  <c r="C14" i="419"/>
  <c r="G13" i="419"/>
  <c r="F13" i="419"/>
  <c r="E13" i="419"/>
  <c r="D13" i="419"/>
  <c r="C13" i="419"/>
  <c r="G12" i="419"/>
  <c r="F12" i="419"/>
  <c r="E12" i="419"/>
  <c r="D12" i="419"/>
  <c r="C12" i="419"/>
  <c r="G11" i="419"/>
  <c r="F11" i="419"/>
  <c r="E11" i="419"/>
  <c r="D11" i="419"/>
  <c r="C11" i="419"/>
  <c r="E18" i="419" l="1"/>
  <c r="E23" i="419"/>
  <c r="D18" i="419"/>
  <c r="G18" i="419"/>
  <c r="C18" i="419"/>
  <c r="F18" i="419"/>
  <c r="C23" i="419"/>
  <c r="F23" i="419"/>
  <c r="E22" i="419"/>
  <c r="D23" i="419"/>
  <c r="G23" i="419"/>
  <c r="B21" i="419"/>
  <c r="B22" i="419" l="1"/>
  <c r="A14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AH26" i="419" l="1"/>
  <c r="AH25" i="419"/>
  <c r="A15" i="383" l="1"/>
  <c r="A10" i="383"/>
  <c r="AO3" i="418" l="1"/>
  <c r="AN3" i="418"/>
  <c r="AM3" i="418"/>
  <c r="AL3" i="418"/>
  <c r="AK3" i="418"/>
  <c r="AJ3" i="418"/>
  <c r="AI3" i="418"/>
  <c r="AH3" i="418"/>
  <c r="AG3" i="418"/>
  <c r="AF3" i="418"/>
  <c r="AE3" i="418"/>
  <c r="AD3" i="418"/>
  <c r="AC3" i="418"/>
  <c r="AB3" i="418"/>
  <c r="AA3" i="418"/>
  <c r="Z3" i="418"/>
  <c r="Y3" i="418"/>
  <c r="X3" i="418"/>
  <c r="W3" i="418"/>
  <c r="V3" i="418"/>
  <c r="U3" i="418"/>
  <c r="T3" i="418"/>
  <c r="S3" i="418"/>
  <c r="C25" i="419" l="1"/>
  <c r="AH27" i="419" l="1"/>
  <c r="F26" i="419"/>
  <c r="C26" i="419"/>
  <c r="B26" i="419" l="1"/>
  <c r="C28" i="419"/>
  <c r="C27" i="419"/>
  <c r="R3" i="418"/>
  <c r="Q3" i="418"/>
  <c r="P3" i="418"/>
  <c r="O3" i="418"/>
  <c r="N3" i="418"/>
  <c r="L3" i="418"/>
  <c r="K3" i="418"/>
  <c r="J3" i="418"/>
  <c r="I3" i="418"/>
  <c r="H3" i="418"/>
  <c r="G3" i="418"/>
  <c r="F3" i="418"/>
  <c r="AH28" i="419" l="1"/>
  <c r="F25" i="419"/>
  <c r="F27" i="419" s="1"/>
  <c r="B25" i="419" l="1"/>
  <c r="B27" i="419" s="1"/>
  <c r="F28" i="419"/>
  <c r="B28" i="419" s="1"/>
  <c r="A7" i="339"/>
  <c r="D3" i="418" l="1"/>
  <c r="AG6" i="419" l="1"/>
  <c r="Y6" i="419"/>
  <c r="M6" i="419"/>
  <c r="AF6" i="419"/>
  <c r="AB6" i="419"/>
  <c r="X6" i="419"/>
  <c r="T6" i="419"/>
  <c r="P6" i="419"/>
  <c r="L6" i="419"/>
  <c r="H6" i="419"/>
  <c r="AH6" i="419"/>
  <c r="AE6" i="419"/>
  <c r="AA6" i="419"/>
  <c r="W6" i="419"/>
  <c r="S6" i="419"/>
  <c r="O6" i="419"/>
  <c r="K6" i="419"/>
  <c r="AD6" i="419"/>
  <c r="Z6" i="419"/>
  <c r="V6" i="419"/>
  <c r="R6" i="419"/>
  <c r="N6" i="419"/>
  <c r="J6" i="419"/>
  <c r="AC6" i="419"/>
  <c r="U6" i="419"/>
  <c r="Q6" i="419"/>
  <c r="I6" i="419"/>
  <c r="E6" i="419"/>
  <c r="G6" i="419"/>
  <c r="D6" i="419"/>
  <c r="F6" i="419"/>
  <c r="C6" i="419"/>
  <c r="B6" i="419"/>
  <c r="B20" i="419"/>
  <c r="B23" i="419" s="1"/>
  <c r="B19" i="419"/>
  <c r="B17" i="419"/>
  <c r="B16" i="419"/>
  <c r="B14" i="419"/>
  <c r="B13" i="419"/>
  <c r="B12" i="419"/>
  <c r="B11" i="419"/>
  <c r="B18" i="419" l="1"/>
  <c r="D13" i="414" l="1"/>
  <c r="D7" i="414"/>
  <c r="A16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18" i="414" l="1"/>
  <c r="A17" i="414"/>
  <c r="E11" i="339" l="1"/>
  <c r="B11" i="339"/>
  <c r="F11" i="339" l="1"/>
  <c r="C11" i="339"/>
  <c r="H11" i="339" l="1"/>
  <c r="G11" i="339"/>
  <c r="A13" i="414"/>
  <c r="A14" i="414"/>
  <c r="A4" i="414"/>
  <c r="A6" i="339" l="1"/>
  <c r="A5" i="339"/>
  <c r="D4" i="414"/>
  <c r="C17" i="414"/>
  <c r="C14" i="414"/>
  <c r="D14" i="414"/>
  <c r="D17" i="414"/>
  <c r="D8" i="414" l="1"/>
  <c r="C13" i="414" l="1"/>
  <c r="C7" i="414"/>
  <c r="E13" i="414" l="1"/>
  <c r="E7" i="414"/>
  <c r="E8" i="414"/>
  <c r="A13" i="383" l="1"/>
  <c r="K3" i="403" l="1"/>
  <c r="J3" i="403"/>
  <c r="I3" i="403" s="1"/>
  <c r="M3" i="220" l="1"/>
  <c r="E12" i="339" l="1"/>
  <c r="C12" i="339"/>
  <c r="B12" i="339"/>
  <c r="F12" i="339" s="1"/>
  <c r="M3" i="387"/>
  <c r="K3" i="387" s="1"/>
  <c r="L3" i="387"/>
  <c r="J3" i="387"/>
  <c r="I3" i="387"/>
  <c r="H3" i="387"/>
  <c r="G3" i="387"/>
  <c r="F3" i="387"/>
  <c r="N3" i="220"/>
  <c r="L3" i="220" s="1"/>
  <c r="C18" i="414"/>
  <c r="D18" i="414"/>
  <c r="F13" i="339" l="1"/>
  <c r="E13" i="339"/>
  <c r="E15" i="339" s="1"/>
  <c r="H12" i="339"/>
  <c r="G12" i="339"/>
  <c r="A4" i="383"/>
  <c r="A17" i="383"/>
  <c r="A16" i="383"/>
  <c r="A12" i="383"/>
  <c r="A11" i="383"/>
  <c r="A7" i="383"/>
  <c r="A6" i="383"/>
  <c r="A5" i="383"/>
  <c r="C13" i="339"/>
  <c r="C15" i="339" s="1"/>
  <c r="B13" i="339"/>
  <c r="B15" i="339" s="1"/>
  <c r="C4" i="414"/>
  <c r="D16" i="414"/>
  <c r="H13" i="339" l="1"/>
  <c r="F15" i="339"/>
  <c r="E14" i="414"/>
  <c r="E4" i="414"/>
  <c r="G13" i="339"/>
  <c r="G15" i="339" l="1"/>
  <c r="H15" i="339"/>
  <c r="E17" i="414"/>
  <c r="E18" i="414"/>
  <c r="C16" i="414"/>
  <c r="E16" i="414" l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<sst xmlns="http://schemas.openxmlformats.org/spreadsheetml/2006/main" count="4982" uniqueCount="1316">
  <si>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</si>
  <si>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</si>
  <si>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</si>
  <si>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</si>
  <si>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</si>
  <si>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</si>
  <si>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</si>
  <si>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</si>
  <si>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</si>
  <si>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</si>
  <si>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</si>
  <si>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</si>
  <si>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</si>
  <si>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</si>
  <si>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</si>
  <si>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</si>
  <si>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</si>
  <si>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</si>
  <si>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</si>
  <si>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</si>
  <si>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</si>
  <si>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</si>
  <si>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</si>
  <si>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</si>
  <si>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</si>
  <si>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</si>
  <si>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</si>
  <si>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</si>
  <si>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</si>
  <si>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</si>
  <si>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</si>
  <si>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</si>
  <si>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</si>
  <si>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</si>
  <si>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</si>
  <si>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</si>
  <si>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</si>
  <si>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</si>
  <si>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</si>
  <si>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</si>
  <si>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</si>
  <si>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</si>
  <si>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</si>
  <si>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</si>
  <si>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</si>
  <si>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</si>
  <si>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</si>
  <si>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</si>
  <si>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</si>
  <si>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</si>
  <si>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</si>
  <si>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</si>
  <si>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</si>
  <si>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</si>
  <si>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</si>
  <si>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</si>
  <si>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KL</t>
  </si>
  <si>
    <t>Kód</t>
  </si>
  <si>
    <t>Skutečnost</t>
  </si>
  <si>
    <t>Rozpočet</t>
  </si>
  <si>
    <t>Plnění</t>
  </si>
  <si>
    <t>Ostatní (Kč)</t>
  </si>
  <si>
    <t>Náklady celkem</t>
  </si>
  <si>
    <t>Výnosy celkem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</si>
  <si>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</si>
  <si>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</si>
  <si>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</si>
  <si>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</si>
  <si>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</si>
  <si>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</si>
  <si>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Man Tab</t>
  </si>
  <si>
    <t>Léky Žádanky</t>
  </si>
  <si>
    <t>LŽ Detail</t>
  </si>
  <si>
    <t>Materiál Žádanky</t>
  </si>
  <si>
    <t>MŽ Detail</t>
  </si>
  <si>
    <t>Osobní náklady</t>
  </si>
  <si>
    <t>Motivační kritéria</t>
  </si>
  <si>
    <t>Motivace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</si>
  <si>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</si>
  <si>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</si>
  <si>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</si>
  <si>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</si>
  <si>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</si>
  <si>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</si>
  <si>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</si>
  <si>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</si>
  <si>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Hospodaření zdravotnického pracoviště (v tisících)</t>
  </si>
  <si>
    <t>Spotřeba léčivých přípravků</t>
  </si>
  <si>
    <t>Spotřeba zdravotnického materiálu</t>
  </si>
  <si>
    <t>Přehledové sestavy</t>
  </si>
  <si>
    <t>Akt. měsíc</t>
  </si>
  <si>
    <t>Kč/ks</t>
  </si>
  <si>
    <t>NS / ATC</t>
  </si>
  <si>
    <t>LŽ PL</t>
  </si>
  <si>
    <t>LŽ PL Detail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</si>
  <si>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</si>
  <si>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</si>
  <si>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</si>
  <si>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</si>
  <si>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</si>
  <si>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</si>
  <si>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</si>
  <si>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</si>
  <si>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</si>
  <si>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</si>
  <si>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Rozpočet výnosů pro rok 2014 je stanoven jako 100% skutečnosti referenčního období (2012)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</si>
  <si>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</si>
  <si>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</si>
  <si>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</si>
  <si>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Pol</t>
  </si>
  <si>
    <t>0</t>
  </si>
  <si>
    <t>101</t>
  </si>
  <si>
    <t>102</t>
  </si>
  <si>
    <t>203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</si>
  <si>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</si>
  <si>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</si>
  <si>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</si>
  <si>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</si>
  <si>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</si>
  <si>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</si>
  <si>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</si>
  <si>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</si>
  <si>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</si>
  <si>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</si>
  <si>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</si>
  <si>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</si>
  <si>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</si>
  <si>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</si>
  <si>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dohody</t>
  </si>
  <si>
    <t>lékaři</t>
  </si>
  <si>
    <t>zubní lékaři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</si>
  <si>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</si>
  <si>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</si>
  <si>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</si>
  <si>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</si>
  <si>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</si>
  <si>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</si>
  <si>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</si>
  <si>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</si>
  <si>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</si>
  <si>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</si>
  <si>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</si>
  <si>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</si>
  <si>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</si>
  <si>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</si>
  <si>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</si>
  <si>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</si>
  <si>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</si>
  <si>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</si>
  <si>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</si>
  <si>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</si>
  <si>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lékaři, VŠ NLZP *</t>
  </si>
  <si>
    <t>NLZP *</t>
  </si>
  <si>
    <t>THP *</t>
  </si>
  <si>
    <t>Lékaři, VŠ NLZP = kategorie 101-203, 522-523, 525-529, 743-747</t>
  </si>
  <si>
    <t>NLZP = kategorie 305-520, 524, 530-642, 748-749</t>
  </si>
  <si>
    <t>THP = kategorie 930-940</t>
  </si>
  <si>
    <t>Rozpočet na vzdělávání je plánován na rok, měsíční plány jsou v tabulce dvanáctinou ročního rozpočtu</t>
  </si>
  <si>
    <t>všeobecné sestry</t>
  </si>
  <si>
    <t>porodní asistenti</t>
  </si>
  <si>
    <t>radiologičtí asistenti</t>
  </si>
  <si>
    <t>zdravotní laboranti</t>
  </si>
  <si>
    <t>zdravotně - sociální pracovníci</t>
  </si>
  <si>
    <t>nutriční terapeuti</t>
  </si>
  <si>
    <t>zubní technici</t>
  </si>
  <si>
    <t>zdravotničtí záchranáři</t>
  </si>
  <si>
    <t>farmaceutičtí asistenti</t>
  </si>
  <si>
    <t>biomedicínští technici</t>
  </si>
  <si>
    <t>radiologičtí technici</t>
  </si>
  <si>
    <t>psychologové a kliničtí psychologové</t>
  </si>
  <si>
    <t>kliničtí logopedové</t>
  </si>
  <si>
    <t>fyzioterapeuti</t>
  </si>
  <si>
    <t>radiologičtí fyzici</t>
  </si>
  <si>
    <t>odborní pracovníci v lab. metodách</t>
  </si>
  <si>
    <t>biomedicínští inženýři</t>
  </si>
  <si>
    <t>zdravotničtí asistenti</t>
  </si>
  <si>
    <t>ošetřovatelé</t>
  </si>
  <si>
    <t>maséři</t>
  </si>
  <si>
    <t>řidiči dopravy nemocných a raněných</t>
  </si>
  <si>
    <t>sanitáři</t>
  </si>
  <si>
    <t>psychologové</t>
  </si>
  <si>
    <t>abs. stud. oboru mat.-fyz. zaměření</t>
  </si>
  <si>
    <t>abs. stud. oboru přirodověd. zaměření</t>
  </si>
  <si>
    <t>odb. pracovníci v ochraně veřejného zdraví</t>
  </si>
  <si>
    <t>laboratorní asistenti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</si>
  <si>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</si>
  <si>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</si>
  <si>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</si>
  <si>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</si>
  <si>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</si>
  <si>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</si>
  <si>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</si>
  <si>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</si>
  <si>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</si>
  <si>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</si>
  <si>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</si>
  <si>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</si>
  <si>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</si>
  <si>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01/2015</t>
  </si>
  <si>
    <t>02/2015</t>
  </si>
  <si>
    <t>03/2015</t>
  </si>
  <si>
    <t>04/2015</t>
  </si>
  <si>
    <t>05/2015</t>
  </si>
  <si>
    <t>06/2015</t>
  </si>
  <si>
    <t>07/2015</t>
  </si>
  <si>
    <t>08/2015</t>
  </si>
  <si>
    <t>09/2015</t>
  </si>
  <si>
    <t>10/2015</t>
  </si>
  <si>
    <t>11/2015</t>
  </si>
  <si>
    <t>12/2015</t>
  </si>
  <si>
    <t>Rozp. 2014            CELKEM</t>
  </si>
  <si>
    <t>Skut. 2014 CELKEM</t>
  </si>
  <si>
    <t>ROZDÍL  Skut. - Rozp. 2014</t>
  </si>
  <si>
    <t>% plnění rozp.2014</t>
  </si>
  <si>
    <t>Rozp.rok 2015</t>
  </si>
  <si>
    <t>Sk.v tis 2015</t>
  </si>
  <si>
    <t>ROZDÍL (Sk.do data - Rozp.do data 2015)</t>
  </si>
  <si>
    <t>% plnění (Skut.do data/Rozp.rok 2015)</t>
  </si>
  <si>
    <t>POMĚROVÉ  PLNĚNÍ = Rozpočet na rok 2015 celkem a 1/12  ročního rozpočtu, skutečnost daných měsíců a % plnění načítané skutečnosti do data k poměrné části rozpočtu do data.</t>
  </si>
  <si>
    <t>ergoterapeuti</t>
  </si>
  <si>
    <r>
      <t>Zpět na Obsah</t>
    </r>
    <r>
      <rPr>
        <sz val="9"/>
        <rFont val="Calibri"/>
        <family val="2"/>
        <charset val="238"/>
        <scheme val="minor"/>
      </rPr>
      <t xml:space="preserve"> | 1.-8.měsíc | Centrální operační sály 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</si>
  <si>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</si>
  <si>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</si>
  <si>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</si>
  <si>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</si>
  <si>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</si>
  <si>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</si>
  <si>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</si>
  <si>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</si>
  <si>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paušál+TISS (LEK)</t>
  </si>
  <si>
    <t>50113009     léky - RTG diagnostika ZUL (LEK)</t>
  </si>
  <si>
    <t>50113013     léky (paušál) - antibiotika (LEK)</t>
  </si>
  <si>
    <t>50113190     medicinální plyny</t>
  </si>
  <si>
    <t>50115     Zdravotnické prostředky</t>
  </si>
  <si>
    <t>50115004     implant.umělé těl.náhr.-kovové (s.Z_506)</t>
  </si>
  <si>
    <t>50115050     obvazový materiál (sk.Z_502)</t>
  </si>
  <si>
    <t>50115060     ostatní ZPr - mimo níže uvedené (sk.Z_503)</t>
  </si>
  <si>
    <t>50115061     ostatní ZPr - robotické centrum (sk.Z_512)</t>
  </si>
  <si>
    <t>50115063     ostatní ZPr - vaky, sety (sk.Z_528)</t>
  </si>
  <si>
    <t>50115064     ostatní ZPr - šicí materiál (sk.Z_529)</t>
  </si>
  <si>
    <t>50115065     ostatní ZPr - vpichovací materiál (sk.Z_530)</t>
  </si>
  <si>
    <t>50115066     ostatní ZPr - šicí materiál - robot (sk.Z_531)</t>
  </si>
  <si>
    <t>50115067     ostatní ZPr - rukavice (sk.Z_532)</t>
  </si>
  <si>
    <t>50115070     ostatní ZPr - katetry (sk.Z_513)</t>
  </si>
  <si>
    <t>50115079     ostatní ZPr - intenzivní péče (sk.Z_542)</t>
  </si>
  <si>
    <t>--</t>
  </si>
  <si>
    <t>50115080     ostatní ZPr - staplery, extraktory (sk.Z_523)</t>
  </si>
  <si>
    <t>50117     Všeobecný materiál</t>
  </si>
  <si>
    <t>50117001     nákup zdravotnické techniky (Z 524, Z 510)</t>
  </si>
  <si>
    <t>50117002     prací a čistící prostř.,drog.zboží (sk.V41)</t>
  </si>
  <si>
    <t>50117003     desinf. prostř. LEK</t>
  </si>
  <si>
    <t>50117004     tiskopisy a kanc.potřeby (sk.V42, 43)</t>
  </si>
  <si>
    <t>50117005     údržbový materiál ZVIT (sk.B36,61,62,64)</t>
  </si>
  <si>
    <t>50117007     údržbový materiál ostatní - sklady (sk.T17)</t>
  </si>
  <si>
    <t>50117009     spotřební materiál k ZPr. (sk.V21)</t>
  </si>
  <si>
    <t>50117011     obalový mat. pro sterilizaci (sk.V20)</t>
  </si>
  <si>
    <t>50117015     IT - spotřební materiál (sk. P37, 48)</t>
  </si>
  <si>
    <t>50117024     všeob.mat. - ostatní-vyjímky (V44) od 0,01 do 999,99</t>
  </si>
  <si>
    <t>50118     Náhradní díly</t>
  </si>
  <si>
    <t>50118003     ND - ostatní techn.(dispečink)</t>
  </si>
  <si>
    <t>50118004     ND - zdravot.techn.(dispečink)</t>
  </si>
  <si>
    <t>50118006     ND - ZVIT (sk.B63)</t>
  </si>
  <si>
    <t>50119     DDHM a textil</t>
  </si>
  <si>
    <t>50119077     OOPP a prádlo pro zaměstnance (sk.T14)</t>
  </si>
  <si>
    <t>50119090     OOPP pro pacienty a doprovod (sk.T11)</t>
  </si>
  <si>
    <t>50119092     pokojový textil (sk. T15)</t>
  </si>
  <si>
    <t>50119100     jednorázové ochranné pomůcky (sk.T18A)</t>
  </si>
  <si>
    <t>50119101     jednorázový operační materiál (sk.T18B)</t>
  </si>
  <si>
    <t>50119102     jednorázové hygienické potřeby (sk.T18C)</t>
  </si>
  <si>
    <t>50210     Spotřeba energie</t>
  </si>
  <si>
    <t>50210071     elektřina</t>
  </si>
  <si>
    <t>50210072     vodné, stočné</t>
  </si>
  <si>
    <t>50210073     pára</t>
  </si>
  <si>
    <t>51     Služby</t>
  </si>
  <si>
    <t>51102     Technika a stavby</t>
  </si>
  <si>
    <t>51102021     opravy zdravotnické techniky</t>
  </si>
  <si>
    <t>51102023     opravy ostatní techniky</t>
  </si>
  <si>
    <t>51102024     opravy - správa budov</t>
  </si>
  <si>
    <t>51102025     opravy - hl.energetik</t>
  </si>
  <si>
    <t>51201     Cestovné zaměstnanců-tuzemské</t>
  </si>
  <si>
    <t>51201000     cestovné z mezd</t>
  </si>
  <si>
    <t>51201001     cestovné tuzemské - OUC</t>
  </si>
  <si>
    <t>51801     Přepravné</t>
  </si>
  <si>
    <t>51801000     přepravné-lab. vzorky,...</t>
  </si>
  <si>
    <t>51802     Spoje</t>
  </si>
  <si>
    <t>51802003     spoje - telekom.styk</t>
  </si>
  <si>
    <t>51804     Nájemné</t>
  </si>
  <si>
    <t>51804004     popl. za R a TV, veř. produkce</t>
  </si>
  <si>
    <t>51804005     náj. plynových lahví</t>
  </si>
  <si>
    <t>51805     Projekt. práce a inž. čin.</t>
  </si>
  <si>
    <t>51805001     průzkumné a projektové práce</t>
  </si>
  <si>
    <t>51806     Úklid, odpad, desinf., deratizace</t>
  </si>
  <si>
    <t>51806001     úklid pravidelný</t>
  </si>
  <si>
    <t>51806005     odpad (spalovna)</t>
  </si>
  <si>
    <t>51806006     odpad (ostatní)</t>
  </si>
  <si>
    <t>51808     Revize a smluvní servisy majetku</t>
  </si>
  <si>
    <t>51808007     revize, sml.servis - energetik</t>
  </si>
  <si>
    <t>51808008     revize, tech.kontroly, prev.prohl.- OHM</t>
  </si>
  <si>
    <t>51808009     revize, sml.servis PO - OBKR</t>
  </si>
  <si>
    <t>51808013     revize - kalibrace - metrolog</t>
  </si>
  <si>
    <t>51808018     smluvní servis - OHM</t>
  </si>
  <si>
    <t>51874     Ostatní služby</t>
  </si>
  <si>
    <t>51874010     ostatní služby - zdravotní</t>
  </si>
  <si>
    <t>51874011     zkoušky kvality</t>
  </si>
  <si>
    <t>521     Mzdové náklady</t>
  </si>
  <si>
    <t>52111     Hrubé mzdy</t>
  </si>
  <si>
    <t>52111000     hrubé mzdy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</si>
  <si>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</si>
  <si>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</si>
  <si>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</si>
  <si>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</si>
  <si>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</si>
  <si>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</si>
  <si>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</si>
  <si>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</si>
  <si>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</si>
  <si>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</si>
  <si>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</si>
  <si>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</si>
  <si>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</si>
  <si>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54910003     práce výrobní povahy(výroba klíčů,tabulek)</t>
  </si>
  <si>
    <t>54910009     školení, kongresové poplatky tuzemské - ost.zdrav.pracov.</t>
  </si>
  <si>
    <t>54970     Předpis - KDF za služby</t>
  </si>
  <si>
    <t>54970000     předpis KDF - služby</t>
  </si>
  <si>
    <t>54973     Školení, kongres.popl.tuzemské - ostatní zdrav.prac.(pouze OPMČ)</t>
  </si>
  <si>
    <t>54973000     školení, kongres.popl.tuzemské - ostatní zdrav.prac.(pouze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</si>
  <si>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</si>
  <si>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</si>
  <si>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</si>
  <si>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</si>
  <si>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</si>
  <si>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</si>
  <si>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</si>
  <si>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55110014     odpisy DHM - zdravot.techn. z dotací</t>
  </si>
  <si>
    <t>55110015     odpisy DHM - ostatní z dotací</t>
  </si>
  <si>
    <t>558     Náklady z drobného dlouhodobého majetku</t>
  </si>
  <si>
    <t>55801     DDHM zdravotnický a laboratorní</t>
  </si>
  <si>
    <t>55801001     DDHM - zdravotnické přístroje (sk.N_525)</t>
  </si>
  <si>
    <t>55801002     DDHM - zdravotnické nástroje (sk.Z_515)</t>
  </si>
  <si>
    <t>55802     DDHM - provozní</t>
  </si>
  <si>
    <t>55802002     DDHM - ostatní provozní technika (sk.V_35)</t>
  </si>
  <si>
    <t>55805     DDHM - inventář</t>
  </si>
  <si>
    <t>55805002     DDHM - nábytek (sk.V_31)</t>
  </si>
  <si>
    <t>55806     DDHM ostatní</t>
  </si>
  <si>
    <t>55806001     DDHM - ostatní, razítka (sk.V_47, V_112)</t>
  </si>
  <si>
    <t>56     Finanční náklady</t>
  </si>
  <si>
    <t>563     Kurzové ztráty</t>
  </si>
  <si>
    <t>56301     Kurzové ztráty</t>
  </si>
  <si>
    <t>56301000     kurzové ztráty</t>
  </si>
  <si>
    <t>6     Účtová třída 6 - Výnosy</t>
  </si>
  <si>
    <t>64     Jiné provozní výnosy</t>
  </si>
  <si>
    <t>649     Ostatní výnosy z činnosti</t>
  </si>
  <si>
    <t>64908     Ostatní výnosy z činnosti</t>
  </si>
  <si>
    <t>64908000     rozdíly v zaokrouhlení</t>
  </si>
  <si>
    <t>64924     Ostatní služby - mimo zdrav.výkony  FAKTURACE</t>
  </si>
  <si>
    <t>64924459     školení, stáže, odb. semináře, konference</t>
  </si>
  <si>
    <t>66     Finanční výnosy</t>
  </si>
  <si>
    <t>663     Kurzové zisky</t>
  </si>
  <si>
    <t>66300     Kurzové zisky</t>
  </si>
  <si>
    <t>66300001     kurzové zisky</t>
  </si>
  <si>
    <t>67     Zúčtování rezerva opravných položek finančních výnosů</t>
  </si>
  <si>
    <t>671     Výnosy vybraných vládních institucí z transferů</t>
  </si>
  <si>
    <t>67101     Nein.dotace, příspěvky, granty od zřizovatele</t>
  </si>
  <si>
    <t>67101006     transfery MZ na rezidenční místa</t>
  </si>
  <si>
    <t>67120     Výnosy k úč.403 06 (k úč.551 odpisy) - finanční dary</t>
  </si>
  <si>
    <t>67120001     výnosy k úč.403 06 (k úč.551 odpisy) - finanční dary</t>
  </si>
  <si>
    <t>7     Účtová třída 7 - Vnitropodnikové účetnictví - náklady</t>
  </si>
  <si>
    <t>79     Vnitropodnikové náklady</t>
  </si>
  <si>
    <t>79902     VPN - ZVIT technická údržba</t>
  </si>
  <si>
    <t>79902000     výkony ZVIT - technická údržba</t>
  </si>
  <si>
    <t>79903     VPN - doprava</t>
  </si>
  <si>
    <t>79903000     výkony dopravy</t>
  </si>
  <si>
    <t>79903001     výkony dopravy - sanitní</t>
  </si>
  <si>
    <t>79903003     výkony dopravy - nákladní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</si>
  <si>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</si>
  <si>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</si>
  <si>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</si>
  <si>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</si>
  <si>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</si>
  <si>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</si>
  <si>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79950     VPN - správní režie</t>
  </si>
  <si>
    <t>79950001     režie HTS</t>
  </si>
  <si>
    <t>47</t>
  </si>
  <si>
    <t xml:space="preserve">Centrální operační sály </t>
  </si>
  <si>
    <t/>
  </si>
  <si>
    <t>Centrální operační sály  Celkem</t>
  </si>
  <si>
    <t>SumaKL</t>
  </si>
  <si>
    <t>4764</t>
  </si>
  <si>
    <t xml:space="preserve">centrální operační sály </t>
  </si>
  <si>
    <t>centrální operační sály  Celkem</t>
  </si>
  <si>
    <t>SumaNS</t>
  </si>
  <si>
    <t>mezeraNS</t>
  </si>
  <si>
    <t>4766</t>
  </si>
  <si>
    <t>operační sály dětské chirurgie</t>
  </si>
  <si>
    <t>operační sály dětské chirurgie Celkem</t>
  </si>
  <si>
    <t>50113001</t>
  </si>
  <si>
    <t>O</t>
  </si>
  <si>
    <t>100362</t>
  </si>
  <si>
    <t>362</t>
  </si>
  <si>
    <t>ADRENALIN LECIVA</t>
  </si>
  <si>
    <t>INJ 5X1ML/1MG</t>
  </si>
  <si>
    <t>100502</t>
  </si>
  <si>
    <t>502</t>
  </si>
  <si>
    <t>MESOCAIN</t>
  </si>
  <si>
    <t>INJ 10X10ML 1%</t>
  </si>
  <si>
    <t>100802</t>
  </si>
  <si>
    <t>1000</t>
  </si>
  <si>
    <t>IR OG. OPHTHALMO-SEPTONEX</t>
  </si>
  <si>
    <t>GTT OPH 1X10ML</t>
  </si>
  <si>
    <t>162320</t>
  </si>
  <si>
    <t>62320</t>
  </si>
  <si>
    <t>BETADINE</t>
  </si>
  <si>
    <t>UNG 1X20GM</t>
  </si>
  <si>
    <t>193746</t>
  </si>
  <si>
    <t>93746</t>
  </si>
  <si>
    <t>HEPARIN LECIVA</t>
  </si>
  <si>
    <t>INJ 1X10ML/50KU</t>
  </si>
  <si>
    <t>395210</t>
  </si>
  <si>
    <t>Aqua Touch Jelly 25x6ml</t>
  </si>
  <si>
    <t>846629</t>
  </si>
  <si>
    <t>100013</t>
  </si>
  <si>
    <t>IBALGIN 400 TBL 24</t>
  </si>
  <si>
    <t xml:space="preserve">POR TBL FLM 24X400MG </t>
  </si>
  <si>
    <t>900503</t>
  </si>
  <si>
    <t>KL AQUA PURIF. 1000G</t>
  </si>
  <si>
    <t>905098</t>
  </si>
  <si>
    <t>23989</t>
  </si>
  <si>
    <t>DZ OCTENISEPT 1 l</t>
  </si>
  <si>
    <t>921458</t>
  </si>
  <si>
    <t>KL ETHER 200G</t>
  </si>
  <si>
    <t>841498</t>
  </si>
  <si>
    <t>Carbosorb tbl.20-blistr</t>
  </si>
  <si>
    <t>198864</t>
  </si>
  <si>
    <t>98864</t>
  </si>
  <si>
    <t>FYZIOLOGICKÝ ROZTOK VIAFLO</t>
  </si>
  <si>
    <t>INF SOL 50X100ML</t>
  </si>
  <si>
    <t>900321</t>
  </si>
  <si>
    <t>KL PRIPRAVEK</t>
  </si>
  <si>
    <t>117011</t>
  </si>
  <si>
    <t>17011</t>
  </si>
  <si>
    <t>DICYNONE 250</t>
  </si>
  <si>
    <t>INJ SOL 4X2ML/250MG</t>
  </si>
  <si>
    <t>394712</t>
  </si>
  <si>
    <t>IR  AQUA STERILE OPLACH.1x1000 ml ECOTAINER</t>
  </si>
  <si>
    <t>IR OPLACH</t>
  </si>
  <si>
    <t>100809</t>
  </si>
  <si>
    <t>809</t>
  </si>
  <si>
    <t>SANORIN-ANALERGIN</t>
  </si>
  <si>
    <t>LIQ 1X10ML</t>
  </si>
  <si>
    <t>790001</t>
  </si>
  <si>
    <t>TRAUMACEL P 2G</t>
  </si>
  <si>
    <t>neleč.</t>
  </si>
  <si>
    <t>198880</t>
  </si>
  <si>
    <t>98880</t>
  </si>
  <si>
    <t>INF SOL 10X1000ML</t>
  </si>
  <si>
    <t>920200</t>
  </si>
  <si>
    <t>15877</t>
  </si>
  <si>
    <t>DZ BRAUNOL 1 L</t>
  </si>
  <si>
    <t>102439</t>
  </si>
  <si>
    <t>2439</t>
  </si>
  <si>
    <t>MARCAINE 0.5%</t>
  </si>
  <si>
    <t>INJ SOL5X20ML/100MG</t>
  </si>
  <si>
    <t>115879</t>
  </si>
  <si>
    <t>198313</t>
  </si>
  <si>
    <t>DZ BRAUNOL FOAM 200ml</t>
  </si>
  <si>
    <t>166503</t>
  </si>
  <si>
    <t>66503</t>
  </si>
  <si>
    <t>SEPTONEX</t>
  </si>
  <si>
    <t>DRM SPR SOL 1X30ML</t>
  </si>
  <si>
    <t>844940</t>
  </si>
  <si>
    <t>KL ELIXÍR NA OPTIKU</t>
  </si>
  <si>
    <t>850152</t>
  </si>
  <si>
    <t>153349</t>
  </si>
  <si>
    <t>Tisseel Lyo 2 ml</t>
  </si>
  <si>
    <t>850153</t>
  </si>
  <si>
    <t>153350</t>
  </si>
  <si>
    <t>Tisseel Lyo 4 ml</t>
  </si>
  <si>
    <t>103761</t>
  </si>
  <si>
    <t>3761</t>
  </si>
  <si>
    <t>CHIROCAINE 5 MG/ML</t>
  </si>
  <si>
    <t>INJ CNC SOL 10X10ML</t>
  </si>
  <si>
    <t>395850</t>
  </si>
  <si>
    <t>OptiLube lubrikační gel</t>
  </si>
  <si>
    <t>tuba 113g</t>
  </si>
  <si>
    <t>920273</t>
  </si>
  <si>
    <t>KL SOL.FORMAL.K FIXACI TKANI,5000G</t>
  </si>
  <si>
    <t>930224</t>
  </si>
  <si>
    <t>KL BENZINUM 900ml/ 600g</t>
  </si>
  <si>
    <t>UN 3295</t>
  </si>
  <si>
    <t>500989</t>
  </si>
  <si>
    <t>KL MS HYDROG.PEROX. 3% 1000g</t>
  </si>
  <si>
    <t>501075</t>
  </si>
  <si>
    <t>IR  NaCl 0,9% 3000 ml vak Bieffe</t>
  </si>
  <si>
    <t>for irrig. 1x3000 ml 15%</t>
  </si>
  <si>
    <t>501048</t>
  </si>
  <si>
    <t>KL SOL.EPINEPHRINI T.0,1%  250G (1:1000)</t>
  </si>
  <si>
    <t>116325</t>
  </si>
  <si>
    <t>16325</t>
  </si>
  <si>
    <t>BRAUNOVIDON GAZA S MASTI</t>
  </si>
  <si>
    <t>DRM LIG IPR 1X20X10CM</t>
  </si>
  <si>
    <t>901171</t>
  </si>
  <si>
    <t>IR PARAFFINUM PERLIQUIDUM 10 ml</t>
  </si>
  <si>
    <t>IR 10 ml</t>
  </si>
  <si>
    <t>200863</t>
  </si>
  <si>
    <t>OPHTHALMO-SEPTONEX</t>
  </si>
  <si>
    <t>OPH GTT SOL 1X10ML PLAST</t>
  </si>
  <si>
    <t>153347</t>
  </si>
  <si>
    <t>TISSEEL (FROZ)</t>
  </si>
  <si>
    <t>EPL GKU SOL 1X4ML</t>
  </si>
  <si>
    <t>201452</t>
  </si>
  <si>
    <t>OPHTAL</t>
  </si>
  <si>
    <t>OPH AQA 4X25ML PLAST</t>
  </si>
  <si>
    <t>901176</t>
  </si>
  <si>
    <t>IR AC.BORICI AQ.OPHTAL.50 ML</t>
  </si>
  <si>
    <t>IR OČNI VODA 50 ml</t>
  </si>
  <si>
    <t>124935</t>
  </si>
  <si>
    <t>ARTISS (FROZEN)</t>
  </si>
  <si>
    <t>GKU SOL 4ML (1X2ML+2ML)</t>
  </si>
  <si>
    <t>16326</t>
  </si>
  <si>
    <t>BRAUNOVIDON GÁZA S MASTÍ</t>
  </si>
  <si>
    <t>DRM LIG IPR 10X7.5X10CM</t>
  </si>
  <si>
    <t>50113013</t>
  </si>
  <si>
    <t>101076</t>
  </si>
  <si>
    <t>1076</t>
  </si>
  <si>
    <t>OPHTHALMO-FRAMYKOIN</t>
  </si>
  <si>
    <t>UNG OPH 1X5GM</t>
  </si>
  <si>
    <t>114875</t>
  </si>
  <si>
    <t>14875</t>
  </si>
  <si>
    <t>IALUGEN PLUS</t>
  </si>
  <si>
    <t>CRM 1X20GM</t>
  </si>
  <si>
    <t>101077</t>
  </si>
  <si>
    <t>1077</t>
  </si>
  <si>
    <t>OPHTHALMO-FRAMYKOIN COMPOSITUM</t>
  </si>
  <si>
    <t>P</t>
  </si>
  <si>
    <t>144328</t>
  </si>
  <si>
    <t>GARAMYCIN SCHWAMM</t>
  </si>
  <si>
    <t>DRM SPO 1X130MG</t>
  </si>
  <si>
    <t>198872</t>
  </si>
  <si>
    <t>98872</t>
  </si>
  <si>
    <t>INF SOL 30X250ML</t>
  </si>
  <si>
    <t>Centrální operační sály</t>
  </si>
  <si>
    <t>Centrální operační sály , centrální operační sály</t>
  </si>
  <si>
    <t>COS - Operační sály dětské chirurgie</t>
  </si>
  <si>
    <t>Lékárna - léčiva</t>
  </si>
  <si>
    <t>Lékárna - antibiotika</t>
  </si>
  <si>
    <t>4764 - Centrální operační sály , centrální operační sály</t>
  </si>
  <si>
    <t>J01GB03 - Gentamicin</t>
  </si>
  <si>
    <t>J01GB03</t>
  </si>
  <si>
    <t>Přehled plnění pozitivního listu - spotřeba léčivých přípravků - orientační přehled</t>
  </si>
  <si>
    <t xml:space="preserve">47 - Centrální operační sály </t>
  </si>
  <si>
    <t xml:space="preserve">4764 - centrální operační sály </t>
  </si>
  <si>
    <t>4766 - operační sály dětské chirurgie</t>
  </si>
  <si>
    <t>ZA031</t>
  </si>
  <si>
    <t>Vata obvazová 1000 g nest.vinutá 110710</t>
  </si>
  <si>
    <t>ZA329</t>
  </si>
  <si>
    <t>Obinadlo fixa crep   6 cm x 4 m 1323100102</t>
  </si>
  <si>
    <t>ZA330</t>
  </si>
  <si>
    <t>Obinadlo fixa crep   8 cm x 4 m 1323100103</t>
  </si>
  <si>
    <t>ZA331</t>
  </si>
  <si>
    <t>Obinadlo fixa crep 10 cm x 4 m 1323100104</t>
  </si>
  <si>
    <t>ZA338</t>
  </si>
  <si>
    <t>Obinadlo hydrofilní   6 cm x   5 m 13005</t>
  </si>
  <si>
    <t>ZA424</t>
  </si>
  <si>
    <t>Obinadlo elastické idealtex 14 cm x 5 m 9310643</t>
  </si>
  <si>
    <t>ZA429</t>
  </si>
  <si>
    <t>Obinadlo elastické idealtex   8 cm x 5 m 931061</t>
  </si>
  <si>
    <t>ZA432</t>
  </si>
  <si>
    <t>Obvaz sádrový safix plus 14 cm x 3 m 3327430</t>
  </si>
  <si>
    <t>ZA443</t>
  </si>
  <si>
    <t>Šátek trojcípý pletený 125 x 85 x 85 cm 20001</t>
  </si>
  <si>
    <t>ZA446</t>
  </si>
  <si>
    <t>Vata buničitá přířezy 20 x 30 cm 1230200129</t>
  </si>
  <si>
    <t>ZA450</t>
  </si>
  <si>
    <t>Náplast omniplast 1,25 cm x 9,1 m 9004520</t>
  </si>
  <si>
    <t>ZA451</t>
  </si>
  <si>
    <t>Náplast omniplast 5 cm x 9,2 m 9004540 (900429)</t>
  </si>
  <si>
    <t>Náplast omniplast 5,0 cm x 9,2 m 9004540 (900429)</t>
  </si>
  <si>
    <t>ZA459</t>
  </si>
  <si>
    <t>Kompresa AB 10 x 20 cm / 1 ks sterilní NT savá 1230114021</t>
  </si>
  <si>
    <t>Kompresa AB 10 x 20 cm/1 ks sterilní NT savá 1230114021</t>
  </si>
  <si>
    <t>ZA465</t>
  </si>
  <si>
    <t>Fólie incizní raucodrape sterilní 45 x 50 cm 25445</t>
  </si>
  <si>
    <t>ZA467</t>
  </si>
  <si>
    <t>Tyčinka vatová nesterilní 15 cm bal. á 100 ks 9679369</t>
  </si>
  <si>
    <t>ZA480</t>
  </si>
  <si>
    <t>Fólie incizní raucodrape 15 x 20 cm á 10 ks 25441</t>
  </si>
  <si>
    <t>ZA508</t>
  </si>
  <si>
    <t>Rouška břišní předepraná 40 x 40 cm zelená 20 nití ,karton á 300 ks, 03012+</t>
  </si>
  <si>
    <t>ZA539</t>
  </si>
  <si>
    <t>Kompresa NT 10 x 10 cm nesterilní 06103</t>
  </si>
  <si>
    <t>ZA540</t>
  </si>
  <si>
    <t>Náplast omnifix E 15 cm x 10 m 9006513</t>
  </si>
  <si>
    <t>ZA541</t>
  </si>
  <si>
    <t>Fólie incizní rucodrape ( opraflex ) 40 x 35 cm 25444</t>
  </si>
  <si>
    <t>ZA547</t>
  </si>
  <si>
    <t>Krytí inadine nepřilnavé 9,5 x 9,5 cm 1/10 SYS01512EE</t>
  </si>
  <si>
    <t>ZA561</t>
  </si>
  <si>
    <t>Kompresa AB 20 x 40 cm / 1 ks sterilní NT savá 1230114051</t>
  </si>
  <si>
    <t>Kompresa AB 20 x 40 cm/1 ks sterilní NT savá 1230114051</t>
  </si>
  <si>
    <t>ZA593</t>
  </si>
  <si>
    <t>Tampon stáčený sterilní 20 x 20 cm / 5 ks 28003</t>
  </si>
  <si>
    <t>ZA601</t>
  </si>
  <si>
    <t>Obinadlo fixa crep 12 cm x 4 m 1323100105</t>
  </si>
  <si>
    <t>ZA614</t>
  </si>
  <si>
    <t>Gáza přířezy 48 cm x 50 cm 17 nití karton á 750 ks 07012+</t>
  </si>
  <si>
    <t>ZA618</t>
  </si>
  <si>
    <t>Tampon sterilní stáčený 30 x 30 dvouvr.(30x60) cm / 5 ks karton á 1200 ks 28020</t>
  </si>
  <si>
    <t>ZB084</t>
  </si>
  <si>
    <t>Náplast transpore 2,50 cm x 9,14 m 1527-1</t>
  </si>
  <si>
    <t>ZB085</t>
  </si>
  <si>
    <t>Krytí surgicel standard 5 x 7,50 cm bal. á 12 ks 1903GB</t>
  </si>
  <si>
    <t>ZB404</t>
  </si>
  <si>
    <t>Náplast cosmos 8 cm x 1 m 5403353</t>
  </si>
  <si>
    <t>ZC352</t>
  </si>
  <si>
    <t>Obinadlo elastické universalní 12 cm x 10 m bal. á 12 ks 1320200207</t>
  </si>
  <si>
    <t>ZC854</t>
  </si>
  <si>
    <t>Kompresa NT 7,5 x 7,5 cm / 2 ks sterilní 26510</t>
  </si>
  <si>
    <t>ZC885</t>
  </si>
  <si>
    <t>Náplast omnifix E 10 cm x 10 m 900650</t>
  </si>
  <si>
    <t>ZD103</t>
  </si>
  <si>
    <t>Náplast omniplast 2,5 cm x 9,2 m 9004530</t>
  </si>
  <si>
    <t>ZD104</t>
  </si>
  <si>
    <t>Náplast omniplast 10,0 cm x 10,0 m 9004472 (900535)</t>
  </si>
  <si>
    <t>ZD111</t>
  </si>
  <si>
    <t>Náplast omnifix E 5 cm x 10 m 9006493</t>
  </si>
  <si>
    <t>ZD668</t>
  </si>
  <si>
    <t>Kompresa gáza 10 x 10 cm / 5 ks sterilní 1325019275</t>
  </si>
  <si>
    <t>Kompresa gáza 10 x 10 cm/5 ks sterilní 1325019275</t>
  </si>
  <si>
    <t>ZD740</t>
  </si>
  <si>
    <t>Kompresa gáza sterilkompres 7,5 x 7,5 cm/5 ks sterilní 1325019265(1230119225)</t>
  </si>
  <si>
    <t>ZD825</t>
  </si>
  <si>
    <t>Tampon stáčený s RTG 50 cm x 50 cm tkanicí karton á 1250 ks 05002+</t>
  </si>
  <si>
    <t>ZD829</t>
  </si>
  <si>
    <t>Bandáž evelína pod sádru 1321303125</t>
  </si>
  <si>
    <t>ZF076</t>
  </si>
  <si>
    <t>Tampon sterilní stáčený 19 x 20 cm / 3 ks 0444</t>
  </si>
  <si>
    <t>ZF351</t>
  </si>
  <si>
    <t>Náplast transpore bílá 1,25 cm x 9,14 m bal. á 24 ks 1534-0</t>
  </si>
  <si>
    <t>ZI558</t>
  </si>
  <si>
    <t>Náplast curapor   7 x   5 cm 22120 ( náhrada za cosmopor )</t>
  </si>
  <si>
    <t>ZI599</t>
  </si>
  <si>
    <t>Náplast curapor 10 x   8 cm 22121 ( náhrada za cosmopor )</t>
  </si>
  <si>
    <t>ZJ687</t>
  </si>
  <si>
    <t>Krytí gelitaspon tampon   80 x 30 mm bal. á 5 ks GS -210</t>
  </si>
  <si>
    <t>ZK405</t>
  </si>
  <si>
    <t>Krytí gelitaspon standard 80 x 50 mm x 10 mm bal. á 10 ks A2107861</t>
  </si>
  <si>
    <t>ZA431</t>
  </si>
  <si>
    <t>Obvaz sádrový safix plus 12 cm x 3 m 3327420</t>
  </si>
  <si>
    <t>ZA442</t>
  </si>
  <si>
    <t>Steh náplasťový Steri-strip 6 x 75 mm bal. á 50 ks R1541</t>
  </si>
  <si>
    <t>ZA531</t>
  </si>
  <si>
    <t>Textilie obv.kombinov. 140-3020 COM 30</t>
  </si>
  <si>
    <t>ZA556</t>
  </si>
  <si>
    <t>Obvaz sádrový safix plus 10 cm x 3 m á 2 ks 3327410</t>
  </si>
  <si>
    <t>ZB086</t>
  </si>
  <si>
    <t>Krytí surgicel standard 10 x 20,0 cm bal. á 24 ks 1902GB</t>
  </si>
  <si>
    <t>ZC687</t>
  </si>
  <si>
    <t>Tampon prošívaný s RTG 45 cm x 45 cm bílá karton á 500 ks 03002</t>
  </si>
  <si>
    <t>ZL663</t>
  </si>
  <si>
    <t>Krytí mastný tyl pharmatull 10 x 10 cm bal. á 10 ks P-Tull1010</t>
  </si>
  <si>
    <t>ZL664</t>
  </si>
  <si>
    <t>Krytí mastný tyl pharmatull 10 x 20 cm bal. á 10 ks P-Tull1020</t>
  </si>
  <si>
    <t>ZL684</t>
  </si>
  <si>
    <t>Náplast santiband standard poinjekční jednotl. baleno 19 mm x 72 mm 652</t>
  </si>
  <si>
    <t>ZL789</t>
  </si>
  <si>
    <t>Obvaz sterilní hotový č. 2 A4091360</t>
  </si>
  <si>
    <t>ZL790</t>
  </si>
  <si>
    <t>Obvaz sterilní hotový č. 3 A4101144</t>
  </si>
  <si>
    <t>ZL996</t>
  </si>
  <si>
    <t>Obinadlo hyrofilní sterilní  8 cm x 5 m  004310182</t>
  </si>
  <si>
    <t>ZL662</t>
  </si>
  <si>
    <t>Krytí mastný tyl pharmatull   5 x   5 cm bal. á 10 ks P-Tull5050</t>
  </si>
  <si>
    <t>ZL997</t>
  </si>
  <si>
    <t>Obinadlo hyrofilní sterilní 10 cm x 5 m  004310174</t>
  </si>
  <si>
    <t>ZL995</t>
  </si>
  <si>
    <t>Obinadlo hyrofilní sterilní  6 cm x 5 m  004310190</t>
  </si>
  <si>
    <t>ZL999</t>
  </si>
  <si>
    <t>Rychloobvaz 8 x 4 cm / 3 ks ( pro obj. 1 kus = 3 náplasti) 001445510</t>
  </si>
  <si>
    <t>ZA610</t>
  </si>
  <si>
    <t>Tampon sterilní stáčený 20 x 20 cm / 10 ks karton á 4800 ks 28004</t>
  </si>
  <si>
    <t>ZB049</t>
  </si>
  <si>
    <t>Krytí cellistyp 7 x 10 cm bal. á 15 ks (náhrada za okcel) 2080511</t>
  </si>
  <si>
    <t>ZK466</t>
  </si>
  <si>
    <t>Fólie incizní visulin 10 x 6 cm bal. á 100 ks 6857331</t>
  </si>
  <si>
    <t>ZE824</t>
  </si>
  <si>
    <t>Krytí ccellistyp 5 x 7 cm bal. á 15 ks (náhrada za okcel) 2080508</t>
  </si>
  <si>
    <t>ZF454</t>
  </si>
  <si>
    <t>Obinadlo elastické lenkideal krátkotažné 12 cm x 5 m bal. á 10 ks 19584</t>
  </si>
  <si>
    <t>ZA645</t>
  </si>
  <si>
    <t>Krytí s mastí atrauman   5 x   5 cm bal. á 10 ks 499571</t>
  </si>
  <si>
    <t>ZM951</t>
  </si>
  <si>
    <t>Krytí mepilex border post-op sterilní 6 x 8 cm bal. á 10 ks 495100</t>
  </si>
  <si>
    <t>ZA513</t>
  </si>
  <si>
    <t>Krytí s mastí atrauman 10 x 10 cm bal. á 10 ks 499573</t>
  </si>
  <si>
    <t>ZB048</t>
  </si>
  <si>
    <t>Krytí cellistyp F (fibrilar) 2,5 x 5 cm bal. á 10 ks (náhrada za okcel) 2082025</t>
  </si>
  <si>
    <t>ZN106</t>
  </si>
  <si>
    <t>Rouška břišní NT Special s RTG vláknem sterilní 40 x 40 cm 130g/m2 bal. á 2 ks 187802</t>
  </si>
  <si>
    <t>ZN105</t>
  </si>
  <si>
    <t>Rouška břišní NT Special s RTG vláknem sterilní 30 x 30 cm 130g/m2 bal. á 5 ks 187705</t>
  </si>
  <si>
    <t>Rouška břišní NT Special s RTG vláknem sterilní 30 x 30 cm 130g/m2 bal. á 5 ks 187705-08</t>
  </si>
  <si>
    <t>ZN104</t>
  </si>
  <si>
    <t>Rouška břišní NT Special s RTG vláknem sterilní 40 x 40 cm 130g/m2 zelená bal. á 2 ks 187822</t>
  </si>
  <si>
    <t>ZN103</t>
  </si>
  <si>
    <t>Kompresa NT standard s RTG vláknem sterilní 10 x 10 cm 70g/m2 bal. á 10 ks 185310</t>
  </si>
  <si>
    <t>Kompresa NT standard s RTG vláknem sterilní 10 x 10 cm 70g/m2 bal. á 10 ks 185310-08</t>
  </si>
  <si>
    <t>ZF381</t>
  </si>
  <si>
    <t>Tampon sterilní stáčený 20 x 20 cm s RTG nití bal. á 10 ks 28203</t>
  </si>
  <si>
    <t>ZD754</t>
  </si>
  <si>
    <t>Textilie obv.kombinov. 140-1510 COM 30</t>
  </si>
  <si>
    <t>ZE898</t>
  </si>
  <si>
    <t>Tampon sterilní stáčený 50 x 50 cm / á 5 ks 28017</t>
  </si>
  <si>
    <t>ZE369</t>
  </si>
  <si>
    <t>Tampon sterilní stáčený 9 x 9 cm s RTG nití bal. á 5 ks 28000</t>
  </si>
  <si>
    <t>ZD332</t>
  </si>
  <si>
    <t>Náplast microfoam 2,50 cm x 5,00 m bal. á 12 ks 1528-1</t>
  </si>
  <si>
    <t>ZE988</t>
  </si>
  <si>
    <t>Krytí nevstřebatelné textilní hemostatikum s kaolínem QuikClot 30 x 30cm bal. á 5 ks 2090303</t>
  </si>
  <si>
    <t>ZA095</t>
  </si>
  <si>
    <t>Cement kostní palacos R+G 2 x 40 g á 2 ks 66017569</t>
  </si>
  <si>
    <t>ZA210</t>
  </si>
  <si>
    <t>Cévka vyživovací CV-01 GAM646957</t>
  </si>
  <si>
    <t>ZA674</t>
  </si>
  <si>
    <t>Cévka CN-01 646959</t>
  </si>
  <si>
    <t>ZA690</t>
  </si>
  <si>
    <t>Čepelka skalpelová 10 BB510</t>
  </si>
  <si>
    <t>ZA746</t>
  </si>
  <si>
    <t>Stříkačka injekční 3-dílná 1 ml L Omnifix Solo tuberculin 9161406V</t>
  </si>
  <si>
    <t>ZA749</t>
  </si>
  <si>
    <t>Stříkačka injekční 3-dílná 50 ml LL Omnifix Solo 4617509F</t>
  </si>
  <si>
    <t>ZA757</t>
  </si>
  <si>
    <t>Drén redon CH16 50 cm U2111600</t>
  </si>
  <si>
    <t>ZA758</t>
  </si>
  <si>
    <t>Drén redon CH14 50 cm U2111400</t>
  </si>
  <si>
    <t>ZA761</t>
  </si>
  <si>
    <t>Drén redon CH12 50 cm U2111200</t>
  </si>
  <si>
    <t>ZA787</t>
  </si>
  <si>
    <t>Stříkačka injekční 2-dílná 10 ml L Inject Solo 4606108V</t>
  </si>
  <si>
    <t>ZA788</t>
  </si>
  <si>
    <t>Stříkačka injekční 2-dílná 20 ml L Inject Solo 4606205V</t>
  </si>
  <si>
    <t>ZA789</t>
  </si>
  <si>
    <t>Stříkačka injekční 2-dílná 2 ml L Inject Solo 4606027V</t>
  </si>
  <si>
    <t>ZA790</t>
  </si>
  <si>
    <t>Stříkačka injekční 2-dílná 5 ml L Inject Solo4606051V</t>
  </si>
  <si>
    <t>ZA812</t>
  </si>
  <si>
    <t>Uzávěr do katetrů 4435001</t>
  </si>
  <si>
    <t>ZA964</t>
  </si>
  <si>
    <t>Stříkačka janett 3-dílná 60 ml sterilní vyplachovací MRG564</t>
  </si>
  <si>
    <t>ZB103</t>
  </si>
  <si>
    <t>Láhev k odsávačce flovac 2l hadice 1,8 m 000-036-021</t>
  </si>
  <si>
    <t>ZB249</t>
  </si>
  <si>
    <t>Sáček močový s křížovou výpustí 2000 ml ZAR-TNU201601</t>
  </si>
  <si>
    <t>ZB399</t>
  </si>
  <si>
    <t>Hadička PVC 1/1,5 KVS 599812</t>
  </si>
  <si>
    <t>ZB575</t>
  </si>
  <si>
    <t>Katetr močový foley urologický 10CH bal. á 12 ks 2910-02</t>
  </si>
  <si>
    <t>ZB598</t>
  </si>
  <si>
    <t>Spojka symetrická přímá 7 x 7 mm 60.23.00 (120 430)</t>
  </si>
  <si>
    <t>ZB780</t>
  </si>
  <si>
    <t>Kontejner 120 ml sterilní 331690250350</t>
  </si>
  <si>
    <t>ZB885</t>
  </si>
  <si>
    <t>Vrták 1.1 mm se 2 drážkami, pro mini rychlospojku 513.030</t>
  </si>
  <si>
    <t>ZC751</t>
  </si>
  <si>
    <t>Čepelka skalpelová 11 BB511</t>
  </si>
  <si>
    <t>ZC752</t>
  </si>
  <si>
    <t>Čepelka skalpelová 15 BB515</t>
  </si>
  <si>
    <t>ZC755</t>
  </si>
  <si>
    <t>Čepelka skalpelová 22 BB522</t>
  </si>
  <si>
    <t>ZC756</t>
  </si>
  <si>
    <t>Čepelka skalpelová 23 BB523</t>
  </si>
  <si>
    <t>ZC757</t>
  </si>
  <si>
    <t>Čepelka skalpelová 24 BB524</t>
  </si>
  <si>
    <t>ZE173</t>
  </si>
  <si>
    <t>Nádoba na histologický mat. 200 ml Z1333000041002</t>
  </si>
  <si>
    <t>ZE310</t>
  </si>
  <si>
    <t>Nádoba na kontaminovaný odpad CS 6 l pův. 077802300</t>
  </si>
  <si>
    <t>ZF159</t>
  </si>
  <si>
    <t>Nádoba na kontaminovaný odpad 1 l 15-0002</t>
  </si>
  <si>
    <t>ZH493</t>
  </si>
  <si>
    <t>Katetr močový foley CH16 180605-000160</t>
  </si>
  <si>
    <t>ZH816</t>
  </si>
  <si>
    <t>Katetr močový foley CH14 180605-000140</t>
  </si>
  <si>
    <t>ZH818</t>
  </si>
  <si>
    <t>Katetr močový foley CH20 180605-000200</t>
  </si>
  <si>
    <t>ZI179</t>
  </si>
  <si>
    <t>Zkumavka s mediem+ flovakovaný tampon eSwab růžový 490CE.A</t>
  </si>
  <si>
    <t>ZJ312</t>
  </si>
  <si>
    <t>Sonda žaludeční CH16 1200 mm s RTG linkou bal. á 50 ks 412016</t>
  </si>
  <si>
    <t>ZJ695</t>
  </si>
  <si>
    <t>Sonda žaludeční CH14 1200 mm s RTG linkou bal. á 50 ks 412014</t>
  </si>
  <si>
    <t>ZJ696</t>
  </si>
  <si>
    <t>Sonda žaludeční CH18 1200 mm s RTG linkou bal. á 30 ks 412018</t>
  </si>
  <si>
    <t>ZB557</t>
  </si>
  <si>
    <t>Přechodka adapter combifix rekord - luer 4090306</t>
  </si>
  <si>
    <t>ZE174</t>
  </si>
  <si>
    <t>Nádoba na histologický mat. 920 ml Z1333000041024</t>
  </si>
  <si>
    <t>ZH519</t>
  </si>
  <si>
    <t>Gumička těsnící k laparosk.trokarům 3 mm á 10 ks A5857</t>
  </si>
  <si>
    <t>ZL464</t>
  </si>
  <si>
    <t>Popisovač sterilní se dvěma hroty Sandel 4-in-1Marker, bal. á 25 ks, S1041F</t>
  </si>
  <si>
    <t>ZA891</t>
  </si>
  <si>
    <t>Elektroda neutrální nessy ke koagulaci á 50 ks 20193-070</t>
  </si>
  <si>
    <t>ZL862</t>
  </si>
  <si>
    <t>Reservoár balonkový sací J-VAC 100ml bal á 10 ks 2160</t>
  </si>
  <si>
    <t>ZL861</t>
  </si>
  <si>
    <t>Drén silikonový BLAKE plochý 7 mm bal á 10 ks 2211</t>
  </si>
  <si>
    <t>ZA783</t>
  </si>
  <si>
    <t>Drén Easy Flow 40 mm/30 cm, á 10 ks, 97.816.92.224</t>
  </si>
  <si>
    <t>ZD425</t>
  </si>
  <si>
    <t>Nůž k elektrodermatomu á 10 ks GB228 R</t>
  </si>
  <si>
    <t>ZF174</t>
  </si>
  <si>
    <t>Nádoba na histologický mat. 400 ml 333000041012</t>
  </si>
  <si>
    <t>ZG126</t>
  </si>
  <si>
    <t>Elektroda defibrilační pro dospělé QC 11996-000091</t>
  </si>
  <si>
    <t>ZM541</t>
  </si>
  <si>
    <t>Můstek sterilní pooperační smyčkový 70 mm bal. á 10 ks 5025</t>
  </si>
  <si>
    <t>ZA856</t>
  </si>
  <si>
    <t>Vosk kostní bone wax 2,5 g, á 24 ks, W810T</t>
  </si>
  <si>
    <t>ZM565</t>
  </si>
  <si>
    <t>Lepidlo tkáňové floseal 5 ml 1503353</t>
  </si>
  <si>
    <t>ZJ588</t>
  </si>
  <si>
    <t>Souprava cystofix CH 10 minipaed pediatrický bal. á 50 ks 4440013</t>
  </si>
  <si>
    <t>ZM600</t>
  </si>
  <si>
    <t>Spojka flovac žlutá 000-036-102</t>
  </si>
  <si>
    <t>ZB680</t>
  </si>
  <si>
    <t>Svorka šicí á 50 ks 8840764</t>
  </si>
  <si>
    <t>ZE444</t>
  </si>
  <si>
    <t>Svorka přidržovací 1,25 mm 395.125</t>
  </si>
  <si>
    <t>ZG749</t>
  </si>
  <si>
    <t>Kanyla cholangiograf.buchanan 400/450/010</t>
  </si>
  <si>
    <t>ZB659</t>
  </si>
  <si>
    <t>Sáček laparoskopický 720 ml EJ024SU</t>
  </si>
  <si>
    <t>ZI277</t>
  </si>
  <si>
    <t>Hadička sterilní tisseel sprayset á 10 ks 1504271</t>
  </si>
  <si>
    <t>ZB708</t>
  </si>
  <si>
    <t>Katetr močový foley silikon CH6 23.000.14.206</t>
  </si>
  <si>
    <t>ZM780</t>
  </si>
  <si>
    <t>Souprava odsávací zahnutá Yankauer 4 mm s rukojetí hadice CH 25 délka 2 m 34101</t>
  </si>
  <si>
    <t>ZE903</t>
  </si>
  <si>
    <t>Kanyla tracheální XL12 mm 05-620012</t>
  </si>
  <si>
    <t>ZE902</t>
  </si>
  <si>
    <t>Kanyla tracheální hrudní 16 mm 05-520016</t>
  </si>
  <si>
    <t>ZD296</t>
  </si>
  <si>
    <t>Adaptér touhy-borst 050020</t>
  </si>
  <si>
    <t>ZG263</t>
  </si>
  <si>
    <t>Rukojeť aktivní elektrody resterizovatelná 4,6 m kabel bal. á 10 ks E2100</t>
  </si>
  <si>
    <t>ZG893</t>
  </si>
  <si>
    <t>Rouška prošívaná na popáleniny 40 x 60 cm karton á 30 ks 28510</t>
  </si>
  <si>
    <t>ZJ125</t>
  </si>
  <si>
    <t>Drát ocelový 2/0 á 12 ks LE99093</t>
  </si>
  <si>
    <t>ZE447</t>
  </si>
  <si>
    <t>Tyč kompozitní 3.0 mm 395.109</t>
  </si>
  <si>
    <t>ZE500</t>
  </si>
  <si>
    <t>Svorka spojovací 3.0 mm 395.133</t>
  </si>
  <si>
    <t>ZN371</t>
  </si>
  <si>
    <t>Drén silikonový CH20 laparotomický s RTG značením sterilní d = 50 cm bal. á 10 ks WLM60702000</t>
  </si>
  <si>
    <t>ZN372</t>
  </si>
  <si>
    <t>Drén silikonový CH26 laparotomický s RTG značením sterilní d = 50 cm bal. á 10 ks WLM60702600</t>
  </si>
  <si>
    <t>ZN373</t>
  </si>
  <si>
    <t>Drén silikonový CH33 laparotomický s RTG značením sterilní d = 50 cm bal. á 10 ks WLM60703300</t>
  </si>
  <si>
    <t>ZE909</t>
  </si>
  <si>
    <t>Sáček na brickery draina S vision H28565U</t>
  </si>
  <si>
    <t>ZD431</t>
  </si>
  <si>
    <t>Dlaha hrudní jansen 220 mm 397129990542</t>
  </si>
  <si>
    <t>ZC473</t>
  </si>
  <si>
    <t>Obturátor á 24 ks 420023-02</t>
  </si>
  <si>
    <t>ZD613</t>
  </si>
  <si>
    <t>Obal na rameno robota bal. á 20 ks 420015-03</t>
  </si>
  <si>
    <t>ZE762</t>
  </si>
  <si>
    <t>Nástroj robotický jehelec 8 mm 1 kus = 10 životů 420006-06</t>
  </si>
  <si>
    <t>ZE765</t>
  </si>
  <si>
    <t>Nástroj robotický kleště 8 mm 420093-8</t>
  </si>
  <si>
    <t>ZE766</t>
  </si>
  <si>
    <t>Nástroj robotický příslušenství 400180-12</t>
  </si>
  <si>
    <t>ZE842</t>
  </si>
  <si>
    <t>Obal na kameru sterilní Camera drape bal. á 20 ks 400027-04</t>
  </si>
  <si>
    <t>ZE843</t>
  </si>
  <si>
    <t>Obal na kameru sterilní Camera arm drape bal. á 20 ks 420022-02</t>
  </si>
  <si>
    <t>ZE918</t>
  </si>
  <si>
    <t>Nůžky monopolární na pálení 420179-10</t>
  </si>
  <si>
    <t>ZE919</t>
  </si>
  <si>
    <t>Kleště maryland biopolární 420172-07</t>
  </si>
  <si>
    <t>Kleště biopolární maryland 420172-07</t>
  </si>
  <si>
    <t>ZH058</t>
  </si>
  <si>
    <t>Set odsávací R.Wolf - sada pro oplach a sání, resterilizovatelná 81702215</t>
  </si>
  <si>
    <t>ZI482</t>
  </si>
  <si>
    <t>Redukce na trokary cannula seal 8 mm á 10 ks 400077</t>
  </si>
  <si>
    <t>ZM556</t>
  </si>
  <si>
    <t>Sáček laparoskopický Memo bag 200 ml pro 10 mm trocar bal. á 5 ks 332800-000010</t>
  </si>
  <si>
    <t>ZM818</t>
  </si>
  <si>
    <t>Filtr hygienický k insuflátoru Richard Wolf bal. á 10 ks 4171.111</t>
  </si>
  <si>
    <t>ZM941</t>
  </si>
  <si>
    <t>Rourka proplachovací a sací Wolf pr. 5 mm délka 450 mm 8384.911</t>
  </si>
  <si>
    <t>ZN151</t>
  </si>
  <si>
    <t>Klip titanový ML se zámkem po 6 ks bal. á 15 ks PL465SU</t>
  </si>
  <si>
    <t>ZN150</t>
  </si>
  <si>
    <t>Klip titanový ML bez zámku po 6 ks bal. á 15 ks PL462SU</t>
  </si>
  <si>
    <t>ZE764</t>
  </si>
  <si>
    <t>Nástroj robotický jehelec 8 mm 420194</t>
  </si>
  <si>
    <t>ZI481</t>
  </si>
  <si>
    <t>Jehelec mega stříhací suture cut needle driver 420309</t>
  </si>
  <si>
    <t>ZH282</t>
  </si>
  <si>
    <t>Klip titanový - small PL565T</t>
  </si>
  <si>
    <t>ZA715</t>
  </si>
  <si>
    <t>Set infuzní intrafix primeline classic 150 cm 4062957</t>
  </si>
  <si>
    <t>ZD721</t>
  </si>
  <si>
    <t>Set odsávací CH 6-18 bal. á 35 ks 05.000.22.641</t>
  </si>
  <si>
    <t>ZM356</t>
  </si>
  <si>
    <t>Set hadic luer s trnem 3D Einstein PG131</t>
  </si>
  <si>
    <t>ZA250</t>
  </si>
  <si>
    <t>Šití ethibond gr 2-0 bal. á 12 ks W6767</t>
  </si>
  <si>
    <t>ZA853</t>
  </si>
  <si>
    <t>Šití prolen bl 5-0 bal. á 12 ks W8830</t>
  </si>
  <si>
    <t>ZA958</t>
  </si>
  <si>
    <t>Šití safil fialový 2/0 (3) bal. á 36 ks C1048251</t>
  </si>
  <si>
    <t>ZB033</t>
  </si>
  <si>
    <t>Šití dafilon modrý 3/0 (2) bal. á 36 ks C0935468</t>
  </si>
  <si>
    <t>ZB034</t>
  </si>
  <si>
    <t>Šití dafilon modrý 2/0 (3) bal. á 36 ks C0935476</t>
  </si>
  <si>
    <t>ZB039</t>
  </si>
  <si>
    <t>Šití ventrofil bal. á 4 ks 993034</t>
  </si>
  <si>
    <t>ZB214</t>
  </si>
  <si>
    <t>Šití safil fialový 4/0 (1.5) bal. á 36 ks C1048029</t>
  </si>
  <si>
    <t>ZB215</t>
  </si>
  <si>
    <t>Šití safil fialový 3/0 (2) bal. á 36 ks C1048041</t>
  </si>
  <si>
    <t>ZB216</t>
  </si>
  <si>
    <t>Šití safil fialový 2/0 (3) bal. á 36 ks C1048051</t>
  </si>
  <si>
    <t>ZB217</t>
  </si>
  <si>
    <t>Šití dafilon modrý 3/0 (2) bal. á 36 ks C0932353</t>
  </si>
  <si>
    <t>ZB220</t>
  </si>
  <si>
    <t>Šití safil fialový 3/0 (2) bal. á 36 ks C1048046</t>
  </si>
  <si>
    <t>ZB520</t>
  </si>
  <si>
    <t>Šití safil fialový 3/0 (2) bal. á 12 ks G1038715</t>
  </si>
  <si>
    <t>ZB608</t>
  </si>
  <si>
    <t>Šití premicron zelený 2/0 (3) bal. á 36 ks C0026057</t>
  </si>
  <si>
    <t>ZB609</t>
  </si>
  <si>
    <t>Šití premicron zelený 2/0 (3) bal. á 36 ks C0026026</t>
  </si>
  <si>
    <t>ZB979</t>
  </si>
  <si>
    <t>Šití dafilon modrý 4/0 (1.5) bal. á 36 ks C0932205</t>
  </si>
  <si>
    <t>ZE801</t>
  </si>
  <si>
    <t>Šití monocryl vi 3-0 bal. á 12 ks W3637</t>
  </si>
  <si>
    <t>ZF699</t>
  </si>
  <si>
    <t>Šití premicron zelený 3/0 (2.5) bal. á 12 ks G0120060</t>
  </si>
  <si>
    <t>ZG849</t>
  </si>
  <si>
    <t>Šití premicron zelený 2/0 (3) bal. á 12 ks G0120061</t>
  </si>
  <si>
    <t>ZG886</t>
  </si>
  <si>
    <t>Šití premicron 1 (4) bal. á 12 ks G0120063</t>
  </si>
  <si>
    <t>ZH872</t>
  </si>
  <si>
    <t>Šití ethibond gr 0 bal. á 12 ks W6978</t>
  </si>
  <si>
    <t>ZB036</t>
  </si>
  <si>
    <t>Šití safil fialový 2 (5) bal. á 36 ks C1038210</t>
  </si>
  <si>
    <t>ZB211</t>
  </si>
  <si>
    <t>Šití safil fialový 2/0 (3) bal. á 36 ks C1048047</t>
  </si>
  <si>
    <t>ZB213</t>
  </si>
  <si>
    <t>Šití safil fialový 5/0 (1) bal. á 36 ks C1048012</t>
  </si>
  <si>
    <t>ZB279</t>
  </si>
  <si>
    <t>Šití prolen bl 6-0 bal. á 12 ks W8815</t>
  </si>
  <si>
    <t>Šití prolene bl 6-0 bal. á 12 ks W8815</t>
  </si>
  <si>
    <t>ZB286</t>
  </si>
  <si>
    <t>Šití prolen bl 7-0 bal. á 12 ks W8704</t>
  </si>
  <si>
    <t>ZB560</t>
  </si>
  <si>
    <t>Šití prolene bl 3-0 bal. á 12 ks W621 (náhr.W8630)</t>
  </si>
  <si>
    <t>ZB718</t>
  </si>
  <si>
    <t>Šití prolen bl 4-0 bal. á 12 ks W8840</t>
  </si>
  <si>
    <t>Šití prolene bl 4-0 bal. á 12 ks W8840</t>
  </si>
  <si>
    <t>ZB878</t>
  </si>
  <si>
    <t>Šití safil quick + bezb. 2/0 (3) bal. á 36 ks C1046042</t>
  </si>
  <si>
    <t>ZB913</t>
  </si>
  <si>
    <t>Šití orthocord modrý bal. á 12 ks 223111</t>
  </si>
  <si>
    <t>ZD067</t>
  </si>
  <si>
    <t>Šití safil fialový 2/0 (3) bal. á 36 ks C1048042</t>
  </si>
  <si>
    <t>ZG876</t>
  </si>
  <si>
    <t>Šití premicron 0 (3.5) bal. á 12 ks G0120062</t>
  </si>
  <si>
    <t>ZH392</t>
  </si>
  <si>
    <t>Šití safil quick + bezb. 3/0 (2) bal. á 36 ks C1046030</t>
  </si>
  <si>
    <t>ZI467</t>
  </si>
  <si>
    <t>Šití monoplus fialový 1 (4) bal. á 24 ks B0024091</t>
  </si>
  <si>
    <t>ZM044</t>
  </si>
  <si>
    <t>Šití PDSII vi 4-0 bal. á 36 ks W9115H</t>
  </si>
  <si>
    <t>ZD196</t>
  </si>
  <si>
    <t>Šití monosyn bezbarvý 4/0 (1.5) bal. á 36 ks C0023634</t>
  </si>
  <si>
    <t>ZA975</t>
  </si>
  <si>
    <t>Šití safil fialový 4/0 (1.5) bal. á 36 ks C1048220</t>
  </si>
  <si>
    <t>ZB183</t>
  </si>
  <si>
    <t>Šití vicryl un 2-0 bal. á 24 ks W9532T</t>
  </si>
  <si>
    <t>ZB201</t>
  </si>
  <si>
    <t>Šití ethilon bk 8-0 bal. á 12 ks W2812</t>
  </si>
  <si>
    <t>ZA959</t>
  </si>
  <si>
    <t>Šití safil fialový 3/0 (2) bal. á 36 ks C1048241</t>
  </si>
  <si>
    <t>ZG774</t>
  </si>
  <si>
    <t>Šití vicryl vi 6-0 bal. á 12 ks W9552</t>
  </si>
  <si>
    <t>ZB508</t>
  </si>
  <si>
    <t>Šití safil fialový 2/0 (3) bal. á 12 ks G1038716</t>
  </si>
  <si>
    <t>ZG004</t>
  </si>
  <si>
    <t>Šití safil fialový 1 (4) bal. á 12 ks G1038719</t>
  </si>
  <si>
    <t>ZB917</t>
  </si>
  <si>
    <t>Šití safil fialový 1 (4) bal. á 36 ks C1048553</t>
  </si>
  <si>
    <t>ZB555</t>
  </si>
  <si>
    <t>Šití prolen bl 3-0 bal. á 12 ks W8522</t>
  </si>
  <si>
    <t>Šití prolene bl 3-0 bal. á 12 ks W8522</t>
  </si>
  <si>
    <t>ZA854</t>
  </si>
  <si>
    <t>Šití PDSII vi 1 bal. á 24 ks W9262T</t>
  </si>
  <si>
    <t>ZD447</t>
  </si>
  <si>
    <t>Šití premicron zelený 3/0 (2) bal. á 36 ks C0026025</t>
  </si>
  <si>
    <t>ZB529</t>
  </si>
  <si>
    <t>Šití monosyn bezbarvý 3/0 (2) bal. á 36 ks C0023635</t>
  </si>
  <si>
    <t>ZL257</t>
  </si>
  <si>
    <t>Šití safil quick + bezb. 5/0 (1) bal. á 36 ks C1046311</t>
  </si>
  <si>
    <t>ZE522</t>
  </si>
  <si>
    <t>Šití premicron zelený 2 (5) bal. á 12 ks G0120064</t>
  </si>
  <si>
    <t>ZM977</t>
  </si>
  <si>
    <t>Šití safil fialový 1 (4) bal. á 36 ks C1048540</t>
  </si>
  <si>
    <t>ZB717</t>
  </si>
  <si>
    <t>Šití prolene bl 4-0 bal. á 12 ks W8845</t>
  </si>
  <si>
    <t>ZB787</t>
  </si>
  <si>
    <t>Šití premicron zelený 0 (3.5) bal. á 36 ks C0026058</t>
  </si>
  <si>
    <t>ZC013</t>
  </si>
  <si>
    <t>Šití safil fialový 2/0 (3) bal. á 36 ks C1048485</t>
  </si>
  <si>
    <t>ZN030</t>
  </si>
  <si>
    <t>Šítí optilene 5/0 (1) bal. á 36 ks C30909001</t>
  </si>
  <si>
    <t>ZN031</t>
  </si>
  <si>
    <t>Šítí optilene 6/0 (0.7) bal. á 36 ks C3090953</t>
  </si>
  <si>
    <t>ZF649</t>
  </si>
  <si>
    <t>Šití monomax fialový 1 (4)  bal. á 24 ks B0041222</t>
  </si>
  <si>
    <t>ZA248</t>
  </si>
  <si>
    <t>Šití prolen bl 2-0 bal. á 12 ks W8977</t>
  </si>
  <si>
    <t>ZA781</t>
  </si>
  <si>
    <t>Šití maxon 3/0 bal. á 36 ks 8886621741</t>
  </si>
  <si>
    <t>ZB219</t>
  </si>
  <si>
    <t>Šití safil fialový 2 (5) bal. á 24 ks B1048535</t>
  </si>
  <si>
    <t>ZB847</t>
  </si>
  <si>
    <t>Šití safil fialový 2/0 (3) bal. á 36 ks C1048055</t>
  </si>
  <si>
    <t>ZF643</t>
  </si>
  <si>
    <t>Šití vicryl vi 7-0 bal. á 12 ks W9565</t>
  </si>
  <si>
    <t>ZM354</t>
  </si>
  <si>
    <t>Šití PDSII vi 5-0 bal. á 36 ks W9108H</t>
  </si>
  <si>
    <t>ZC600</t>
  </si>
  <si>
    <t>Šití PDSII vi 1 bal. á 12 ks W9394</t>
  </si>
  <si>
    <t>ZG003</t>
  </si>
  <si>
    <t>Šití prolene bl 5-0 bal. á 12 ks W8816</t>
  </si>
  <si>
    <t>ZG672</t>
  </si>
  <si>
    <t>Šití safil quick + bezb. 4/0 (1.5) bal. á 36 ks C1046013</t>
  </si>
  <si>
    <t>ZI491</t>
  </si>
  <si>
    <t>Šití safil fialový 2/0 (3) bal. á 36 ks C1048060</t>
  </si>
  <si>
    <t>ZN282</t>
  </si>
  <si>
    <t>Šití ethilon bk 10-0 bal. á 12 ks W2810</t>
  </si>
  <si>
    <t>ZN283</t>
  </si>
  <si>
    <t>Šití ethilon bk 8-0 bal. á 12 ks W2808</t>
  </si>
  <si>
    <t>ZB178</t>
  </si>
  <si>
    <t>Šití ethilon bk 9-0 bal. á 12 ks W2813</t>
  </si>
  <si>
    <t>ZB200</t>
  </si>
  <si>
    <t>Šití ethibond gr 2-0 bal. á 20 ks X41003</t>
  </si>
  <si>
    <t>ZA360</t>
  </si>
  <si>
    <t>Jehla sterican 0,5 x 25 mm oranžová 9186158</t>
  </si>
  <si>
    <t>ZA833</t>
  </si>
  <si>
    <t>Jehla injekční 0,8 x 40 mm zelená 4657527</t>
  </si>
  <si>
    <t>ZA834</t>
  </si>
  <si>
    <t>Jehla injekční 0,7 x 40 mm černá 4660021</t>
  </si>
  <si>
    <t>ZA835</t>
  </si>
  <si>
    <t>Jehla injekční 0,6 x 25 mm modrá 4657667</t>
  </si>
  <si>
    <t>ZB168</t>
  </si>
  <si>
    <t>Jehla chirurgická B10</t>
  </si>
  <si>
    <t>ZB204</t>
  </si>
  <si>
    <t>Jehla chirurgická G11</t>
  </si>
  <si>
    <t>ZB248</t>
  </si>
  <si>
    <t>Jehla chirurgická G7</t>
  </si>
  <si>
    <t>ZB460</t>
  </si>
  <si>
    <t>Jehla chirurgicka G8</t>
  </si>
  <si>
    <t>ZB478</t>
  </si>
  <si>
    <t>Jehla chirurgická B11</t>
  </si>
  <si>
    <t>ZB480</t>
  </si>
  <si>
    <t>Jehla chirurgická G10</t>
  </si>
  <si>
    <t>ZB556</t>
  </si>
  <si>
    <t>Jehla injekční 1,2 x 40 mm růžová 4665120</t>
  </si>
  <si>
    <t>ZG676</t>
  </si>
  <si>
    <t>Jehla chirurgická s pérovými oušky bal. á 12 ks HSF - 17 3076</t>
  </si>
  <si>
    <t>ZG677</t>
  </si>
  <si>
    <t>Jehla chirurgická s pérovými oušky bal. á 12 ks HS - 26 3058</t>
  </si>
  <si>
    <t>ZB198</t>
  </si>
  <si>
    <t>Jehla chirurgická G3</t>
  </si>
  <si>
    <t>ZB133</t>
  </si>
  <si>
    <t>Jehla chirurgická G9</t>
  </si>
  <si>
    <t>ZG675</t>
  </si>
  <si>
    <t>Jehla chirurgická s pérovými oušky bal. á 12 ks HSF - 20 3075</t>
  </si>
  <si>
    <t>ZG673</t>
  </si>
  <si>
    <t>Jehla chirurgická s pérovými oušky bal. á 12 ks DSF - 25 3072</t>
  </si>
  <si>
    <t>ZG674</t>
  </si>
  <si>
    <t>Jehla chirurgická s pérovými oušky bal. á 12 ks DSF - 21 3073</t>
  </si>
  <si>
    <t>ZA310</t>
  </si>
  <si>
    <t>Jehla bioptická tru cat bal. á 5 ks HSPRE1415</t>
  </si>
  <si>
    <t>ZB482</t>
  </si>
  <si>
    <t>Jehla chirurgická G12</t>
  </si>
  <si>
    <t>ZB260</t>
  </si>
  <si>
    <t>Jehla chirurgická G5</t>
  </si>
  <si>
    <t>ZF984</t>
  </si>
  <si>
    <t>Jehla chirurgická B7</t>
  </si>
  <si>
    <t>ZE992</t>
  </si>
  <si>
    <t>Rukavice operační ansell sensi - touch vel. 6,0 bal. á 40 párů 8050151</t>
  </si>
  <si>
    <t>ZF107</t>
  </si>
  <si>
    <t>Rukavice operační latexové bez pudru ortpedic vel. 7,0 5788203</t>
  </si>
  <si>
    <t>ZF431</t>
  </si>
  <si>
    <t>Rukavice operační gammex PF sensitive vel. 7,5 353195</t>
  </si>
  <si>
    <t>ZK482</t>
  </si>
  <si>
    <t>Rukavice operační latexové bez pudru ortpedic vel. 8,0 5788205</t>
  </si>
  <si>
    <t>ZK483</t>
  </si>
  <si>
    <t>Rukavice operační latexové bez pudru ortpedic vel. 7,5 5788204</t>
  </si>
  <si>
    <t>ZK678</t>
  </si>
  <si>
    <t>Rukavice operační ansell dipos-a-glove vel. M ( 7-8) bal. á 50 párů kopolymerové MDG751EU</t>
  </si>
  <si>
    <t>ZK683</t>
  </si>
  <si>
    <t>Rukavice operační gammex PF sensitive vel. 7,0 353194</t>
  </si>
  <si>
    <t>ZL070</t>
  </si>
  <si>
    <t>Rukavice operační gammex bez pudru PF EnLite vel. 6,0 353382</t>
  </si>
  <si>
    <t>ZL071</t>
  </si>
  <si>
    <t>Rukavice operační gammex bez pudru PF EnLite vel. 6,5 353383</t>
  </si>
  <si>
    <t>ZL072</t>
  </si>
  <si>
    <t>Rukavice operační gammex bez pudru PF EnLite vel. 7,0 353384</t>
  </si>
  <si>
    <t>ZL073</t>
  </si>
  <si>
    <t>Rukavice operační gammex bez pudru PF EnLite vel. 7,5 353385</t>
  </si>
  <si>
    <t>ZL074</t>
  </si>
  <si>
    <t>Rukavice operační gammex bez pudru PF EnLite vel. 8,0 353386</t>
  </si>
  <si>
    <t>ZL425</t>
  </si>
  <si>
    <t>Rukavice operační ansell sensi - touch vel. 7,0 bal. á 40 párů 8050153</t>
  </si>
  <si>
    <t>ZL426</t>
  </si>
  <si>
    <t>Rukavice operační ansell sensi - touch vel. 7,5 bal. á 40 párů 8050194(8050154)</t>
  </si>
  <si>
    <t>ZL427</t>
  </si>
  <si>
    <t>Rukavice operační ansell sensi - touch vel. 8,0 bal. á 40 párů 8050195(8050155)</t>
  </si>
  <si>
    <t>ZJ718</t>
  </si>
  <si>
    <t>Rukavice operační gammex PF sensitive vel. 6,5 bal. á 25 párů 353193</t>
  </si>
  <si>
    <t>ZJ719</t>
  </si>
  <si>
    <t>Rukavice operační gammex PF sensitive vel. 6,0 bal. á 25 párů 353192</t>
  </si>
  <si>
    <t>ZL691</t>
  </si>
  <si>
    <t>Rukavice operační ansell sensi - touch vel. 5,5 bal. á 40 párů 8050190(8050150)</t>
  </si>
  <si>
    <t>ZF419</t>
  </si>
  <si>
    <t>Rukavice nitril dermagrip sterilní M bal. á 50 párů D1402-43</t>
  </si>
  <si>
    <t>ZM292</t>
  </si>
  <si>
    <t>Rukavice nitril sempercare bez p. M bal. á 200 ks 30803</t>
  </si>
  <si>
    <t>ZM293</t>
  </si>
  <si>
    <t>Rukavice nitril sempercare bez p. L bal. á 200 ks 30804</t>
  </si>
  <si>
    <t>ZN041</t>
  </si>
  <si>
    <t>Rukavice operační gammex ansell PF bez pudru 6,5 A351143</t>
  </si>
  <si>
    <t>ZN126</t>
  </si>
  <si>
    <t>Rukavice operační gammex ansell PF bez pudru 7,0 A351144</t>
  </si>
  <si>
    <t>ZN130</t>
  </si>
  <si>
    <t>Rukavice operační gammex ansell PF bez pudru 6,0 A351142</t>
  </si>
  <si>
    <t>ZN108</t>
  </si>
  <si>
    <t>Rukavice operační gammex ansell PF bez pudru 8,0 A351146</t>
  </si>
  <si>
    <t>ZN125</t>
  </si>
  <si>
    <t>Rukavice operační gammex ansell PF bez pudru 7,5 A351145</t>
  </si>
  <si>
    <t>ZL172</t>
  </si>
  <si>
    <t>Rukavice operační ansell dipos-a-glove vel. S bal. á 50 párů kopolymerové MDG651EU</t>
  </si>
  <si>
    <t>ZN040</t>
  </si>
  <si>
    <t>Rukavice operační gammex ansell PF bez pudru 8,5 A351147</t>
  </si>
  <si>
    <t>ZI401</t>
  </si>
  <si>
    <t>Šití V-LOC délka stehu 30 cm bal. á 12 ks VLOCL0615</t>
  </si>
  <si>
    <t>ZI400</t>
  </si>
  <si>
    <t>Šití V-LOC délka stehu 15 cm bal. á 12 ks VLOCM0604</t>
  </si>
  <si>
    <t>ZC676</t>
  </si>
  <si>
    <t>Šití vicryl plus vi 3-0 bal. á 36 ks VCP3160H</t>
  </si>
  <si>
    <t>ZB026</t>
  </si>
  <si>
    <t>Hadice silikon 5 x 9,00 x 2,00 mm á 10 m pro drenáž těl.dutin KVS 60-050090</t>
  </si>
  <si>
    <t>ZH072</t>
  </si>
  <si>
    <t>Hadice spojovací k odsávacím soupravám CH30 délka 3 m 07.068.30.301</t>
  </si>
  <si>
    <t>ZB502</t>
  </si>
  <si>
    <t>Hadice silikon 3 x 5 mm á 25 m 34.000.00.103</t>
  </si>
  <si>
    <t>ZL627</t>
  </si>
  <si>
    <t>Hadice silikon 4 x 6,00 x 1,00 mm á 10 m pro drenáž tělních dutin KVS 60-040060</t>
  </si>
  <si>
    <t>ZE385</t>
  </si>
  <si>
    <t>Hadice silikon 1 x 3,0 mm á 25 m 34.000.00.100</t>
  </si>
  <si>
    <t>ZD822</t>
  </si>
  <si>
    <t>Hadice silikon 6 x 10,0 x 2,00 mm á 10 m KVS 60-060100</t>
  </si>
  <si>
    <t>ZA006</t>
  </si>
  <si>
    <t>Obvaz elastický síťový pruban č. 8 427308</t>
  </si>
  <si>
    <t>ZA008</t>
  </si>
  <si>
    <t>Obvaz elastický síťový pruban č. 10 427310</t>
  </si>
  <si>
    <t>ZA090</t>
  </si>
  <si>
    <t>Vata buničitá přířezy 37 x 57 cm 2730152</t>
  </si>
  <si>
    <t>ZA444</t>
  </si>
  <si>
    <t>Tampon nesterilní stáčený 20 x 19 cm bez RTG nití bal. á 100 ks 1320300404</t>
  </si>
  <si>
    <t>Fólie incizní raucodrape sterilní 45 x 50 cm 23445</t>
  </si>
  <si>
    <t>ZA643</t>
  </si>
  <si>
    <t>Kompresa vliwasoft 10 x 20 nesterilní á 100 ks 12070</t>
  </si>
  <si>
    <t>ZA646</t>
  </si>
  <si>
    <t>Přířez steril. rolo. 12 x 120 cm/4 vr.á 2 ks, bal. 200 ks 1230116032</t>
  </si>
  <si>
    <t>ZC506</t>
  </si>
  <si>
    <t>Kompresa NT 10 x 10 cm / 5 ks sterilní 1325020275</t>
  </si>
  <si>
    <t>ZC725</t>
  </si>
  <si>
    <t>Obvaz ortho-pad 15 cm x 3 m 1320105005</t>
  </si>
  <si>
    <t>ZC848</t>
  </si>
  <si>
    <t>Obvaz ortho-pad 10 cm x 3 m karton á 120 ks 1320105004</t>
  </si>
  <si>
    <t>ZE314</t>
  </si>
  <si>
    <t>Tampon sterilní stáčený 19 x 20 cm / 10 ks 0446</t>
  </si>
  <si>
    <t>ZI600</t>
  </si>
  <si>
    <t>Náplast curapor 10 x 15 cm 22122 ( náhrada za cosmopor )</t>
  </si>
  <si>
    <t>ZI601</t>
  </si>
  <si>
    <t>Náplast curapor 10 x 20 cm 22123 ( náhrada za cosmopor )</t>
  </si>
  <si>
    <t>ZA488</t>
  </si>
  <si>
    <t>Tampon nesterilní stáčený 9 x 9 cm karton á 12 000 ks 1320300411</t>
  </si>
  <si>
    <t>ZD054</t>
  </si>
  <si>
    <t>Gáza skládaná sterilní 8 x 17 cm / 2 ks 12 vrstev karton á 1000 ks 37016</t>
  </si>
  <si>
    <t>ZA194</t>
  </si>
  <si>
    <t>Krytí surgicel standard 5 x 1,25 cm bal. á 12 ks 1906GB</t>
  </si>
  <si>
    <t>ZM326</t>
  </si>
  <si>
    <t>Krytí nevstřebatelné textilní hemopatch kit. box medium 4,5 x 4,5 cm bal. á 3 ks 1503746</t>
  </si>
  <si>
    <t>ZM952</t>
  </si>
  <si>
    <t>Krytí mepilex border post-op sterilní 9 x 15 cm bal. á 10 ks 495300</t>
  </si>
  <si>
    <t>ZE172</t>
  </si>
  <si>
    <t>Krytí surgicel nu-knit 7,5 x 10 cm bal. á 12 ks 1943GB</t>
  </si>
  <si>
    <t>ZM332</t>
  </si>
  <si>
    <t>Krytí nevstřebatelné textilní hemopatch kit. box medium 4,5 x 9 cm bal. á 3 ks 1503747</t>
  </si>
  <si>
    <t>ZA817</t>
  </si>
  <si>
    <t>Zkumavka PS 10 ml sterilní 400914</t>
  </si>
  <si>
    <t>ZB758</t>
  </si>
  <si>
    <t>Zkumavka 9 ml K3 edta NR 455036</t>
  </si>
  <si>
    <t>ZC900</t>
  </si>
  <si>
    <t>Systém odsávací hi-vac 200 ml-komplet bal. á 60 ks 05.000.22.801</t>
  </si>
  <si>
    <t>ZC129</t>
  </si>
  <si>
    <t>ZE132</t>
  </si>
  <si>
    <t>Kleště jednorázové úchopové atraumatické D5/310 bal. á 10 ks PO893SU</t>
  </si>
  <si>
    <t>ZC644</t>
  </si>
  <si>
    <t>Trubička ventilační 2,55/1,3 mm E1105</t>
  </si>
  <si>
    <t>ZA678</t>
  </si>
  <si>
    <t>Katetr močový foley 8CH bal. á 12 ks 2908-02</t>
  </si>
  <si>
    <t>Lepidlo tkáňové 5 ml floseal 1503353</t>
  </si>
  <si>
    <t>ZK372</t>
  </si>
  <si>
    <t>Izolace ADTEC mini 3,5/290 mm PM986P</t>
  </si>
  <si>
    <t>ZM039</t>
  </si>
  <si>
    <t>Kanyla odsávací barron 1 mm GF935R</t>
  </si>
  <si>
    <t>ZB296</t>
  </si>
  <si>
    <t>Mikroskalpel Stab Blade/Tip 22,5° Straig 72-2202</t>
  </si>
  <si>
    <t>ZE490</t>
  </si>
  <si>
    <t>Nůžky zahnuté Iris SC 113 09 98111</t>
  </si>
  <si>
    <t>ZM622</t>
  </si>
  <si>
    <t>Můstek sterilní pooperační smyčkový 100 mm bal. á 10 ks 5026</t>
  </si>
  <si>
    <t>ZA695</t>
  </si>
  <si>
    <t>Držák skalpelových čepelek č. 4 135 mm BB084R</t>
  </si>
  <si>
    <t>ZB069</t>
  </si>
  <si>
    <t>Držák skalpelových čepelek č. 3 BB073R</t>
  </si>
  <si>
    <t>ZI250</t>
  </si>
  <si>
    <t>Jehelec BM066R</t>
  </si>
  <si>
    <t>ZJ806</t>
  </si>
  <si>
    <t>Nůžky zahnuté durotip nelson-metzenbaum BC267R</t>
  </si>
  <si>
    <t>ZJ840</t>
  </si>
  <si>
    <t>Svorka hemostatická heiss tenká zahnutá 200mm BH207R</t>
  </si>
  <si>
    <t>ZJ866</t>
  </si>
  <si>
    <t>Jehelec durogrip Hegar - Mayo 205 mm BM067R</t>
  </si>
  <si>
    <t>ZK075</t>
  </si>
  <si>
    <t>Svorka atraum. rochester pean 225 mm BH448R</t>
  </si>
  <si>
    <t>ZK183</t>
  </si>
  <si>
    <t>Násadka skalpelu č. 3l BB075R</t>
  </si>
  <si>
    <t>ZN284</t>
  </si>
  <si>
    <t>Stojánek k liposukční sadě Medicom 09.87.86</t>
  </si>
  <si>
    <t>ZN285</t>
  </si>
  <si>
    <t>Adapter transfer L - R k liposukční sadě Medicon 09.88.83</t>
  </si>
  <si>
    <t>ZF936</t>
  </si>
  <si>
    <t>Světlovod 3 m WA03210A</t>
  </si>
  <si>
    <t>Světlovod 3 m WA03310A</t>
  </si>
  <si>
    <t>ZD125</t>
  </si>
  <si>
    <t>Převodník k harmonickému skalpelu HP054</t>
  </si>
  <si>
    <t>ZE129</t>
  </si>
  <si>
    <t>Tubus zevní izol. 5/5 mm 310 mm PM973R</t>
  </si>
  <si>
    <t>ZH517</t>
  </si>
  <si>
    <t>Tubus trokarový 11,0 x 80 mm insuflace závit A5859</t>
  </si>
  <si>
    <t>ZI115</t>
  </si>
  <si>
    <t>Bodec do LSK trokaru-trocar spike A5817</t>
  </si>
  <si>
    <t>ZA774</t>
  </si>
  <si>
    <t>Kleště bioptické Richard Wolf prům. 3 mm délka 270 mm 828023</t>
  </si>
  <si>
    <t>ZA866</t>
  </si>
  <si>
    <t>Šití prolen bl 6-0 bal. á 12 ks W8802</t>
  </si>
  <si>
    <t>ZB181</t>
  </si>
  <si>
    <t>Šití prolen bl 5-0 bal. á 36 ks EH7176H</t>
  </si>
  <si>
    <t>ZB185</t>
  </si>
  <si>
    <t>Šití vicryl un 4-0 bal. á 12 ks W9951</t>
  </si>
  <si>
    <t>ZD188</t>
  </si>
  <si>
    <t>Šití monocryl un 5-0 bal. á 12 ks W3221</t>
  </si>
  <si>
    <t>ZB115</t>
  </si>
  <si>
    <t>Šití prolen bl 3-0 bal. á 12 ks W8849</t>
  </si>
  <si>
    <t>ZH167</t>
  </si>
  <si>
    <t>Šití PDS plus 1 bal. á 24 ks PDP1935T</t>
  </si>
  <si>
    <t>ZF256</t>
  </si>
  <si>
    <t>Šití vicryl vi 5-0 bal. á 12 ks W9442</t>
  </si>
  <si>
    <t>ZB019</t>
  </si>
  <si>
    <t>Šití monosyn bezbarvý 4/0 (1.5) bal. á 36 ks C0023204</t>
  </si>
  <si>
    <t>ZB241</t>
  </si>
  <si>
    <t>Šití vicryl plus vi 5-0 bal. á 36 ks VCP303H</t>
  </si>
  <si>
    <t>ZC878</t>
  </si>
  <si>
    <t>Šití vicryl plus vi 4-0 bal. á 36 ks VCP3100H</t>
  </si>
  <si>
    <t>ZB205</t>
  </si>
  <si>
    <t>Jehla chirurgická G4</t>
  </si>
  <si>
    <t>ZA890</t>
  </si>
  <si>
    <t>Elektroda neutrální jednorázová 20193-071</t>
  </si>
  <si>
    <t>ZA699</t>
  </si>
  <si>
    <t>Hadice pryžová 7/10 Z1272315521150</t>
  </si>
  <si>
    <t>50115050</t>
  </si>
  <si>
    <t>502 SZM obvazový (112 02 040)</t>
  </si>
  <si>
    <t>50115060</t>
  </si>
  <si>
    <t>503 SZM ostatní zdravotnický (112 02 100)</t>
  </si>
  <si>
    <t>50115004</t>
  </si>
  <si>
    <t>506 SZM umělé tělní náhrady kovové (112 02 030)</t>
  </si>
  <si>
    <t>50115061</t>
  </si>
  <si>
    <t>512 SZM robotické centrum (112 02 103)</t>
  </si>
  <si>
    <t>50115080</t>
  </si>
  <si>
    <t>523 SZM staplery, endosk., optika, extraktory (112 02 102)</t>
  </si>
  <si>
    <t>50115063</t>
  </si>
  <si>
    <t>528 SZM sety (112 02 105)</t>
  </si>
  <si>
    <t>50115064</t>
  </si>
  <si>
    <t>529 SZM šicí materiál (112 02 106)</t>
  </si>
  <si>
    <t>50115065</t>
  </si>
  <si>
    <t>530 SZM jehly (112 02 107)</t>
  </si>
  <si>
    <t>50115067</t>
  </si>
  <si>
    <t>532 SZM Rukavice (112 02 108)</t>
  </si>
  <si>
    <t>50115066</t>
  </si>
  <si>
    <t>531 SZM šicí materiál - robot (112 02 112)</t>
  </si>
  <si>
    <t>50115079</t>
  </si>
  <si>
    <t>542 SZM Intenzivní péče (112 02 100)</t>
  </si>
  <si>
    <t>Spotřeba zdravotnického materiálu - orientační přehled</t>
  </si>
  <si>
    <t>ON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</si>
</sst>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71" formatCode="0.000"/>
    <numFmt numFmtId="173" formatCode="#,##0;\-#,##0;"/>
    <numFmt numFmtId="174" formatCode="General;\-General;"/>
    <numFmt numFmtId="175" formatCode="0%;\-0%;"/>
    <numFmt numFmtId="176" formatCode="#,##0%"/>
  </numFmts>
  <fonts count="57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2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98">
    <xf numFmtId="0" fontId="0" fillId="0" borderId="0"/>
    <xf numFmtId="0" fontId="25" fillId="0" borderId="0" applyNumberForma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460">
    <xf numFmtId="0" fontId="0" fillId="0" borderId="0" xfId="0"/>
    <xf numFmtId="0" fontId="27" fillId="2" borderId="17" xfId="81" applyFont="1" applyFill="1" applyBorder="1"/>
    <xf numFmtId="0" fontId="28" fillId="2" borderId="18" xfId="81" applyFont="1" applyFill="1" applyBorder="1"/>
    <xf numFmtId="3" fontId="28" fillId="2" borderId="19" xfId="81" applyNumberFormat="1" applyFont="1" applyFill="1" applyBorder="1"/>
    <xf numFmtId="0" fontId="28" fillId="4" borderId="18" xfId="81" applyFont="1" applyFill="1" applyBorder="1"/>
    <xf numFmtId="3" fontId="28" fillId="4" borderId="19" xfId="81" applyNumberFormat="1" applyFont="1" applyFill="1" applyBorder="1"/>
    <xf numFmtId="171" fontId="28" fillId="3" borderId="19" xfId="81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4" xfId="81" applyNumberFormat="1" applyFont="1" applyFill="1" applyBorder="1"/>
    <xf numFmtId="3" fontId="27" fillId="5" borderId="8" xfId="81" applyNumberFormat="1" applyFont="1" applyFill="1" applyBorder="1"/>
    <xf numFmtId="3" fontId="27" fillId="5" borderId="12" xfId="81" applyNumberFormat="1" applyFont="1" applyFill="1" applyBorder="1"/>
    <xf numFmtId="0" fontId="27" fillId="5" borderId="0" xfId="81" applyFont="1" applyFill="1"/>
    <xf numFmtId="10" fontId="27" fillId="5" borderId="0" xfId="81" applyNumberFormat="1" applyFont="1" applyFill="1"/>
    <xf numFmtId="0" fontId="37" fillId="2" borderId="33" xfId="0" applyFont="1" applyFill="1" applyBorder="1" applyAlignment="1">
      <alignment vertical="top"/>
    </xf>
    <xf numFmtId="0" fontId="37" fillId="2" borderId="34" xfId="0" applyFont="1" applyFill="1" applyBorder="1" applyAlignment="1">
      <alignment vertical="top"/>
    </xf>
    <xf numFmtId="0" fontId="34" fillId="2" borderId="34" xfId="0" applyFont="1" applyFill="1" applyBorder="1" applyAlignment="1">
      <alignment vertical="top"/>
    </xf>
    <xf numFmtId="0" fontId="38" fillId="2" borderId="34" xfId="0" applyFont="1" applyFill="1" applyBorder="1" applyAlignment="1">
      <alignment vertical="top"/>
    </xf>
    <xf numFmtId="0" fontId="36" fillId="2" borderId="34" xfId="0" applyFont="1" applyFill="1" applyBorder="1" applyAlignment="1">
      <alignment vertical="top"/>
    </xf>
    <xf numFmtId="0" fontId="34" fillId="2" borderId="35" xfId="0" applyFont="1" applyFill="1" applyBorder="1" applyAlignment="1">
      <alignment vertical="top"/>
    </xf>
    <xf numFmtId="0" fontId="37" fillId="2" borderId="8" xfId="0" applyFont="1" applyFill="1" applyBorder="1" applyAlignment="1">
      <alignment horizontal="center" vertical="center"/>
    </xf>
    <xf numFmtId="0" fontId="37" fillId="2" borderId="21" xfId="0" applyFont="1" applyFill="1" applyBorder="1" applyAlignment="1">
      <alignment horizontal="center" vertical="center"/>
    </xf>
    <xf numFmtId="0" fontId="37" fillId="2" borderId="23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8" fillId="2" borderId="21" xfId="0" applyFont="1" applyFill="1" applyBorder="1" applyAlignment="1">
      <alignment horizontal="center" vertical="center" wrapText="1"/>
    </xf>
    <xf numFmtId="0" fontId="38" fillId="2" borderId="23" xfId="0" applyFont="1" applyFill="1" applyBorder="1" applyAlignment="1">
      <alignment horizontal="center" vertical="center" wrapText="1"/>
    </xf>
    <xf numFmtId="0" fontId="36" fillId="2" borderId="23" xfId="0" applyFont="1" applyFill="1" applyBorder="1" applyAlignment="1">
      <alignment horizontal="center" vertical="center" wrapText="1"/>
    </xf>
    <xf numFmtId="3" fontId="27" fillId="5" borderId="4" xfId="81" applyNumberFormat="1" applyFont="1" applyFill="1" applyBorder="1"/>
    <xf numFmtId="3" fontId="27" fillId="5" borderId="29" xfId="81" applyNumberFormat="1" applyFont="1" applyFill="1" applyBorder="1"/>
    <xf numFmtId="3" fontId="27" fillId="5" borderId="25" xfId="81" applyNumberFormat="1" applyFont="1" applyFill="1" applyBorder="1"/>
    <xf numFmtId="3" fontId="27" fillId="5" borderId="9" xfId="81" applyNumberFormat="1" applyFont="1" applyFill="1" applyBorder="1"/>
    <xf numFmtId="3" fontId="27" fillId="5" borderId="10" xfId="81" applyNumberFormat="1" applyFont="1" applyFill="1" applyBorder="1"/>
    <xf numFmtId="3" fontId="27" fillId="5" borderId="13" xfId="81" applyNumberFormat="1" applyFont="1" applyFill="1" applyBorder="1"/>
    <xf numFmtId="3" fontId="27" fillId="5" borderId="14" xfId="81" applyNumberFormat="1" applyFont="1" applyFill="1" applyBorder="1"/>
    <xf numFmtId="3" fontId="28" fillId="2" borderId="27" xfId="81" applyNumberFormat="1" applyFont="1" applyFill="1" applyBorder="1"/>
    <xf numFmtId="3" fontId="28" fillId="2" borderId="20" xfId="81" applyNumberFormat="1" applyFont="1" applyFill="1" applyBorder="1"/>
    <xf numFmtId="3" fontId="28" fillId="4" borderId="27" xfId="81" applyNumberFormat="1" applyFont="1" applyFill="1" applyBorder="1"/>
    <xf numFmtId="3" fontId="28" fillId="4" borderId="20" xfId="81" applyNumberFormat="1" applyFont="1" applyFill="1" applyBorder="1"/>
    <xf numFmtId="171" fontId="28" fillId="3" borderId="27" xfId="81" applyNumberFormat="1" applyFont="1" applyFill="1" applyBorder="1"/>
    <xf numFmtId="171" fontId="28" fillId="3" borderId="20" xfId="81" applyNumberFormat="1" applyFont="1" applyFill="1" applyBorder="1"/>
    <xf numFmtId="0" fontId="31" fillId="2" borderId="25" xfId="81" applyFont="1" applyFill="1" applyBorder="1" applyAlignment="1">
      <alignment horizontal="center"/>
    </xf>
    <xf numFmtId="0" fontId="39" fillId="0" borderId="1" xfId="0" applyFont="1" applyFill="1" applyBorder="1"/>
    <xf numFmtId="0" fontId="39" fillId="0" borderId="2" xfId="0" applyFont="1" applyFill="1" applyBorder="1"/>
    <xf numFmtId="3" fontId="28" fillId="0" borderId="27" xfId="78" applyNumberFormat="1" applyFont="1" applyFill="1" applyBorder="1" applyAlignment="1">
      <alignment horizontal="right"/>
    </xf>
    <xf numFmtId="9" fontId="28" fillId="0" borderId="27" xfId="78" applyNumberFormat="1" applyFont="1" applyFill="1" applyBorder="1" applyAlignment="1">
      <alignment horizontal="right"/>
    </xf>
    <xf numFmtId="3" fontId="28" fillId="0" borderId="20" xfId="78" applyNumberFormat="1" applyFont="1" applyFill="1" applyBorder="1" applyAlignment="1">
      <alignment horizontal="right"/>
    </xf>
    <xf numFmtId="0" fontId="32" fillId="0" borderId="36" xfId="0" applyFont="1" applyFill="1" applyBorder="1" applyAlignment="1"/>
    <xf numFmtId="0" fontId="40" fillId="0" borderId="0" xfId="0" applyFont="1" applyFill="1" applyBorder="1" applyAlignment="1"/>
    <xf numFmtId="3" fontId="33" fillId="0" borderId="7" xfId="0" applyNumberFormat="1" applyFont="1" applyFill="1" applyBorder="1" applyAlignment="1">
      <alignment horizontal="right" vertical="top"/>
    </xf>
    <xf numFmtId="3" fontId="33" fillId="0" borderId="5" xfId="0" applyNumberFormat="1" applyFont="1" applyFill="1" applyBorder="1" applyAlignment="1">
      <alignment horizontal="right" vertical="top"/>
    </xf>
    <xf numFmtId="3" fontId="34" fillId="0" borderId="5" xfId="0" applyNumberFormat="1" applyFont="1" applyFill="1" applyBorder="1" applyAlignment="1">
      <alignment horizontal="right" vertical="top"/>
    </xf>
    <xf numFmtId="3" fontId="33" fillId="0" borderId="11" xfId="0" applyNumberFormat="1" applyFont="1" applyFill="1" applyBorder="1" applyAlignment="1">
      <alignment horizontal="right" vertical="top"/>
    </xf>
    <xf numFmtId="3" fontId="33" fillId="0" borderId="9" xfId="0" applyNumberFormat="1" applyFont="1" applyFill="1" applyBorder="1" applyAlignment="1">
      <alignment horizontal="right" vertical="top"/>
    </xf>
    <xf numFmtId="3" fontId="34" fillId="0" borderId="9" xfId="0" applyNumberFormat="1" applyFont="1" applyFill="1" applyBorder="1" applyAlignment="1">
      <alignment horizontal="right" vertical="top"/>
    </xf>
    <xf numFmtId="3" fontId="35" fillId="0" borderId="11" xfId="0" applyNumberFormat="1" applyFont="1" applyFill="1" applyBorder="1" applyAlignment="1">
      <alignment horizontal="right" vertical="top"/>
    </xf>
    <xf numFmtId="3" fontId="35" fillId="0" borderId="9" xfId="0" applyNumberFormat="1" applyFont="1" applyFill="1" applyBorder="1" applyAlignment="1">
      <alignment horizontal="right" vertical="top"/>
    </xf>
    <xf numFmtId="3" fontId="36" fillId="0" borderId="9" xfId="0" applyNumberFormat="1" applyFont="1" applyFill="1" applyBorder="1" applyAlignment="1">
      <alignment horizontal="right" vertical="top"/>
    </xf>
    <xf numFmtId="3" fontId="33" fillId="0" borderId="32" xfId="0" applyNumberFormat="1" applyFont="1" applyFill="1" applyBorder="1" applyAlignment="1">
      <alignment horizontal="right" vertical="top"/>
    </xf>
    <xf numFmtId="3" fontId="33" fillId="0" borderId="23" xfId="0" applyNumberFormat="1" applyFont="1" applyFill="1" applyBorder="1" applyAlignment="1">
      <alignment horizontal="right" vertical="top"/>
    </xf>
    <xf numFmtId="3" fontId="34" fillId="0" borderId="23" xfId="0" applyNumberFormat="1" applyFont="1" applyFill="1" applyBorder="1" applyAlignment="1">
      <alignment horizontal="right" vertical="top"/>
    </xf>
    <xf numFmtId="0" fontId="6" fillId="0" borderId="0" xfId="82" applyFont="1" applyFill="1"/>
    <xf numFmtId="0" fontId="8" fillId="0" borderId="36" xfId="82" applyFont="1" applyFill="1" applyBorder="1" applyAlignment="1"/>
    <xf numFmtId="0" fontId="29" fillId="0" borderId="0" xfId="49" applyFont="1" applyFill="1"/>
    <xf numFmtId="3" fontId="6" fillId="0" borderId="0" xfId="78" applyNumberFormat="1" applyFont="1" applyFill="1" applyAlignment="1">
      <alignment horizontal="left"/>
    </xf>
    <xf numFmtId="9" fontId="6" fillId="0" borderId="0" xfId="78" applyNumberFormat="1" applyFont="1" applyFill="1"/>
    <xf numFmtId="3" fontId="6" fillId="0" borderId="0" xfId="78" applyNumberFormat="1" applyFont="1" applyFill="1"/>
    <xf numFmtId="0" fontId="32" fillId="0" borderId="30" xfId="0" applyFont="1" applyFill="1" applyBorder="1" applyAlignment="1"/>
    <xf numFmtId="0" fontId="32" fillId="0" borderId="31" xfId="0" applyFont="1" applyFill="1" applyBorder="1" applyAlignment="1"/>
    <xf numFmtId="0" fontId="32" fillId="0" borderId="52" xfId="0" applyFont="1" applyFill="1" applyBorder="1" applyAlignment="1"/>
    <xf numFmtId="0" fontId="28" fillId="2" borderId="26" xfId="78" applyFont="1" applyFill="1" applyBorder="1" applyAlignment="1">
      <alignment horizontal="right"/>
    </xf>
    <xf numFmtId="3" fontId="28" fillId="2" borderId="51" xfId="78" applyNumberFormat="1" applyFont="1" applyFill="1" applyBorder="1"/>
    <xf numFmtId="0" fontId="32" fillId="0" borderId="25" xfId="0" applyFont="1" applyBorder="1" applyAlignment="1"/>
    <xf numFmtId="0" fontId="32" fillId="5" borderId="6" xfId="0" applyFont="1" applyFill="1" applyBorder="1"/>
    <xf numFmtId="0" fontId="32" fillId="5" borderId="10" xfId="0" applyFont="1" applyFill="1" applyBorder="1"/>
    <xf numFmtId="0" fontId="32" fillId="5" borderId="22" xfId="0" applyFont="1" applyFill="1" applyBorder="1"/>
    <xf numFmtId="0" fontId="32" fillId="5" borderId="36" xfId="0" applyFont="1" applyFill="1" applyBorder="1"/>
    <xf numFmtId="0" fontId="32" fillId="5" borderId="42" xfId="0" applyFont="1" applyFill="1" applyBorder="1"/>
    <xf numFmtId="9" fontId="34" fillId="0" borderId="6" xfId="0" applyNumberFormat="1" applyFont="1" applyFill="1" applyBorder="1" applyAlignment="1">
      <alignment horizontal="right" vertical="top"/>
    </xf>
    <xf numFmtId="9" fontId="34" fillId="0" borderId="10" xfId="0" applyNumberFormat="1" applyFont="1" applyFill="1" applyBorder="1" applyAlignment="1">
      <alignment horizontal="right" vertical="top"/>
    </xf>
    <xf numFmtId="9" fontId="36" fillId="0" borderId="10" xfId="0" applyNumberFormat="1" applyFont="1" applyFill="1" applyBorder="1" applyAlignment="1">
      <alignment horizontal="right" vertical="top"/>
    </xf>
    <xf numFmtId="9" fontId="34" fillId="0" borderId="22" xfId="0" applyNumberFormat="1" applyFont="1" applyFill="1" applyBorder="1" applyAlignment="1">
      <alignment horizontal="right" vertical="top"/>
    </xf>
    <xf numFmtId="3" fontId="31" fillId="0" borderId="29" xfId="53" applyNumberFormat="1" applyFont="1" applyFill="1" applyBorder="1"/>
    <xf numFmtId="3" fontId="31" fillId="0" borderId="25" xfId="53" applyNumberFormat="1" applyFont="1" applyFill="1" applyBorder="1"/>
    <xf numFmtId="0" fontId="28" fillId="0" borderId="2" xfId="78" applyFont="1" applyFill="1" applyBorder="1" applyAlignment="1">
      <alignment horizontal="left"/>
    </xf>
    <xf numFmtId="0" fontId="31" fillId="2" borderId="38" xfId="74" applyFont="1" applyFill="1" applyBorder="1" applyAlignment="1">
      <alignment horizontal="center"/>
    </xf>
    <xf numFmtId="0" fontId="27" fillId="5" borderId="36" xfId="81" applyFont="1" applyFill="1" applyBorder="1"/>
    <xf numFmtId="0" fontId="31" fillId="2" borderId="23" xfId="81" applyFont="1" applyFill="1" applyBorder="1" applyAlignment="1">
      <alignment horizontal="center"/>
    </xf>
    <xf numFmtId="0" fontId="31" fillId="2" borderId="22" xfId="81" applyFont="1" applyFill="1" applyBorder="1" applyAlignment="1">
      <alignment horizontal="center"/>
    </xf>
    <xf numFmtId="0" fontId="32" fillId="0" borderId="0" xfId="0" applyFont="1" applyFill="1" applyBorder="1" applyAlignment="1"/>
    <xf numFmtId="0" fontId="44" fillId="2" borderId="17" xfId="1" applyFont="1" applyFill="1" applyBorder="1"/>
    <xf numFmtId="0" fontId="45" fillId="0" borderId="0" xfId="0" applyFont="1" applyFill="1"/>
    <xf numFmtId="0" fontId="46" fillId="0" borderId="0" xfId="0" applyFont="1" applyFill="1"/>
    <xf numFmtId="0" fontId="46" fillId="0" borderId="0" xfId="0" applyFont="1" applyFill="1" applyBorder="1"/>
    <xf numFmtId="3" fontId="32" fillId="0" borderId="29" xfId="0" applyNumberFormat="1" applyFont="1" applyFill="1" applyBorder="1"/>
    <xf numFmtId="3" fontId="32" fillId="0" borderId="24" xfId="0" applyNumberFormat="1" applyFont="1" applyFill="1" applyBorder="1"/>
    <xf numFmtId="3" fontId="32" fillId="0" borderId="8" xfId="0" applyNumberFormat="1" applyFont="1" applyFill="1" applyBorder="1"/>
    <xf numFmtId="3" fontId="32" fillId="0" borderId="9" xfId="0" applyNumberFormat="1" applyFont="1" applyFill="1" applyBorder="1"/>
    <xf numFmtId="3" fontId="32" fillId="0" borderId="12" xfId="0" applyNumberFormat="1" applyFont="1" applyFill="1" applyBorder="1"/>
    <xf numFmtId="3" fontId="32" fillId="0" borderId="13" xfId="0" applyNumberFormat="1" applyFont="1" applyFill="1" applyBorder="1"/>
    <xf numFmtId="9" fontId="32" fillId="0" borderId="25" xfId="0" applyNumberFormat="1" applyFont="1" applyFill="1" applyBorder="1"/>
    <xf numFmtId="9" fontId="32" fillId="0" borderId="10" xfId="0" applyNumberFormat="1" applyFont="1" applyFill="1" applyBorder="1"/>
    <xf numFmtId="9" fontId="32" fillId="0" borderId="14" xfId="0" applyNumberFormat="1" applyFont="1" applyFill="1" applyBorder="1"/>
    <xf numFmtId="9" fontId="28" fillId="2" borderId="20" xfId="81" applyNumberFormat="1" applyFont="1" applyFill="1" applyBorder="1"/>
    <xf numFmtId="9" fontId="28" fillId="4" borderId="20" xfId="81" applyNumberFormat="1" applyFont="1" applyFill="1" applyBorder="1"/>
    <xf numFmtId="9" fontId="28" fillId="3" borderId="20" xfId="81" applyNumberFormat="1" applyFont="1" applyFill="1" applyBorder="1"/>
    <xf numFmtId="0" fontId="31" fillId="2" borderId="21" xfId="81" applyFont="1" applyFill="1" applyBorder="1" applyAlignment="1">
      <alignment horizontal="center"/>
    </xf>
    <xf numFmtId="49" fontId="37" fillId="2" borderId="9" xfId="0" applyNumberFormat="1" applyFont="1" applyFill="1" applyBorder="1" applyAlignment="1">
      <alignment horizontal="center" vertical="center"/>
    </xf>
    <xf numFmtId="0" fontId="32" fillId="0" borderId="0" xfId="0" applyFont="1" applyFill="1"/>
    <xf numFmtId="0" fontId="32" fillId="0" borderId="42" xfId="0" applyFont="1" applyFill="1" applyBorder="1" applyAlignment="1"/>
    <xf numFmtId="0" fontId="32" fillId="0" borderId="0" xfId="0" applyFont="1" applyFill="1" applyAlignment="1"/>
    <xf numFmtId="0" fontId="44" fillId="4" borderId="33" xfId="1" applyFont="1" applyFill="1" applyBorder="1"/>
    <xf numFmtId="0" fontId="44" fillId="4" borderId="17" xfId="1" applyFont="1" applyFill="1" applyBorder="1"/>
    <xf numFmtId="0" fontId="44" fillId="3" borderId="18" xfId="1" applyFont="1" applyFill="1" applyBorder="1"/>
    <xf numFmtId="0" fontId="47" fillId="0" borderId="0" xfId="0" applyFont="1" applyFill="1" applyBorder="1" applyAlignment="1">
      <alignment vertical="center"/>
    </xf>
    <xf numFmtId="0" fontId="47" fillId="0" borderId="0" xfId="0" applyFont="1" applyFill="1" applyAlignment="1">
      <alignment vertical="center"/>
    </xf>
    <xf numFmtId="0" fontId="32" fillId="2" borderId="2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164" fontId="31" fillId="2" borderId="24" xfId="53" applyNumberFormat="1" applyFont="1" applyFill="1" applyBorder="1" applyAlignment="1">
      <alignment horizontal="right"/>
    </xf>
    <xf numFmtId="0" fontId="44" fillId="3" borderId="8" xfId="1" applyFont="1" applyFill="1" applyBorder="1"/>
    <xf numFmtId="0" fontId="44" fillId="3" borderId="4" xfId="1" applyFont="1" applyFill="1" applyBorder="1"/>
    <xf numFmtId="0" fontId="44" fillId="6" borderId="4" xfId="1" applyFont="1" applyFill="1" applyBorder="1"/>
    <xf numFmtId="0" fontId="44" fillId="6" borderId="50" xfId="1" applyFont="1" applyFill="1" applyBorder="1"/>
    <xf numFmtId="0" fontId="44" fillId="2" borderId="4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4" xfId="0" applyNumberFormat="1" applyFont="1" applyFill="1" applyBorder="1"/>
    <xf numFmtId="3" fontId="39" fillId="2" borderId="46" xfId="0" applyNumberFormat="1" applyFont="1" applyFill="1" applyBorder="1"/>
    <xf numFmtId="9" fontId="39" fillId="2" borderId="51" xfId="0" applyNumberFormat="1" applyFont="1" applyFill="1" applyBorder="1"/>
    <xf numFmtId="0" fontId="48" fillId="2" borderId="18" xfId="1" applyFont="1" applyFill="1" applyBorder="1" applyAlignment="1"/>
    <xf numFmtId="0" fontId="32" fillId="2" borderId="28" xfId="0" applyFont="1" applyFill="1" applyBorder="1" applyAlignment="1"/>
    <xf numFmtId="3" fontId="32" fillId="2" borderId="27" xfId="0" applyNumberFormat="1" applyFont="1" applyFill="1" applyBorder="1" applyAlignment="1"/>
    <xf numFmtId="9" fontId="32" fillId="2" borderId="20" xfId="0" applyNumberFormat="1" applyFont="1" applyFill="1" applyBorder="1" applyAlignment="1"/>
    <xf numFmtId="0" fontId="39" fillId="2" borderId="48" xfId="0" applyFont="1" applyFill="1" applyBorder="1" applyAlignment="1"/>
    <xf numFmtId="0" fontId="32" fillId="0" borderId="7" xfId="0" applyFont="1" applyBorder="1" applyAlignment="1"/>
    <xf numFmtId="3" fontId="32" fillId="0" borderId="5" xfId="0" applyNumberFormat="1" applyFont="1" applyBorder="1" applyAlignment="1"/>
    <xf numFmtId="9" fontId="32" fillId="0" borderId="10" xfId="0" applyNumberFormat="1" applyFont="1" applyBorder="1" applyAlignment="1"/>
    <xf numFmtId="0" fontId="29" fillId="2" borderId="34" xfId="1" applyFont="1" applyFill="1" applyBorder="1" applyAlignment="1">
      <alignment horizontal="left" indent="2"/>
    </xf>
    <xf numFmtId="0" fontId="32" fillId="0" borderId="11" xfId="0" applyFont="1" applyBorder="1" applyAlignment="1"/>
    <xf numFmtId="3" fontId="32" fillId="0" borderId="9" xfId="0" applyNumberFormat="1" applyFont="1" applyBorder="1" applyAlignment="1"/>
    <xf numFmtId="9" fontId="32" fillId="0" borderId="9" xfId="0" applyNumberFormat="1" applyFont="1" applyBorder="1" applyAlignment="1"/>
    <xf numFmtId="0" fontId="32" fillId="2" borderId="34" xfId="0" applyFont="1" applyFill="1" applyBorder="1" applyAlignment="1">
      <alignment horizontal="left" indent="2"/>
    </xf>
    <xf numFmtId="0" fontId="31" fillId="2" borderId="34" xfId="1" applyFont="1" applyFill="1" applyBorder="1" applyAlignment="1"/>
    <xf numFmtId="0" fontId="44" fillId="2" borderId="34" xfId="1" applyFont="1" applyFill="1" applyBorder="1" applyAlignment="1">
      <alignment horizontal="left" indent="2"/>
    </xf>
    <xf numFmtId="0" fontId="48" fillId="2" borderId="34" xfId="1" applyFont="1" applyFill="1" applyBorder="1" applyAlignment="1"/>
    <xf numFmtId="0" fontId="32" fillId="0" borderId="32" xfId="0" applyFont="1" applyBorder="1" applyAlignment="1"/>
    <xf numFmtId="3" fontId="32" fillId="0" borderId="23" xfId="0" applyNumberFormat="1" applyFont="1" applyBorder="1" applyAlignment="1"/>
    <xf numFmtId="9" fontId="32" fillId="0" borderId="22" xfId="0" applyNumberFormat="1" applyFont="1" applyBorder="1" applyAlignment="1"/>
    <xf numFmtId="0" fontId="39" fillId="0" borderId="36" xfId="0" applyFont="1" applyFill="1" applyBorder="1" applyAlignment="1">
      <alignment horizontal="left" indent="2"/>
    </xf>
    <xf numFmtId="0" fontId="32" fillId="0" borderId="36" xfId="0" applyFont="1" applyBorder="1" applyAlignment="1"/>
    <xf numFmtId="3" fontId="32" fillId="0" borderId="36" xfId="0" applyNumberFormat="1" applyFont="1" applyBorder="1" applyAlignment="1"/>
    <xf numFmtId="9" fontId="32" fillId="0" borderId="36" xfId="0" applyNumberFormat="1" applyFont="1" applyBorder="1" applyAlignment="1"/>
    <xf numFmtId="0" fontId="48" fillId="4" borderId="18" xfId="1" applyFont="1" applyFill="1" applyBorder="1" applyAlignment="1">
      <alignment horizontal="left"/>
    </xf>
    <xf numFmtId="0" fontId="32" fillId="4" borderId="28" xfId="0" applyFont="1" applyFill="1" applyBorder="1" applyAlignment="1"/>
    <xf numFmtId="3" fontId="32" fillId="4" borderId="27" xfId="0" applyNumberFormat="1" applyFont="1" applyFill="1" applyBorder="1" applyAlignment="1"/>
    <xf numFmtId="9" fontId="32" fillId="4" borderId="20" xfId="0" applyNumberFormat="1" applyFont="1" applyFill="1" applyBorder="1" applyAlignment="1"/>
    <xf numFmtId="0" fontId="48" fillId="4" borderId="48" xfId="1" applyFont="1" applyFill="1" applyBorder="1" applyAlignment="1">
      <alignment horizontal="left"/>
    </xf>
    <xf numFmtId="0" fontId="48" fillId="4" borderId="34" xfId="1" applyFont="1" applyFill="1" applyBorder="1" applyAlignment="1">
      <alignment horizontal="left"/>
    </xf>
    <xf numFmtId="0" fontId="32" fillId="4" borderId="35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2" xfId="0" applyNumberFormat="1" applyFont="1" applyBorder="1" applyAlignment="1"/>
    <xf numFmtId="0" fontId="39" fillId="3" borderId="18" xfId="0" applyFont="1" applyFill="1" applyBorder="1" applyAlignment="1"/>
    <xf numFmtId="0" fontId="32" fillId="3" borderId="28" xfId="0" applyFont="1" applyFill="1" applyBorder="1" applyAlignment="1"/>
    <xf numFmtId="3" fontId="32" fillId="3" borderId="27" xfId="0" applyNumberFormat="1" applyFont="1" applyFill="1" applyBorder="1" applyAlignment="1"/>
    <xf numFmtId="9" fontId="32" fillId="3" borderId="20" xfId="0" applyNumberFormat="1" applyFont="1" applyFill="1" applyBorder="1" applyAlignment="1"/>
    <xf numFmtId="0" fontId="7" fillId="0" borderId="0" xfId="81" applyFont="1" applyFill="1"/>
    <xf numFmtId="0" fontId="49" fillId="0" borderId="36" xfId="81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4" fontId="32" fillId="0" borderId="0" xfId="0" applyNumberFormat="1" applyFont="1" applyFill="1"/>
    <xf numFmtId="9" fontId="32" fillId="0" borderId="0" xfId="0" applyNumberFormat="1" applyFont="1" applyFill="1"/>
    <xf numFmtId="164" fontId="27" fillId="0" borderId="0" xfId="78" applyNumberFormat="1" applyFont="1" applyFill="1" applyBorder="1" applyAlignment="1"/>
    <xf numFmtId="3" fontId="27" fillId="0" borderId="0" xfId="78" applyNumberFormat="1" applyFont="1" applyFill="1" applyBorder="1" applyAlignment="1"/>
    <xf numFmtId="164" fontId="32" fillId="0" borderId="0" xfId="0" applyNumberFormat="1" applyFont="1" applyFill="1" applyAlignment="1">
      <alignment horizontal="right"/>
    </xf>
    <xf numFmtId="3" fontId="6" fillId="0" borderId="0" xfId="78" applyNumberFormat="1" applyFont="1" applyFill="1" applyBorder="1" applyAlignment="1"/>
    <xf numFmtId="9" fontId="6" fillId="0" borderId="0" xfId="78" applyNumberFormat="1" applyFont="1" applyFill="1" applyBorder="1" applyAlignment="1"/>
    <xf numFmtId="3" fontId="0" fillId="0" borderId="0" xfId="0" applyNumberFormat="1"/>
    <xf numFmtId="3" fontId="0" fillId="7" borderId="57" xfId="0" applyNumberFormat="1" applyFont="1" applyFill="1" applyBorder="1"/>
    <xf numFmtId="3" fontId="51" fillId="8" borderId="58" xfId="0" applyNumberFormat="1" applyFont="1" applyFill="1" applyBorder="1"/>
    <xf numFmtId="3" fontId="51" fillId="8" borderId="57" xfId="0" applyNumberFormat="1" applyFont="1" applyFill="1" applyBorder="1"/>
    <xf numFmtId="0" fontId="52" fillId="0" borderId="0" xfId="1" applyFont="1" applyFill="1"/>
    <xf numFmtId="3" fontId="50" fillId="0" borderId="0" xfId="26" applyNumberFormat="1" applyFont="1" applyFill="1" applyBorder="1" applyAlignment="1"/>
    <xf numFmtId="3" fontId="39" fillId="2" borderId="61" xfId="0" applyNumberFormat="1" applyFont="1" applyFill="1" applyBorder="1" applyAlignment="1">
      <alignment horizontal="center" vertical="center"/>
    </xf>
    <xf numFmtId="0" fontId="39" fillId="2" borderId="62" xfId="0" applyFont="1" applyFill="1" applyBorder="1" applyAlignment="1">
      <alignment horizontal="center" vertical="center"/>
    </xf>
    <xf numFmtId="3" fontId="53" fillId="2" borderId="64" xfId="0" applyNumberFormat="1" applyFont="1" applyFill="1" applyBorder="1" applyAlignment="1">
      <alignment horizontal="center" vertical="center" wrapText="1"/>
    </xf>
    <xf numFmtId="0" fontId="53" fillId="2" borderId="65" xfId="0" applyFont="1" applyFill="1" applyBorder="1" applyAlignment="1">
      <alignment horizontal="center" vertical="center" wrapText="1"/>
    </xf>
    <xf numFmtId="0" fontId="39" fillId="2" borderId="67" xfId="0" applyFont="1" applyFill="1" applyBorder="1" applyAlignment="1"/>
    <xf numFmtId="0" fontId="39" fillId="2" borderId="69" xfId="0" applyFont="1" applyFill="1" applyBorder="1" applyAlignment="1">
      <alignment horizontal="left" indent="1"/>
    </xf>
    <xf numFmtId="0" fontId="39" fillId="2" borderId="75" xfId="0" applyFont="1" applyFill="1" applyBorder="1" applyAlignment="1">
      <alignment horizontal="left" indent="1"/>
    </xf>
    <xf numFmtId="0" fontId="39" fillId="4" borderId="67" xfId="0" applyFont="1" applyFill="1" applyBorder="1" applyAlignment="1"/>
    <xf numFmtId="0" fontId="39" fillId="4" borderId="69" xfId="0" applyFont="1" applyFill="1" applyBorder="1" applyAlignment="1">
      <alignment horizontal="left" indent="1"/>
    </xf>
    <xf numFmtId="0" fontId="39" fillId="4" borderId="80" xfId="0" applyFont="1" applyFill="1" applyBorder="1" applyAlignment="1">
      <alignment horizontal="left" indent="1"/>
    </xf>
    <xf numFmtId="0" fontId="32" fillId="2" borderId="69" xfId="0" quotePrefix="1" applyFont="1" applyFill="1" applyBorder="1" applyAlignment="1">
      <alignment horizontal="left" indent="2"/>
    </xf>
    <xf numFmtId="0" fontId="32" fillId="2" borderId="75" xfId="0" quotePrefix="1" applyFont="1" applyFill="1" applyBorder="1" applyAlignment="1">
      <alignment horizontal="left" indent="2"/>
    </xf>
    <xf numFmtId="0" fontId="39" fillId="2" borderId="67" xfId="0" applyFont="1" applyFill="1" applyBorder="1" applyAlignment="1">
      <alignment horizontal="left" indent="1"/>
    </xf>
    <xf numFmtId="0" fontId="39" fillId="2" borderId="80" xfId="0" applyFont="1" applyFill="1" applyBorder="1" applyAlignment="1">
      <alignment horizontal="left" indent="1"/>
    </xf>
    <xf numFmtId="0" fontId="39" fillId="4" borderId="75" xfId="0" applyFont="1" applyFill="1" applyBorder="1" applyAlignment="1">
      <alignment horizontal="left" indent="1"/>
    </xf>
    <xf numFmtId="0" fontId="32" fillId="0" borderId="85" xfId="0" applyFont="1" applyBorder="1"/>
    <xf numFmtId="3" fontId="32" fillId="0" borderId="85" xfId="0" applyNumberFormat="1" applyFont="1" applyBorder="1"/>
    <xf numFmtId="0" fontId="39" fillId="4" borderId="59" xfId="0" applyFont="1" applyFill="1" applyBorder="1" applyAlignment="1">
      <alignment horizontal="center" vertical="center"/>
    </xf>
    <xf numFmtId="0" fontId="39" fillId="4" borderId="52" xfId="0" applyFont="1" applyFill="1" applyBorder="1" applyAlignment="1">
      <alignment horizontal="center" vertical="center"/>
    </xf>
    <xf numFmtId="0" fontId="0" fillId="0" borderId="0" xfId="0" applyNumberFormat="1"/>
    <xf numFmtId="3" fontId="39" fillId="2" borderId="84" xfId="0" applyNumberFormat="1" applyFont="1" applyFill="1" applyBorder="1" applyAlignment="1">
      <alignment horizontal="center" vertical="center"/>
    </xf>
    <xf numFmtId="3" fontId="53" fillId="2" borderId="82" xfId="0" applyNumberFormat="1" applyFont="1" applyFill="1" applyBorder="1" applyAlignment="1">
      <alignment horizontal="center" vertical="center" wrapText="1"/>
    </xf>
    <xf numFmtId="173" fontId="39" fillId="4" borderId="68" xfId="0" applyNumberFormat="1" applyFont="1" applyFill="1" applyBorder="1" applyAlignment="1"/>
    <xf numFmtId="173" fontId="39" fillId="4" borderId="61" xfId="0" applyNumberFormat="1" applyFont="1" applyFill="1" applyBorder="1" applyAlignment="1"/>
    <xf numFmtId="173" fontId="39" fillId="4" borderId="62" xfId="0" applyNumberFormat="1" applyFont="1" applyFill="1" applyBorder="1" applyAlignment="1"/>
    <xf numFmtId="173" fontId="39" fillId="0" borderId="70" xfId="0" applyNumberFormat="1" applyFont="1" applyBorder="1"/>
    <xf numFmtId="173" fontId="32" fillId="0" borderId="74" xfId="0" applyNumberFormat="1" applyFont="1" applyBorder="1"/>
    <xf numFmtId="173" fontId="32" fillId="0" borderId="72" xfId="0" applyNumberFormat="1" applyFont="1" applyBorder="1"/>
    <xf numFmtId="173" fontId="39" fillId="0" borderId="81" xfId="0" applyNumberFormat="1" applyFont="1" applyBorder="1"/>
    <xf numFmtId="173" fontId="32" fillId="0" borderId="82" xfId="0" applyNumberFormat="1" applyFont="1" applyBorder="1"/>
    <xf numFmtId="173" fontId="32" fillId="0" borderId="65" xfId="0" applyNumberFormat="1" applyFont="1" applyBorder="1"/>
    <xf numFmtId="173" fontId="39" fillId="2" borderId="83" xfId="0" applyNumberFormat="1" applyFont="1" applyFill="1" applyBorder="1" applyAlignment="1"/>
    <xf numFmtId="173" fontId="39" fillId="2" borderId="61" xfId="0" applyNumberFormat="1" applyFont="1" applyFill="1" applyBorder="1" applyAlignment="1"/>
    <xf numFmtId="173" fontId="39" fillId="2" borderId="62" xfId="0" applyNumberFormat="1" applyFont="1" applyFill="1" applyBorder="1" applyAlignment="1"/>
    <xf numFmtId="173" fontId="39" fillId="0" borderId="76" xfId="0" applyNumberFormat="1" applyFont="1" applyBorder="1"/>
    <xf numFmtId="173" fontId="32" fillId="0" borderId="77" xfId="0" applyNumberFormat="1" applyFont="1" applyBorder="1"/>
    <xf numFmtId="173" fontId="32" fillId="0" borderId="78" xfId="0" applyNumberFormat="1" applyFont="1" applyBorder="1"/>
    <xf numFmtId="173" fontId="39" fillId="0" borderId="68" xfId="0" applyNumberFormat="1" applyFont="1" applyBorder="1"/>
    <xf numFmtId="173" fontId="32" fillId="0" borderId="84" xfId="0" applyNumberFormat="1" applyFont="1" applyBorder="1"/>
    <xf numFmtId="173" fontId="32" fillId="0" borderId="62" xfId="0" applyNumberFormat="1" applyFont="1" applyBorder="1"/>
    <xf numFmtId="174" fontId="39" fillId="2" borderId="68" xfId="0" applyNumberFormat="1" applyFont="1" applyFill="1" applyBorder="1" applyAlignment="1"/>
    <xf numFmtId="174" fontId="32" fillId="2" borderId="61" xfId="0" applyNumberFormat="1" applyFont="1" applyFill="1" applyBorder="1" applyAlignment="1"/>
    <xf numFmtId="174" fontId="32" fillId="2" borderId="62" xfId="0" applyNumberFormat="1" applyFont="1" applyFill="1" applyBorder="1" applyAlignment="1"/>
    <xf numFmtId="174" fontId="39" fillId="0" borderId="70" xfId="0" applyNumberFormat="1" applyFont="1" applyBorder="1"/>
    <xf numFmtId="174" fontId="32" fillId="0" borderId="71" xfId="0" applyNumberFormat="1" applyFont="1" applyBorder="1"/>
    <xf numFmtId="174" fontId="32" fillId="0" borderId="72" xfId="0" applyNumberFormat="1" applyFont="1" applyBorder="1"/>
    <xf numFmtId="174" fontId="32" fillId="0" borderId="74" xfId="0" applyNumberFormat="1" applyFont="1" applyBorder="1"/>
    <xf numFmtId="174" fontId="39" fillId="0" borderId="76" xfId="0" applyNumberFormat="1" applyFont="1" applyBorder="1"/>
    <xf numFmtId="174" fontId="32" fillId="0" borderId="77" xfId="0" applyNumberFormat="1" applyFont="1" applyBorder="1"/>
    <xf numFmtId="174" fontId="32" fillId="0" borderId="78" xfId="0" applyNumberFormat="1" applyFont="1" applyBorder="1"/>
    <xf numFmtId="0" fontId="55" fillId="0" borderId="0" xfId="0" applyFont="1" applyAlignment="1">
      <alignment horizontal="left" vertical="center" indent="1"/>
    </xf>
    <xf numFmtId="0" fontId="55" fillId="0" borderId="0" xfId="0" applyFont="1" applyAlignment="1">
      <alignment vertical="center"/>
    </xf>
    <xf numFmtId="0" fontId="0" fillId="0" borderId="0" xfId="0" applyAlignment="1"/>
    <xf numFmtId="0" fontId="56" fillId="0" borderId="0" xfId="0" applyFont="1"/>
    <xf numFmtId="173" fontId="39" fillId="4" borderId="68" xfId="0" applyNumberFormat="1" applyFont="1" applyFill="1" applyBorder="1" applyAlignment="1">
      <alignment horizontal="center"/>
    </xf>
    <xf numFmtId="175" fontId="39" fillId="0" borderId="76" xfId="0" applyNumberFormat="1" applyFont="1" applyBorder="1"/>
    <xf numFmtId="0" fontId="31" fillId="2" borderId="92" xfId="74" applyFont="1" applyFill="1" applyBorder="1" applyAlignment="1">
      <alignment horizontal="center"/>
    </xf>
    <xf numFmtId="0" fontId="31" fillId="2" borderId="63" xfId="81" applyFont="1" applyFill="1" applyBorder="1" applyAlignment="1">
      <alignment horizontal="center"/>
    </xf>
    <xf numFmtId="0" fontId="31" fillId="2" borderId="64" xfId="81" applyFont="1" applyFill="1" applyBorder="1" applyAlignment="1">
      <alignment horizontal="center"/>
    </xf>
    <xf numFmtId="0" fontId="31" fillId="2" borderId="65" xfId="81" applyFont="1" applyFill="1" applyBorder="1" applyAlignment="1">
      <alignment horizontal="center"/>
    </xf>
    <xf numFmtId="0" fontId="31" fillId="2" borderId="66" xfId="81" applyFont="1" applyFill="1" applyBorder="1" applyAlignment="1">
      <alignment horizontal="center"/>
    </xf>
    <xf numFmtId="0" fontId="3" fillId="2" borderId="19" xfId="79" applyFont="1" applyFill="1" applyBorder="1" applyAlignment="1"/>
    <xf numFmtId="0" fontId="3" fillId="2" borderId="27" xfId="79" applyFont="1" applyFill="1" applyBorder="1" applyAlignment="1"/>
    <xf numFmtId="0" fontId="29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6" xfId="79" applyFont="1" applyFill="1" applyBorder="1" applyAlignment="1">
      <alignment horizontal="right"/>
    </xf>
    <xf numFmtId="9" fontId="32" fillId="0" borderId="27" xfId="0" applyNumberFormat="1" applyFont="1" applyFill="1" applyBorder="1"/>
    <xf numFmtId="9" fontId="32" fillId="0" borderId="20" xfId="0" applyNumberFormat="1" applyFont="1" applyFill="1" applyBorder="1"/>
    <xf numFmtId="9" fontId="32" fillId="0" borderId="28" xfId="0" applyNumberFormat="1" applyFont="1" applyFill="1" applyBorder="1"/>
    <xf numFmtId="3" fontId="6" fillId="0" borderId="19" xfId="78" applyNumberFormat="1" applyFont="1" applyFill="1" applyBorder="1" applyAlignment="1"/>
    <xf numFmtId="3" fontId="6" fillId="0" borderId="27" xfId="78" applyNumberFormat="1" applyFont="1" applyFill="1" applyBorder="1" applyAlignment="1"/>
    <xf numFmtId="3" fontId="6" fillId="0" borderId="20" xfId="78" applyNumberFormat="1" applyFont="1" applyFill="1" applyBorder="1" applyAlignment="1"/>
    <xf numFmtId="0" fontId="32" fillId="5" borderId="73" xfId="0" applyFont="1" applyFill="1" applyBorder="1"/>
    <xf numFmtId="0" fontId="32" fillId="0" borderId="74" xfId="0" applyFont="1" applyBorder="1" applyAlignment="1"/>
    <xf numFmtId="9" fontId="32" fillId="0" borderId="72" xfId="0" applyNumberFormat="1" applyFont="1" applyBorder="1" applyAlignment="1"/>
    <xf numFmtId="0" fontId="25" fillId="2" borderId="34" xfId="1" applyFill="1" applyBorder="1" applyAlignment="1">
      <alignment horizontal="left" indent="4"/>
    </xf>
    <xf numFmtId="0" fontId="39" fillId="0" borderId="0" xfId="0" applyFont="1" applyFill="1" applyAlignment="1">
      <alignment horizontal="left" indent="1"/>
    </xf>
    <xf numFmtId="9" fontId="39" fillId="0" borderId="70" xfId="0" applyNumberFormat="1" applyFont="1" applyBorder="1"/>
    <xf numFmtId="9" fontId="32" fillId="0" borderId="74" xfId="0" applyNumberFormat="1" applyFont="1" applyBorder="1"/>
    <xf numFmtId="9" fontId="32" fillId="0" borderId="72" xfId="0" applyNumberFormat="1" applyFont="1" applyBorder="1"/>
    <xf numFmtId="0" fontId="39" fillId="3" borderId="26" xfId="0" applyFont="1" applyFill="1" applyBorder="1" applyAlignment="1"/>
    <xf numFmtId="0" fontId="32" fillId="0" borderId="37" xfId="0" applyFont="1" applyBorder="1" applyAlignment="1"/>
    <xf numFmtId="0" fontId="39" fillId="2" borderId="26" xfId="0" applyFont="1" applyFill="1" applyBorder="1" applyAlignment="1"/>
    <xf numFmtId="0" fontId="39" fillId="4" borderId="26" xfId="0" applyFont="1" applyFill="1" applyBorder="1" applyAlignment="1"/>
    <xf numFmtId="0" fontId="41" fillId="0" borderId="1" xfId="0" applyFont="1" applyFill="1" applyBorder="1" applyAlignment="1"/>
    <xf numFmtId="0" fontId="41" fillId="0" borderId="1" xfId="0" applyFont="1" applyBorder="1" applyAlignment="1"/>
    <xf numFmtId="0" fontId="30" fillId="5" borderId="16" xfId="81" applyFont="1" applyFill="1" applyBorder="1" applyAlignment="1">
      <alignment horizontal="center" vertical="center"/>
    </xf>
    <xf numFmtId="0" fontId="40" fillId="0" borderId="2" xfId="0" applyFont="1" applyBorder="1" applyAlignment="1">
      <alignment horizontal="center" vertical="center"/>
    </xf>
    <xf numFmtId="0" fontId="31" fillId="2" borderId="40" xfId="81" applyFont="1" applyFill="1" applyBorder="1" applyAlignment="1">
      <alignment horizontal="center"/>
    </xf>
    <xf numFmtId="0" fontId="31" fillId="2" borderId="41" xfId="81" applyFont="1" applyFill="1" applyBorder="1" applyAlignment="1">
      <alignment horizontal="center"/>
    </xf>
    <xf numFmtId="0" fontId="31" fillId="2" borderId="38" xfId="81" applyFont="1" applyFill="1" applyBorder="1" applyAlignment="1">
      <alignment horizontal="center"/>
    </xf>
    <xf numFmtId="0" fontId="31" fillId="2" borderId="55" xfId="81" applyFont="1" applyFill="1" applyBorder="1" applyAlignment="1">
      <alignment horizontal="center"/>
    </xf>
    <xf numFmtId="0" fontId="31" fillId="2" borderId="39" xfId="81" applyFont="1" applyFill="1" applyBorder="1" applyAlignment="1">
      <alignment horizontal="center"/>
    </xf>
    <xf numFmtId="0" fontId="2" fillId="0" borderId="1" xfId="0" applyFont="1" applyFill="1" applyBorder="1" applyAlignment="1"/>
    <xf numFmtId="0" fontId="38" fillId="2" borderId="24" xfId="0" applyFont="1" applyFill="1" applyBorder="1" applyAlignment="1">
      <alignment horizontal="center" vertical="center"/>
    </xf>
    <xf numFmtId="0" fontId="32" fillId="2" borderId="2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10" xfId="0" applyFont="1" applyFill="1" applyBorder="1" applyAlignment="1">
      <alignment horizontal="center" vertical="center"/>
    </xf>
    <xf numFmtId="0" fontId="5" fillId="0" borderId="1" xfId="0" applyFont="1" applyFill="1" applyBorder="1" applyAlignment="1"/>
    <xf numFmtId="0" fontId="32" fillId="2" borderId="8" xfId="0" applyFont="1" applyFill="1" applyBorder="1" applyAlignment="1">
      <alignment horizontal="center" vertical="center"/>
    </xf>
    <xf numFmtId="0" fontId="32" fillId="2" borderId="9" xfId="0" applyFont="1" applyFill="1" applyBorder="1" applyAlignment="1">
      <alignment horizontal="center" vertical="center"/>
    </xf>
    <xf numFmtId="0" fontId="38" fillId="2" borderId="29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0" fontId="32" fillId="2" borderId="23" xfId="0" applyFont="1" applyFill="1" applyBorder="1" applyAlignment="1">
      <alignment horizontal="center" vertical="center" wrapText="1"/>
    </xf>
    <xf numFmtId="0" fontId="36" fillId="2" borderId="9" xfId="0" applyFont="1" applyFill="1" applyBorder="1" applyAlignment="1">
      <alignment horizontal="center" vertical="center" wrapText="1"/>
    </xf>
    <xf numFmtId="0" fontId="36" fillId="2" borderId="10" xfId="0" applyFont="1" applyFill="1" applyBorder="1" applyAlignment="1">
      <alignment horizontal="center" vertical="center" wrapText="1"/>
    </xf>
    <xf numFmtId="0" fontId="32" fillId="2" borderId="22" xfId="0" applyFont="1" applyFill="1" applyBorder="1" applyAlignment="1">
      <alignment horizontal="center" vertical="center" wrapText="1"/>
    </xf>
    <xf numFmtId="0" fontId="31" fillId="2" borderId="92" xfId="81" applyFont="1" applyFill="1" applyBorder="1" applyAlignment="1">
      <alignment horizontal="center"/>
    </xf>
    <xf numFmtId="0" fontId="31" fillId="2" borderId="89" xfId="81" applyFont="1" applyFill="1" applyBorder="1" applyAlignment="1">
      <alignment horizontal="center"/>
    </xf>
    <xf numFmtId="0" fontId="31" fillId="2" borderId="68" xfId="81" applyFont="1" applyFill="1" applyBorder="1" applyAlignment="1">
      <alignment horizontal="center"/>
    </xf>
    <xf numFmtId="0" fontId="31" fillId="2" borderId="91" xfId="81" applyFont="1" applyFill="1" applyBorder="1" applyAlignment="1">
      <alignment horizontal="center"/>
    </xf>
    <xf numFmtId="0" fontId="31" fillId="2" borderId="81" xfId="81" applyFont="1" applyFill="1" applyBorder="1" applyAlignment="1">
      <alignment horizontal="center"/>
    </xf>
    <xf numFmtId="0" fontId="2" fillId="0" borderId="1" xfId="14" applyFont="1" applyFill="1" applyBorder="1" applyAlignment="1"/>
    <xf numFmtId="0" fontId="41" fillId="0" borderId="1" xfId="14" applyFont="1" applyFill="1" applyBorder="1" applyAlignment="1"/>
    <xf numFmtId="0" fontId="0" fillId="0" borderId="1" xfId="0" applyBorder="1" applyAlignment="1"/>
    <xf numFmtId="164" fontId="31" fillId="0" borderId="0" xfId="53" applyNumberFormat="1" applyFont="1" applyFill="1" applyBorder="1" applyAlignment="1">
      <alignment horizontal="center"/>
    </xf>
    <xf numFmtId="164" fontId="29" fillId="0" borderId="0" xfId="79" applyNumberFormat="1" applyFont="1" applyFill="1" applyBorder="1" applyAlignment="1">
      <alignment horizontal="center"/>
    </xf>
    <xf numFmtId="164" fontId="31" fillId="2" borderId="24" xfId="53" applyNumberFormat="1" applyFont="1" applyFill="1" applyBorder="1" applyAlignment="1">
      <alignment horizontal="right"/>
    </xf>
    <xf numFmtId="164" fontId="29" fillId="2" borderId="29" xfId="79" applyNumberFormat="1" applyFont="1" applyFill="1" applyBorder="1" applyAlignment="1">
      <alignment horizontal="right"/>
    </xf>
    <xf numFmtId="164" fontId="42" fillId="0" borderId="1" xfId="14" applyNumberFormat="1" applyFont="1" applyFill="1" applyBorder="1" applyAlignment="1"/>
    <xf numFmtId="0" fontId="5" fillId="0" borderId="1" xfId="14" applyFont="1" applyFill="1" applyBorder="1" applyAlignment="1">
      <alignment wrapText="1"/>
    </xf>
    <xf numFmtId="0" fontId="5" fillId="0" borderId="1" xfId="14" applyFont="1" applyFill="1" applyBorder="1" applyAlignment="1"/>
    <xf numFmtId="3" fontId="28" fillId="2" borderId="53" xfId="78" applyNumberFormat="1" applyFont="1" applyFill="1" applyBorder="1" applyAlignment="1">
      <alignment horizontal="left"/>
    </xf>
    <xf numFmtId="0" fontId="32" fillId="2" borderId="45" xfId="0" applyFont="1" applyFill="1" applyBorder="1" applyAlignment="1"/>
    <xf numFmtId="3" fontId="28" fillId="2" borderId="47" xfId="78" applyNumberFormat="1" applyFont="1" applyFill="1" applyBorder="1" applyAlignment="1"/>
    <xf numFmtId="0" fontId="39" fillId="2" borderId="53" xfId="0" applyFont="1" applyFill="1" applyBorder="1" applyAlignment="1">
      <alignment horizontal="left"/>
    </xf>
    <xf numFmtId="0" fontId="32" fillId="2" borderId="42" xfId="0" applyFont="1" applyFill="1" applyBorder="1" applyAlignment="1">
      <alignment horizontal="left"/>
    </xf>
    <xf numFmtId="0" fontId="32" fillId="2" borderId="45" xfId="0" applyFont="1" applyFill="1" applyBorder="1" applyAlignment="1">
      <alignment horizontal="left"/>
    </xf>
    <xf numFmtId="0" fontId="39" fillId="2" borderId="47" xfId="0" applyFont="1" applyFill="1" applyBorder="1" applyAlignment="1">
      <alignment horizontal="left"/>
    </xf>
    <xf numFmtId="3" fontId="39" fillId="2" borderId="47" xfId="0" applyNumberFormat="1" applyFont="1" applyFill="1" applyBorder="1" applyAlignment="1">
      <alignment horizontal="left"/>
    </xf>
    <xf numFmtId="3" fontId="32" fillId="2" borderId="43" xfId="0" applyNumberFormat="1" applyFont="1" applyFill="1" applyBorder="1" applyAlignment="1">
      <alignment horizontal="left"/>
    </xf>
    <xf numFmtId="9" fontId="3" fillId="2" borderId="94" xfId="80" applyNumberFormat="1" applyFont="1" applyFill="1" applyBorder="1" applyAlignment="1">
      <alignment horizontal="left"/>
    </xf>
    <xf numFmtId="9" fontId="3" fillId="2" borderId="5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3" fontId="3" fillId="2" borderId="3" xfId="80" applyNumberFormat="1" applyFont="1" applyFill="1" applyBorder="1" applyAlignment="1">
      <alignment horizontal="left"/>
    </xf>
    <xf numFmtId="3" fontId="3" fillId="2" borderId="93" xfId="80" applyNumberFormat="1" applyFont="1" applyFill="1" applyBorder="1" applyAlignment="1">
      <alignment horizontal="left"/>
    </xf>
    <xf numFmtId="3" fontId="3" fillId="2" borderId="83" xfId="80" applyNumberFormat="1" applyFont="1" applyFill="1" applyBorder="1" applyAlignment="1">
      <alignment horizontal="left"/>
    </xf>
    <xf numFmtId="0" fontId="2" fillId="0" borderId="1" xfId="26" applyFont="1" applyFill="1" applyBorder="1" applyAlignment="1"/>
    <xf numFmtId="166" fontId="39" fillId="2" borderId="60" xfId="0" applyNumberFormat="1" applyFont="1" applyFill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3" fontId="33" fillId="9" borderId="96" xfId="0" applyNumberFormat="1" applyFont="1" applyFill="1" applyBorder="1" applyAlignment="1">
      <alignment horizontal="right" vertical="top"/>
    </xf>
    <xf numFmtId="3" fontId="33" fillId="9" borderId="97" xfId="0" applyNumberFormat="1" applyFont="1" applyFill="1" applyBorder="1" applyAlignment="1">
      <alignment horizontal="right" vertical="top"/>
    </xf>
    <xf numFmtId="176" fontId="33" fillId="9" borderId="98" xfId="0" applyNumberFormat="1" applyFont="1" applyFill="1" applyBorder="1" applyAlignment="1">
      <alignment horizontal="right" vertical="top"/>
    </xf>
    <xf numFmtId="3" fontId="33" fillId="0" borderId="96" xfId="0" applyNumberFormat="1" applyFont="1" applyBorder="1" applyAlignment="1">
      <alignment horizontal="right" vertical="top"/>
    </xf>
    <xf numFmtId="176" fontId="33" fillId="9" borderId="99" xfId="0" applyNumberFormat="1" applyFont="1" applyFill="1" applyBorder="1" applyAlignment="1">
      <alignment horizontal="right" vertical="top"/>
    </xf>
    <xf numFmtId="3" fontId="35" fillId="9" borderId="101" xfId="0" applyNumberFormat="1" applyFont="1" applyFill="1" applyBorder="1" applyAlignment="1">
      <alignment horizontal="right" vertical="top"/>
    </xf>
    <xf numFmtId="3" fontId="35" fillId="9" borderId="102" xfId="0" applyNumberFormat="1" applyFont="1" applyFill="1" applyBorder="1" applyAlignment="1">
      <alignment horizontal="right" vertical="top"/>
    </xf>
    <xf numFmtId="0" fontId="35" fillId="9" borderId="103" xfId="0" applyFont="1" applyFill="1" applyBorder="1" applyAlignment="1">
      <alignment horizontal="right" vertical="top"/>
    </xf>
    <xf numFmtId="3" fontId="35" fillId="0" borderId="101" xfId="0" applyNumberFormat="1" applyFont="1" applyBorder="1" applyAlignment="1">
      <alignment horizontal="right" vertical="top"/>
    </xf>
    <xf numFmtId="0" fontId="35" fillId="9" borderId="104" xfId="0" applyFont="1" applyFill="1" applyBorder="1" applyAlignment="1">
      <alignment horizontal="right" vertical="top"/>
    </xf>
    <xf numFmtId="0" fontId="33" fillId="9" borderId="98" xfId="0" applyFont="1" applyFill="1" applyBorder="1" applyAlignment="1">
      <alignment horizontal="right" vertical="top"/>
    </xf>
    <xf numFmtId="0" fontId="33" fillId="9" borderId="99" xfId="0" applyFont="1" applyFill="1" applyBorder="1" applyAlignment="1">
      <alignment horizontal="right" vertical="top"/>
    </xf>
    <xf numFmtId="176" fontId="35" fillId="9" borderId="103" xfId="0" applyNumberFormat="1" applyFont="1" applyFill="1" applyBorder="1" applyAlignment="1">
      <alignment horizontal="right" vertical="top"/>
    </xf>
    <xf numFmtId="176" fontId="35" fillId="9" borderId="104" xfId="0" applyNumberFormat="1" applyFont="1" applyFill="1" applyBorder="1" applyAlignment="1">
      <alignment horizontal="right" vertical="top"/>
    </xf>
    <xf numFmtId="3" fontId="35" fillId="0" borderId="105" xfId="0" applyNumberFormat="1" applyFont="1" applyBorder="1" applyAlignment="1">
      <alignment horizontal="right" vertical="top"/>
    </xf>
    <xf numFmtId="3" fontId="35" fillId="0" borderId="106" xfId="0" applyNumberFormat="1" applyFont="1" applyBorder="1" applyAlignment="1">
      <alignment horizontal="right" vertical="top"/>
    </xf>
    <xf numFmtId="3" fontId="35" fillId="0" borderId="107" xfId="0" applyNumberFormat="1" applyFont="1" applyBorder="1" applyAlignment="1">
      <alignment horizontal="right" vertical="top"/>
    </xf>
    <xf numFmtId="176" fontId="35" fillId="9" borderId="108" xfId="0" applyNumberFormat="1" applyFont="1" applyFill="1" applyBorder="1" applyAlignment="1">
      <alignment horizontal="right" vertical="top"/>
    </xf>
    <xf numFmtId="0" fontId="37" fillId="10" borderId="95" xfId="0" applyFont="1" applyFill="1" applyBorder="1" applyAlignment="1">
      <alignment vertical="top"/>
    </xf>
    <xf numFmtId="0" fontId="37" fillId="10" borderId="95" xfId="0" applyFont="1" applyFill="1" applyBorder="1" applyAlignment="1">
      <alignment vertical="top" indent="2"/>
    </xf>
    <xf numFmtId="0" fontId="37" fillId="10" borderId="95" xfId="0" applyFont="1" applyFill="1" applyBorder="1" applyAlignment="1">
      <alignment vertical="top" indent="4"/>
    </xf>
    <xf numFmtId="0" fontId="38" fillId="10" borderId="100" xfId="0" applyFont="1" applyFill="1" applyBorder="1" applyAlignment="1">
      <alignment vertical="top" indent="6"/>
    </xf>
    <xf numFmtId="0" fontId="37" fillId="10" borderId="95" xfId="0" applyFont="1" applyFill="1" applyBorder="1" applyAlignment="1">
      <alignment vertical="top" indent="8"/>
    </xf>
    <xf numFmtId="0" fontId="38" fillId="10" borderId="100" xfId="0" applyFont="1" applyFill="1" applyBorder="1" applyAlignment="1">
      <alignment vertical="top" indent="2"/>
    </xf>
    <xf numFmtId="0" fontId="37" fillId="10" borderId="95" xfId="0" applyFont="1" applyFill="1" applyBorder="1" applyAlignment="1">
      <alignment vertical="top" indent="6"/>
    </xf>
    <xf numFmtId="0" fontId="38" fillId="10" borderId="100" xfId="0" applyFont="1" applyFill="1" applyBorder="1" applyAlignment="1">
      <alignment vertical="top" indent="4"/>
    </xf>
    <xf numFmtId="0" fontId="32" fillId="10" borderId="95" xfId="0" applyFont="1" applyFill="1" applyBorder="1"/>
    <xf numFmtId="0" fontId="38" fillId="10" borderId="18" xfId="0" applyFont="1" applyFill="1" applyBorder="1" applyAlignment="1">
      <alignment vertical="top"/>
    </xf>
    <xf numFmtId="0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right"/>
    </xf>
    <xf numFmtId="9" fontId="29" fillId="0" borderId="0" xfId="0" applyNumberFormat="1" applyFont="1" applyFill="1" applyBorder="1" applyAlignment="1">
      <alignment horizontal="right"/>
    </xf>
    <xf numFmtId="3" fontId="29" fillId="0" borderId="0" xfId="0" applyNumberFormat="1" applyFont="1" applyFill="1" applyBorder="1"/>
    <xf numFmtId="164" fontId="31" fillId="2" borderId="109" xfId="53" applyNumberFormat="1" applyFont="1" applyFill="1" applyBorder="1" applyAlignment="1">
      <alignment horizontal="left"/>
    </xf>
    <xf numFmtId="164" fontId="31" fillId="2" borderId="110" xfId="53" applyNumberFormat="1" applyFont="1" applyFill="1" applyBorder="1" applyAlignment="1">
      <alignment horizontal="left"/>
    </xf>
    <xf numFmtId="164" fontId="31" fillId="2" borderId="49" xfId="53" applyNumberFormat="1" applyFont="1" applyFill="1" applyBorder="1" applyAlignment="1">
      <alignment horizontal="left"/>
    </xf>
    <xf numFmtId="3" fontId="31" fillId="2" borderId="49" xfId="53" applyNumberFormat="1" applyFont="1" applyFill="1" applyBorder="1" applyAlignment="1">
      <alignment horizontal="left"/>
    </xf>
    <xf numFmtId="3" fontId="31" fillId="2" borderId="54" xfId="53" applyNumberFormat="1" applyFont="1" applyFill="1" applyBorder="1" applyAlignment="1">
      <alignment horizontal="left"/>
    </xf>
    <xf numFmtId="3" fontId="32" fillId="0" borderId="110" xfId="0" applyNumberFormat="1" applyFont="1" applyFill="1" applyBorder="1"/>
    <xf numFmtId="3" fontId="32" fillId="0" borderId="112" xfId="0" applyNumberFormat="1" applyFont="1" applyFill="1" applyBorder="1"/>
    <xf numFmtId="0" fontId="32" fillId="0" borderId="61" xfId="0" applyFont="1" applyFill="1" applyBorder="1"/>
    <xf numFmtId="0" fontId="32" fillId="0" borderId="62" xfId="0" applyFont="1" applyFill="1" applyBorder="1"/>
    <xf numFmtId="164" fontId="32" fillId="0" borderId="62" xfId="0" applyNumberFormat="1" applyFont="1" applyFill="1" applyBorder="1"/>
    <xf numFmtId="164" fontId="32" fillId="0" borderId="62" xfId="0" applyNumberFormat="1" applyFont="1" applyFill="1" applyBorder="1" applyAlignment="1">
      <alignment horizontal="right"/>
    </xf>
    <xf numFmtId="3" fontId="32" fillId="0" borderId="62" xfId="0" applyNumberFormat="1" applyFont="1" applyFill="1" applyBorder="1"/>
    <xf numFmtId="3" fontId="32" fillId="0" borderId="63" xfId="0" applyNumberFormat="1" applyFont="1" applyFill="1" applyBorder="1"/>
    <xf numFmtId="0" fontId="32" fillId="0" borderId="71" xfId="0" applyFont="1" applyFill="1" applyBorder="1"/>
    <xf numFmtId="0" fontId="32" fillId="0" borderId="72" xfId="0" applyFont="1" applyFill="1" applyBorder="1"/>
    <xf numFmtId="164" fontId="32" fillId="0" borderId="72" xfId="0" applyNumberFormat="1" applyFont="1" applyFill="1" applyBorder="1"/>
    <xf numFmtId="164" fontId="32" fillId="0" borderId="72" xfId="0" applyNumberFormat="1" applyFont="1" applyFill="1" applyBorder="1" applyAlignment="1">
      <alignment horizontal="right"/>
    </xf>
    <xf numFmtId="3" fontId="32" fillId="0" borderId="72" xfId="0" applyNumberFormat="1" applyFont="1" applyFill="1" applyBorder="1"/>
    <xf numFmtId="3" fontId="32" fillId="0" borderId="73" xfId="0" applyNumberFormat="1" applyFont="1" applyFill="1" applyBorder="1"/>
    <xf numFmtId="0" fontId="32" fillId="0" borderId="64" xfId="0" applyFont="1" applyFill="1" applyBorder="1"/>
    <xf numFmtId="0" fontId="32" fillId="0" borderId="65" xfId="0" applyFont="1" applyFill="1" applyBorder="1"/>
    <xf numFmtId="164" fontId="32" fillId="0" borderId="65" xfId="0" applyNumberFormat="1" applyFont="1" applyFill="1" applyBorder="1"/>
    <xf numFmtId="164" fontId="32" fillId="0" borderId="65" xfId="0" applyNumberFormat="1" applyFont="1" applyFill="1" applyBorder="1" applyAlignment="1">
      <alignment horizontal="right"/>
    </xf>
    <xf numFmtId="3" fontId="32" fillId="0" borderId="65" xfId="0" applyNumberFormat="1" applyFont="1" applyFill="1" applyBorder="1"/>
    <xf numFmtId="3" fontId="32" fillId="0" borderId="66" xfId="0" applyNumberFormat="1" applyFont="1" applyFill="1" applyBorder="1"/>
    <xf numFmtId="0" fontId="39" fillId="2" borderId="109" xfId="0" applyFont="1" applyFill="1" applyBorder="1"/>
    <xf numFmtId="3" fontId="39" fillId="2" borderId="111" xfId="0" applyNumberFormat="1" applyFont="1" applyFill="1" applyBorder="1"/>
    <xf numFmtId="9" fontId="39" fillId="2" borderId="56" xfId="0" applyNumberFormat="1" applyFont="1" applyFill="1" applyBorder="1"/>
    <xf numFmtId="3" fontId="39" fillId="2" borderId="54" xfId="0" applyNumberFormat="1" applyFont="1" applyFill="1" applyBorder="1"/>
    <xf numFmtId="9" fontId="32" fillId="0" borderId="110" xfId="0" applyNumberFormat="1" applyFont="1" applyFill="1" applyBorder="1"/>
    <xf numFmtId="9" fontId="32" fillId="0" borderId="62" xfId="0" applyNumberFormat="1" applyFont="1" applyFill="1" applyBorder="1"/>
    <xf numFmtId="9" fontId="32" fillId="0" borderId="65" xfId="0" applyNumberFormat="1" applyFont="1" applyFill="1" applyBorder="1"/>
    <xf numFmtId="0" fontId="32" fillId="0" borderId="19" xfId="0" applyFont="1" applyFill="1" applyBorder="1"/>
    <xf numFmtId="3" fontId="32" fillId="0" borderId="27" xfId="0" applyNumberFormat="1" applyFont="1" applyFill="1" applyBorder="1"/>
    <xf numFmtId="3" fontId="32" fillId="0" borderId="20" xfId="0" applyNumberFormat="1" applyFont="1" applyFill="1" applyBorder="1"/>
    <xf numFmtId="0" fontId="39" fillId="10" borderId="19" xfId="0" applyFont="1" applyFill="1" applyBorder="1"/>
    <xf numFmtId="3" fontId="39" fillId="10" borderId="27" xfId="0" applyNumberFormat="1" applyFont="1" applyFill="1" applyBorder="1"/>
    <xf numFmtId="9" fontId="39" fillId="10" borderId="27" xfId="0" applyNumberFormat="1" applyFont="1" applyFill="1" applyBorder="1"/>
    <xf numFmtId="3" fontId="39" fillId="10" borderId="20" xfId="0" applyNumberFormat="1" applyFont="1" applyFill="1" applyBorder="1"/>
    <xf numFmtId="0" fontId="39" fillId="0" borderId="109" xfId="0" applyFont="1" applyFill="1" applyBorder="1"/>
    <xf numFmtId="0" fontId="32" fillId="5" borderId="10" xfId="0" applyFont="1" applyFill="1" applyBorder="1" applyAlignment="1">
      <alignment wrapText="1"/>
    </xf>
    <xf numFmtId="0" fontId="39" fillId="2" borderId="110" xfId="0" applyFont="1" applyFill="1" applyBorder="1"/>
    <xf numFmtId="3" fontId="39" fillId="2" borderId="0" xfId="0" applyNumberFormat="1" applyFont="1" applyFill="1" applyBorder="1"/>
    <xf numFmtId="3" fontId="39" fillId="2" borderId="16" xfId="0" applyNumberFormat="1" applyFont="1" applyFill="1" applyBorder="1"/>
    <xf numFmtId="0" fontId="32" fillId="0" borderId="27" xfId="0" applyFont="1" applyFill="1" applyBorder="1"/>
    <xf numFmtId="0" fontId="3" fillId="2" borderId="109" xfId="79" applyFont="1" applyFill="1" applyBorder="1" applyAlignment="1">
      <alignment horizontal="left"/>
    </xf>
    <xf numFmtId="3" fontId="3" fillId="2" borderId="78" xfId="80" applyNumberFormat="1" applyFont="1" applyFill="1" applyBorder="1"/>
    <xf numFmtId="3" fontId="3" fillId="2" borderId="79" xfId="80" applyNumberFormat="1" applyFont="1" applyFill="1" applyBorder="1"/>
    <xf numFmtId="9" fontId="3" fillId="2" borderId="77" xfId="80" applyNumberFormat="1" applyFont="1" applyFill="1" applyBorder="1"/>
    <xf numFmtId="9" fontId="3" fillId="2" borderId="78" xfId="80" applyNumberFormat="1" applyFont="1" applyFill="1" applyBorder="1"/>
    <xf numFmtId="9" fontId="3" fillId="2" borderId="79" xfId="80" applyNumberFormat="1" applyFont="1" applyFill="1" applyBorder="1"/>
    <xf numFmtId="9" fontId="32" fillId="0" borderId="63" xfId="0" applyNumberFormat="1" applyFont="1" applyFill="1" applyBorder="1"/>
    <xf numFmtId="9" fontId="32" fillId="0" borderId="72" xfId="0" applyNumberFormat="1" applyFont="1" applyFill="1" applyBorder="1"/>
    <xf numFmtId="9" fontId="32" fillId="0" borderId="73" xfId="0" applyNumberFormat="1" applyFont="1" applyFill="1" applyBorder="1"/>
    <xf numFmtId="9" fontId="32" fillId="0" borderId="66" xfId="0" applyNumberFormat="1" applyFont="1" applyFill="1" applyBorder="1"/>
    <xf numFmtId="0" fontId="39" fillId="0" borderId="92" xfId="0" applyFont="1" applyFill="1" applyBorder="1"/>
    <xf numFmtId="0" fontId="39" fillId="0" borderId="90" xfId="0" applyFont="1" applyFill="1" applyBorder="1" applyAlignment="1">
      <alignment horizontal="left" indent="1"/>
    </xf>
    <xf numFmtId="0" fontId="39" fillId="0" borderId="91" xfId="0" applyFont="1" applyFill="1" applyBorder="1" applyAlignment="1">
      <alignment horizontal="left" indent="1"/>
    </xf>
    <xf numFmtId="9" fontId="32" fillId="0" borderId="84" xfId="0" applyNumberFormat="1" applyFont="1" applyFill="1" applyBorder="1"/>
    <xf numFmtId="9" fontId="32" fillId="0" borderId="74" xfId="0" applyNumberFormat="1" applyFont="1" applyFill="1" applyBorder="1"/>
    <xf numFmtId="9" fontId="32" fillId="0" borderId="82" xfId="0" applyNumberFormat="1" applyFont="1" applyFill="1" applyBorder="1"/>
    <xf numFmtId="3" fontId="32" fillId="0" borderId="61" xfId="0" applyNumberFormat="1" applyFont="1" applyFill="1" applyBorder="1"/>
    <xf numFmtId="3" fontId="32" fillId="0" borderId="71" xfId="0" applyNumberFormat="1" applyFont="1" applyFill="1" applyBorder="1"/>
    <xf numFmtId="3" fontId="32" fillId="0" borderId="64" xfId="0" applyNumberFormat="1" applyFont="1" applyFill="1" applyBorder="1"/>
    <xf numFmtId="9" fontId="32" fillId="0" borderId="88" xfId="0" applyNumberFormat="1" applyFont="1" applyFill="1" applyBorder="1"/>
    <xf numFmtId="9" fontId="32" fillId="0" borderId="86" xfId="0" applyNumberFormat="1" applyFont="1" applyFill="1" applyBorder="1"/>
    <xf numFmtId="9" fontId="32" fillId="0" borderId="87" xfId="0" applyNumberFormat="1" applyFont="1" applyFill="1" applyBorder="1"/>
    <xf numFmtId="173" fontId="39" fillId="4" borderId="113" xfId="0" applyNumberFormat="1" applyFont="1" applyFill="1" applyBorder="1" applyAlignment="1">
      <alignment horizontal="center"/>
    </xf>
    <xf numFmtId="173" fontId="39" fillId="4" borderId="114" xfId="0" applyNumberFormat="1" applyFont="1" applyFill="1" applyBorder="1" applyAlignment="1">
      <alignment horizontal="center"/>
    </xf>
    <xf numFmtId="173" fontId="32" fillId="0" borderId="115" xfId="0" applyNumberFormat="1" applyFont="1" applyBorder="1" applyAlignment="1">
      <alignment horizontal="right"/>
    </xf>
    <xf numFmtId="173" fontId="32" fillId="0" borderId="116" xfId="0" applyNumberFormat="1" applyFont="1" applyBorder="1" applyAlignment="1">
      <alignment horizontal="right"/>
    </xf>
    <xf numFmtId="173" fontId="32" fillId="0" borderId="116" xfId="0" applyNumberFormat="1" applyFont="1" applyBorder="1" applyAlignment="1">
      <alignment horizontal="right" wrapText="1"/>
    </xf>
    <xf numFmtId="175" fontId="32" fillId="0" borderId="115" xfId="0" applyNumberFormat="1" applyFont="1" applyBorder="1" applyAlignment="1">
      <alignment horizontal="right"/>
    </xf>
    <xf numFmtId="175" fontId="32" fillId="0" borderId="116" xfId="0" applyNumberFormat="1" applyFont="1" applyBorder="1" applyAlignment="1">
      <alignment horizontal="right"/>
    </xf>
    <xf numFmtId="173" fontId="32" fillId="0" borderId="117" xfId="0" applyNumberFormat="1" applyFont="1" applyBorder="1" applyAlignment="1">
      <alignment horizontal="right"/>
    </xf>
    <xf numFmtId="173" fontId="32" fillId="0" borderId="118" xfId="0" applyNumberFormat="1" applyFont="1" applyBorder="1" applyAlignment="1">
      <alignment horizontal="right"/>
    </xf>
    <xf numFmtId="0" fontId="39" fillId="2" borderId="88" xfId="0" applyFont="1" applyFill="1" applyBorder="1" applyAlignment="1">
      <alignment horizontal="center" vertical="center"/>
    </xf>
    <xf numFmtId="0" fontId="53" fillId="2" borderId="87" xfId="0" applyFont="1" applyFill="1" applyBorder="1" applyAlignment="1">
      <alignment horizontal="center" vertical="center" wrapText="1"/>
    </xf>
    <xf numFmtId="174" fontId="32" fillId="2" borderId="88" xfId="0" applyNumberFormat="1" applyFont="1" applyFill="1" applyBorder="1" applyAlignment="1"/>
    <xf numFmtId="174" fontId="32" fillId="0" borderId="86" xfId="0" applyNumberFormat="1" applyFont="1" applyBorder="1"/>
    <xf numFmtId="174" fontId="32" fillId="0" borderId="119" xfId="0" applyNumberFormat="1" applyFont="1" applyBorder="1"/>
    <xf numFmtId="173" fontId="39" fillId="4" borderId="88" xfId="0" applyNumberFormat="1" applyFont="1" applyFill="1" applyBorder="1" applyAlignment="1"/>
    <xf numFmtId="173" fontId="32" fillId="0" borderId="86" xfId="0" applyNumberFormat="1" applyFont="1" applyBorder="1"/>
    <xf numFmtId="173" fontId="32" fillId="0" borderId="87" xfId="0" applyNumberFormat="1" applyFont="1" applyBorder="1"/>
    <xf numFmtId="173" fontId="39" fillId="2" borderId="88" xfId="0" applyNumberFormat="1" applyFont="1" applyFill="1" applyBorder="1" applyAlignment="1"/>
    <xf numFmtId="173" fontId="32" fillId="0" borderId="119" xfId="0" applyNumberFormat="1" applyFont="1" applyBorder="1"/>
    <xf numFmtId="173" fontId="32" fillId="0" borderId="88" xfId="0" applyNumberFormat="1" applyFont="1" applyBorder="1"/>
    <xf numFmtId="9" fontId="32" fillId="0" borderId="86" xfId="0" applyNumberFormat="1" applyFont="1" applyBorder="1"/>
    <xf numFmtId="173" fontId="39" fillId="4" borderId="120" xfId="0" applyNumberFormat="1" applyFont="1" applyFill="1" applyBorder="1" applyAlignment="1">
      <alignment horizontal="center"/>
    </xf>
    <xf numFmtId="173" fontId="32" fillId="0" borderId="121" xfId="0" applyNumberFormat="1" applyFont="1" applyBorder="1" applyAlignment="1">
      <alignment horizontal="right"/>
    </xf>
    <xf numFmtId="175" fontId="32" fillId="0" borderId="121" xfId="0" applyNumberFormat="1" applyFont="1" applyBorder="1" applyAlignment="1">
      <alignment horizontal="right"/>
    </xf>
    <xf numFmtId="173" fontId="32" fillId="0" borderId="122" xfId="0" applyNumberFormat="1" applyFont="1" applyBorder="1" applyAlignment="1">
      <alignment horizontal="right"/>
    </xf>
    <xf numFmtId="0" fontId="0" fillId="0" borderId="15" xfId="0" applyBorder="1"/>
    <xf numFmtId="173" fontId="39" fillId="4" borderId="33" xfId="0" applyNumberFormat="1" applyFont="1" applyFill="1" applyBorder="1" applyAlignment="1">
      <alignment horizontal="center"/>
    </xf>
    <xf numFmtId="173" fontId="32" fillId="0" borderId="69" xfId="0" applyNumberFormat="1" applyFont="1" applyBorder="1" applyAlignment="1">
      <alignment horizontal="right"/>
    </xf>
    <xf numFmtId="175" fontId="32" fillId="0" borderId="69" xfId="0" applyNumberFormat="1" applyFont="1" applyBorder="1" applyAlignment="1">
      <alignment horizontal="right"/>
    </xf>
    <xf numFmtId="173" fontId="32" fillId="0" borderId="80" xfId="0" applyNumberFormat="1" applyFont="1" applyBorder="1" applyAlignment="1">
      <alignment horizontal="right"/>
    </xf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52"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19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07" bestFit="1" customWidth="1"/>
    <col min="2" max="2" width="102.21875" style="107" bestFit="1" customWidth="1"/>
    <col min="3" max="3" width="16.109375" style="47" hidden="1" customWidth="1"/>
    <col min="4" max="16384" width="8.88671875" style="107"/>
  </cols>
  <sheetData>
    <row r="1" spans="1:3" ht="18.600000000000001" customHeight="1" thickBot="1" x14ac:dyDescent="0.4">
      <c r="A1" s="273" t="s">
        <v>66</v>
      </c>
      <c r="B1" s="273"/>
    </row>
    <row r="2" spans="1:3" ht="14.4" customHeight="1" thickBot="1" x14ac:dyDescent="0.35">
      <c r="A2" s="187" t="s">
        <v>220</v>
      </c>
      <c r="B2" s="46"/>
    </row>
    <row r="3" spans="1:3" ht="14.4" customHeight="1" thickBot="1" x14ac:dyDescent="0.35">
      <c r="A3" s="269" t="s">
        <v>89</v>
      </c>
      <c r="B3" s="270"/>
    </row>
    <row r="4" spans="1:3" ht="14.4" customHeight="1" x14ac:dyDescent="0.3">
      <c r="A4" s="120" t="str">
        <f t="shared" ref="A4:A7" si="0">HYPERLINK("#'"&amp;C4&amp;"'!A1",C4)</f>
        <v>Motivace</v>
      </c>
      <c r="B4" s="71" t="s">
        <v>76</v>
      </c>
      <c r="C4" s="47" t="s">
        <v>77</v>
      </c>
    </row>
    <row r="5" spans="1:3" ht="14.4" customHeight="1" x14ac:dyDescent="0.3">
      <c r="A5" s="121" t="str">
        <f t="shared" si="0"/>
        <v>HI</v>
      </c>
      <c r="B5" s="72" t="s">
        <v>86</v>
      </c>
      <c r="C5" s="47" t="s">
        <v>69</v>
      </c>
    </row>
    <row r="6" spans="1:3" ht="14.4" customHeight="1" x14ac:dyDescent="0.3">
      <c r="A6" s="122" t="str">
        <f t="shared" si="0"/>
        <v>Man Tab</v>
      </c>
      <c r="B6" s="73" t="s">
        <v>222</v>
      </c>
      <c r="C6" s="47" t="s">
        <v>70</v>
      </c>
    </row>
    <row r="7" spans="1:3" ht="14.4" customHeight="1" thickBot="1" x14ac:dyDescent="0.35">
      <c r="A7" s="123" t="str">
        <f t="shared" si="0"/>
        <v>HV</v>
      </c>
      <c r="B7" s="74" t="s">
        <v>48</v>
      </c>
      <c r="C7" s="47" t="s">
        <v>53</v>
      </c>
    </row>
    <row r="8" spans="1:3" ht="14.4" customHeight="1" thickBot="1" x14ac:dyDescent="0.35">
      <c r="A8" s="75"/>
      <c r="B8" s="75"/>
    </row>
    <row r="9" spans="1:3" ht="14.4" customHeight="1" thickBot="1" x14ac:dyDescent="0.35">
      <c r="A9" s="271" t="s">
        <v>67</v>
      </c>
      <c r="B9" s="270"/>
    </row>
    <row r="10" spans="1:3" ht="14.4" customHeight="1" x14ac:dyDescent="0.3">
      <c r="A10" s="124" t="str">
        <f t="shared" ref="A10" si="1">HYPERLINK("#'"&amp;C10&amp;"'!A1",C10)</f>
        <v>Léky Žádanky</v>
      </c>
      <c r="B10" s="72" t="s">
        <v>87</v>
      </c>
      <c r="C10" s="47" t="s">
        <v>71</v>
      </c>
    </row>
    <row r="11" spans="1:3" ht="14.4" customHeight="1" x14ac:dyDescent="0.3">
      <c r="A11" s="122" t="str">
        <f t="shared" ref="A11:A17" si="2">HYPERLINK("#'"&amp;C11&amp;"'!A1",C11)</f>
        <v>LŽ Detail</v>
      </c>
      <c r="B11" s="73" t="s">
        <v>107</v>
      </c>
      <c r="C11" s="47" t="s">
        <v>72</v>
      </c>
    </row>
    <row r="12" spans="1:3" ht="28.8" customHeight="1" x14ac:dyDescent="0.3">
      <c r="A12" s="122" t="str">
        <f t="shared" si="2"/>
        <v>LŽ PL</v>
      </c>
      <c r="B12" s="403" t="s">
        <v>108</v>
      </c>
      <c r="C12" s="47" t="s">
        <v>93</v>
      </c>
    </row>
    <row r="13" spans="1:3" ht="14.4" customHeight="1" x14ac:dyDescent="0.3">
      <c r="A13" s="122" t="str">
        <f t="shared" si="2"/>
        <v>LŽ PL Detail</v>
      </c>
      <c r="B13" s="73" t="s">
        <v>548</v>
      </c>
      <c r="C13" s="47" t="s">
        <v>94</v>
      </c>
    </row>
    <row r="14" spans="1:3" ht="14.4" customHeight="1" x14ac:dyDescent="0.3">
      <c r="A14" s="122" t="str">
        <f t="shared" si="2"/>
        <v>LŽ Statim</v>
      </c>
      <c r="B14" s="261" t="s">
        <v>186</v>
      </c>
      <c r="C14" s="47" t="s">
        <v>196</v>
      </c>
    </row>
    <row r="15" spans="1:3" ht="14.4" customHeight="1" x14ac:dyDescent="0.3">
      <c r="A15" s="124" t="str">
        <f t="shared" ref="A15" si="3">HYPERLINK("#'"&amp;C15&amp;"'!A1",C15)</f>
        <v>Materiál Žádanky</v>
      </c>
      <c r="B15" s="73" t="s">
        <v>88</v>
      </c>
      <c r="C15" s="47" t="s">
        <v>73</v>
      </c>
    </row>
    <row r="16" spans="1:3" ht="14.4" customHeight="1" x14ac:dyDescent="0.3">
      <c r="A16" s="122" t="str">
        <f t="shared" si="2"/>
        <v>MŽ Detail</v>
      </c>
      <c r="B16" s="73" t="s">
        <v>1314</v>
      </c>
      <c r="C16" s="47" t="s">
        <v>74</v>
      </c>
    </row>
    <row r="17" spans="1:3" ht="14.4" customHeight="1" thickBot="1" x14ac:dyDescent="0.35">
      <c r="A17" s="124" t="str">
        <f t="shared" si="2"/>
        <v>Osobní náklady</v>
      </c>
      <c r="B17" s="73" t="s">
        <v>64</v>
      </c>
      <c r="C17" s="47" t="s">
        <v>75</v>
      </c>
    </row>
    <row r="18" spans="1:3" ht="14.4" customHeight="1" thickBot="1" x14ac:dyDescent="0.35">
      <c r="A18" s="76"/>
      <c r="B18" s="76"/>
    </row>
    <row r="19" spans="1:3" ht="14.4" customHeight="1" thickBot="1" x14ac:dyDescent="0.35">
      <c r="A19" s="272" t="s">
        <v>68</v>
      </c>
      <c r="B19" s="270"/>
    </row>
  </sheetData>
  <mergeCells count="4">
    <mergeCell ref="A3:B3"/>
    <mergeCell ref="A9:B9"/>
    <mergeCell ref="A19:B19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8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265" customWidth="1"/>
    <col min="2" max="2" width="5.44140625" style="174" bestFit="1" customWidth="1"/>
    <col min="3" max="3" width="6.109375" style="174" bestFit="1" customWidth="1"/>
    <col min="4" max="4" width="7.44140625" style="174" bestFit="1" customWidth="1"/>
    <col min="5" max="5" width="6.21875" style="174" bestFit="1" customWidth="1"/>
    <col min="6" max="6" width="6.33203125" style="177" bestFit="1" customWidth="1"/>
    <col min="7" max="7" width="6.109375" style="177" bestFit="1" customWidth="1"/>
    <col min="8" max="8" width="7.44140625" style="177" bestFit="1" customWidth="1"/>
    <col min="9" max="9" width="6.21875" style="177" bestFit="1" customWidth="1"/>
    <col min="10" max="10" width="5.44140625" style="174" bestFit="1" customWidth="1"/>
    <col min="11" max="11" width="6.109375" style="174" bestFit="1" customWidth="1"/>
    <col min="12" max="12" width="7.44140625" style="174" bestFit="1" customWidth="1"/>
    <col min="13" max="13" width="6.21875" style="174" bestFit="1" customWidth="1"/>
    <col min="14" max="14" width="5.33203125" style="177" bestFit="1" customWidth="1"/>
    <col min="15" max="15" width="6.109375" style="177" bestFit="1" customWidth="1"/>
    <col min="16" max="16" width="7.44140625" style="177" bestFit="1" customWidth="1"/>
    <col min="17" max="17" width="6.21875" style="177" bestFit="1" customWidth="1"/>
    <col min="18" max="16384" width="8.88671875" style="107"/>
  </cols>
  <sheetData>
    <row r="1" spans="1:17" ht="18.600000000000001" customHeight="1" thickBot="1" x14ac:dyDescent="0.4">
      <c r="A1" s="311" t="s">
        <v>186</v>
      </c>
      <c r="B1" s="311"/>
      <c r="C1" s="311"/>
      <c r="D1" s="311"/>
      <c r="E1" s="311"/>
      <c r="F1" s="274"/>
      <c r="G1" s="274"/>
      <c r="H1" s="274"/>
      <c r="I1" s="274"/>
      <c r="J1" s="304"/>
      <c r="K1" s="304"/>
      <c r="L1" s="304"/>
      <c r="M1" s="304"/>
      <c r="N1" s="304"/>
      <c r="O1" s="304"/>
      <c r="P1" s="304"/>
      <c r="Q1" s="304"/>
    </row>
    <row r="2" spans="1:17" ht="14.4" customHeight="1" thickBot="1" x14ac:dyDescent="0.35">
      <c r="A2" s="187" t="s">
        <v>220</v>
      </c>
      <c r="B2" s="181"/>
      <c r="C2" s="181"/>
      <c r="D2" s="181"/>
      <c r="E2" s="181"/>
    </row>
    <row r="3" spans="1:17" ht="14.4" customHeight="1" thickBot="1" x14ac:dyDescent="0.35">
      <c r="A3" s="254" t="s">
        <v>3</v>
      </c>
      <c r="B3" s="258">
        <f>SUM(B6:B1048576)</f>
        <v>469</v>
      </c>
      <c r="C3" s="259">
        <f>SUM(C6:C1048576)</f>
        <v>3</v>
      </c>
      <c r="D3" s="259">
        <f>SUM(D6:D1048576)</f>
        <v>0</v>
      </c>
      <c r="E3" s="260">
        <f>SUM(E6:E1048576)</f>
        <v>0</v>
      </c>
      <c r="F3" s="257">
        <f>IF(SUM($B3:$E3)=0,"",B3/SUM($B3:$E3))</f>
        <v>0.99364406779661019</v>
      </c>
      <c r="G3" s="255">
        <f t="shared" ref="G3:I3" si="0">IF(SUM($B3:$E3)=0,"",C3/SUM($B3:$E3))</f>
        <v>6.3559322033898309E-3</v>
      </c>
      <c r="H3" s="255">
        <f t="shared" si="0"/>
        <v>0</v>
      </c>
      <c r="I3" s="256">
        <f t="shared" si="0"/>
        <v>0</v>
      </c>
      <c r="J3" s="259">
        <f>SUM(J6:J1048576)</f>
        <v>126</v>
      </c>
      <c r="K3" s="259">
        <f>SUM(K6:K1048576)</f>
        <v>2</v>
      </c>
      <c r="L3" s="259">
        <f>SUM(L6:L1048576)</f>
        <v>0</v>
      </c>
      <c r="M3" s="260">
        <f>SUM(M6:M1048576)</f>
        <v>0</v>
      </c>
      <c r="N3" s="257">
        <f>IF(SUM($J3:$M3)=0,"",J3/SUM($J3:$M3))</f>
        <v>0.984375</v>
      </c>
      <c r="O3" s="255">
        <f t="shared" ref="O3:Q3" si="1">IF(SUM($J3:$M3)=0,"",K3/SUM($J3:$M3))</f>
        <v>1.5625E-2</v>
      </c>
      <c r="P3" s="255">
        <f t="shared" si="1"/>
        <v>0</v>
      </c>
      <c r="Q3" s="256">
        <f t="shared" si="1"/>
        <v>0</v>
      </c>
    </row>
    <row r="4" spans="1:17" ht="14.4" customHeight="1" thickBot="1" x14ac:dyDescent="0.35">
      <c r="A4" s="253"/>
      <c r="B4" s="324" t="s">
        <v>188</v>
      </c>
      <c r="C4" s="325"/>
      <c r="D4" s="325"/>
      <c r="E4" s="326"/>
      <c r="F4" s="321" t="s">
        <v>193</v>
      </c>
      <c r="G4" s="322"/>
      <c r="H4" s="322"/>
      <c r="I4" s="323"/>
      <c r="J4" s="324" t="s">
        <v>194</v>
      </c>
      <c r="K4" s="325"/>
      <c r="L4" s="325"/>
      <c r="M4" s="326"/>
      <c r="N4" s="321" t="s">
        <v>195</v>
      </c>
      <c r="O4" s="322"/>
      <c r="P4" s="322"/>
      <c r="Q4" s="323"/>
    </row>
    <row r="5" spans="1:17" ht="14.4" customHeight="1" thickBot="1" x14ac:dyDescent="0.35">
      <c r="A5" s="408" t="s">
        <v>187</v>
      </c>
      <c r="B5" s="409" t="s">
        <v>189</v>
      </c>
      <c r="C5" s="409" t="s">
        <v>190</v>
      </c>
      <c r="D5" s="409" t="s">
        <v>191</v>
      </c>
      <c r="E5" s="410" t="s">
        <v>192</v>
      </c>
      <c r="F5" s="411" t="s">
        <v>189</v>
      </c>
      <c r="G5" s="412" t="s">
        <v>190</v>
      </c>
      <c r="H5" s="412" t="s">
        <v>191</v>
      </c>
      <c r="I5" s="413" t="s">
        <v>192</v>
      </c>
      <c r="J5" s="409" t="s">
        <v>189</v>
      </c>
      <c r="K5" s="409" t="s">
        <v>190</v>
      </c>
      <c r="L5" s="409" t="s">
        <v>191</v>
      </c>
      <c r="M5" s="410" t="s">
        <v>192</v>
      </c>
      <c r="N5" s="411" t="s">
        <v>189</v>
      </c>
      <c r="O5" s="412" t="s">
        <v>190</v>
      </c>
      <c r="P5" s="412" t="s">
        <v>191</v>
      </c>
      <c r="Q5" s="413" t="s">
        <v>192</v>
      </c>
    </row>
    <row r="6" spans="1:17" ht="14.4" customHeight="1" x14ac:dyDescent="0.3">
      <c r="A6" s="418" t="s">
        <v>549</v>
      </c>
      <c r="B6" s="424"/>
      <c r="C6" s="374"/>
      <c r="D6" s="374"/>
      <c r="E6" s="375"/>
      <c r="F6" s="421"/>
      <c r="G6" s="393"/>
      <c r="H6" s="393"/>
      <c r="I6" s="427"/>
      <c r="J6" s="424"/>
      <c r="K6" s="374"/>
      <c r="L6" s="374"/>
      <c r="M6" s="375"/>
      <c r="N6" s="421"/>
      <c r="O6" s="393"/>
      <c r="P6" s="393"/>
      <c r="Q6" s="414"/>
    </row>
    <row r="7" spans="1:17" ht="14.4" customHeight="1" x14ac:dyDescent="0.3">
      <c r="A7" s="419" t="s">
        <v>550</v>
      </c>
      <c r="B7" s="425">
        <v>443</v>
      </c>
      <c r="C7" s="380">
        <v>3</v>
      </c>
      <c r="D7" s="380"/>
      <c r="E7" s="381"/>
      <c r="F7" s="422">
        <v>0.99327354260089684</v>
      </c>
      <c r="G7" s="415">
        <v>6.7264573991031393E-3</v>
      </c>
      <c r="H7" s="415">
        <v>0</v>
      </c>
      <c r="I7" s="428">
        <v>0</v>
      </c>
      <c r="J7" s="425">
        <v>114</v>
      </c>
      <c r="K7" s="380">
        <v>2</v>
      </c>
      <c r="L7" s="380"/>
      <c r="M7" s="381"/>
      <c r="N7" s="422">
        <v>0.98275862068965514</v>
      </c>
      <c r="O7" s="415">
        <v>1.7241379310344827E-2</v>
      </c>
      <c r="P7" s="415">
        <v>0</v>
      </c>
      <c r="Q7" s="416">
        <v>0</v>
      </c>
    </row>
    <row r="8" spans="1:17" ht="14.4" customHeight="1" thickBot="1" x14ac:dyDescent="0.35">
      <c r="A8" s="420" t="s">
        <v>551</v>
      </c>
      <c r="B8" s="426">
        <v>26</v>
      </c>
      <c r="C8" s="386"/>
      <c r="D8" s="386"/>
      <c r="E8" s="387"/>
      <c r="F8" s="423">
        <v>1</v>
      </c>
      <c r="G8" s="394">
        <v>0</v>
      </c>
      <c r="H8" s="394">
        <v>0</v>
      </c>
      <c r="I8" s="429">
        <v>0</v>
      </c>
      <c r="J8" s="426">
        <v>12</v>
      </c>
      <c r="K8" s="386"/>
      <c r="L8" s="386"/>
      <c r="M8" s="387"/>
      <c r="N8" s="423">
        <v>1</v>
      </c>
      <c r="O8" s="394">
        <v>0</v>
      </c>
      <c r="P8" s="394">
        <v>0</v>
      </c>
      <c r="Q8" s="417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20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50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175" customWidth="1"/>
    <col min="2" max="2" width="61.109375" style="175" customWidth="1"/>
    <col min="3" max="3" width="9.5546875" style="107" customWidth="1"/>
    <col min="4" max="4" width="9.5546875" style="176" customWidth="1"/>
    <col min="5" max="5" width="2.21875" style="176" customWidth="1"/>
    <col min="6" max="6" width="9.5546875" style="177" customWidth="1"/>
    <col min="7" max="7" width="9.5546875" style="174" customWidth="1"/>
    <col min="8" max="9" width="9.5546875" style="107" customWidth="1"/>
    <col min="10" max="10" width="0" style="107" hidden="1" customWidth="1"/>
    <col min="11" max="16384" width="8.88671875" style="107"/>
  </cols>
  <sheetData>
    <row r="1" spans="1:10" ht="18.600000000000001" customHeight="1" thickBot="1" x14ac:dyDescent="0.4">
      <c r="A1" s="302" t="s">
        <v>88</v>
      </c>
      <c r="B1" s="303"/>
      <c r="C1" s="303"/>
      <c r="D1" s="303"/>
      <c r="E1" s="303"/>
      <c r="F1" s="303"/>
      <c r="G1" s="274"/>
      <c r="H1" s="304"/>
      <c r="I1" s="304"/>
    </row>
    <row r="2" spans="1:10" ht="14.4" customHeight="1" thickBot="1" x14ac:dyDescent="0.35">
      <c r="A2" s="187" t="s">
        <v>220</v>
      </c>
      <c r="B2" s="173"/>
      <c r="C2" s="173"/>
      <c r="D2" s="173"/>
      <c r="E2" s="173"/>
      <c r="F2" s="173"/>
    </row>
    <row r="3" spans="1:10" ht="14.4" customHeight="1" thickBot="1" x14ac:dyDescent="0.35">
      <c r="A3" s="187"/>
      <c r="B3" s="173"/>
      <c r="C3" s="245">
        <v>2013</v>
      </c>
      <c r="D3" s="246">
        <v>2014</v>
      </c>
      <c r="E3" s="7"/>
      <c r="F3" s="297">
        <v>2015</v>
      </c>
      <c r="G3" s="298"/>
      <c r="H3" s="298"/>
      <c r="I3" s="299"/>
    </row>
    <row r="4" spans="1:10" ht="14.4" customHeight="1" thickBot="1" x14ac:dyDescent="0.35">
      <c r="A4" s="250" t="s">
        <v>0</v>
      </c>
      <c r="B4" s="251" t="s">
        <v>185</v>
      </c>
      <c r="C4" s="300" t="s">
        <v>58</v>
      </c>
      <c r="D4" s="301"/>
      <c r="E4" s="252"/>
      <c r="F4" s="247" t="s">
        <v>58</v>
      </c>
      <c r="G4" s="248" t="s">
        <v>59</v>
      </c>
      <c r="H4" s="248" t="s">
        <v>55</v>
      </c>
      <c r="I4" s="249" t="s">
        <v>60</v>
      </c>
    </row>
    <row r="5" spans="1:10" ht="14.4" customHeight="1" x14ac:dyDescent="0.3">
      <c r="A5" s="358" t="s">
        <v>382</v>
      </c>
      <c r="B5" s="359" t="s">
        <v>383</v>
      </c>
      <c r="C5" s="360" t="s">
        <v>384</v>
      </c>
      <c r="D5" s="360" t="s">
        <v>384</v>
      </c>
      <c r="E5" s="360"/>
      <c r="F5" s="360" t="s">
        <v>384</v>
      </c>
      <c r="G5" s="360" t="s">
        <v>384</v>
      </c>
      <c r="H5" s="360" t="s">
        <v>384</v>
      </c>
      <c r="I5" s="361" t="s">
        <v>384</v>
      </c>
      <c r="J5" s="362" t="s">
        <v>56</v>
      </c>
    </row>
    <row r="6" spans="1:10" ht="14.4" customHeight="1" x14ac:dyDescent="0.3">
      <c r="A6" s="358" t="s">
        <v>382</v>
      </c>
      <c r="B6" s="359" t="s">
        <v>234</v>
      </c>
      <c r="C6" s="360">
        <v>1.85178</v>
      </c>
      <c r="D6" s="360">
        <v>1.41489</v>
      </c>
      <c r="E6" s="360"/>
      <c r="F6" s="360">
        <v>0.68969000000000003</v>
      </c>
      <c r="G6" s="360">
        <v>4.6666665196773334</v>
      </c>
      <c r="H6" s="360">
        <v>-3.9769765196773332</v>
      </c>
      <c r="I6" s="361">
        <v>0.14779071894078413</v>
      </c>
      <c r="J6" s="362" t="s">
        <v>1</v>
      </c>
    </row>
    <row r="7" spans="1:10" ht="14.4" customHeight="1" x14ac:dyDescent="0.3">
      <c r="A7" s="358" t="s">
        <v>382</v>
      </c>
      <c r="B7" s="359" t="s">
        <v>235</v>
      </c>
      <c r="C7" s="360">
        <v>1023.239409999999</v>
      </c>
      <c r="D7" s="360">
        <v>1062.2639300000001</v>
      </c>
      <c r="E7" s="360"/>
      <c r="F7" s="360">
        <v>2248.9622600000002</v>
      </c>
      <c r="G7" s="360">
        <v>3659.9998847188735</v>
      </c>
      <c r="H7" s="360">
        <v>-1411.0376247188733</v>
      </c>
      <c r="I7" s="361">
        <v>0.6144705821958637</v>
      </c>
      <c r="J7" s="362" t="s">
        <v>1</v>
      </c>
    </row>
    <row r="8" spans="1:10" ht="14.4" customHeight="1" x14ac:dyDescent="0.3">
      <c r="A8" s="358" t="s">
        <v>382</v>
      </c>
      <c r="B8" s="359" t="s">
        <v>236</v>
      </c>
      <c r="C8" s="360">
        <v>1136.4258299999979</v>
      </c>
      <c r="D8" s="360">
        <v>1103.0232900000001</v>
      </c>
      <c r="E8" s="360"/>
      <c r="F8" s="360">
        <v>1245.6931299999999</v>
      </c>
      <c r="G8" s="360">
        <v>1245.3332941083522</v>
      </c>
      <c r="H8" s="360">
        <v>0.35983589164766272</v>
      </c>
      <c r="I8" s="361">
        <v>1.0002889474595678</v>
      </c>
      <c r="J8" s="362" t="s">
        <v>1</v>
      </c>
    </row>
    <row r="9" spans="1:10" ht="14.4" customHeight="1" x14ac:dyDescent="0.3">
      <c r="A9" s="358" t="s">
        <v>382</v>
      </c>
      <c r="B9" s="359" t="s">
        <v>237</v>
      </c>
      <c r="C9" s="360">
        <v>935.39149000000089</v>
      </c>
      <c r="D9" s="360">
        <v>1828.7707100000102</v>
      </c>
      <c r="E9" s="360"/>
      <c r="F9" s="360">
        <v>2954.5980499999996</v>
      </c>
      <c r="G9" s="360">
        <v>0</v>
      </c>
      <c r="H9" s="360">
        <v>2954.5980499999996</v>
      </c>
      <c r="I9" s="361" t="s">
        <v>384</v>
      </c>
      <c r="J9" s="362" t="s">
        <v>1</v>
      </c>
    </row>
    <row r="10" spans="1:10" ht="14.4" customHeight="1" x14ac:dyDescent="0.3">
      <c r="A10" s="358" t="s">
        <v>382</v>
      </c>
      <c r="B10" s="359" t="s">
        <v>238</v>
      </c>
      <c r="C10" s="360">
        <v>30.573079999999003</v>
      </c>
      <c r="D10" s="360">
        <v>20.971689999999999</v>
      </c>
      <c r="E10" s="360"/>
      <c r="F10" s="360">
        <v>37.871120000000005</v>
      </c>
      <c r="G10" s="360">
        <v>57.333331527472005</v>
      </c>
      <c r="H10" s="360">
        <v>-19.462211527472</v>
      </c>
      <c r="I10" s="361">
        <v>0.6605428115031754</v>
      </c>
      <c r="J10" s="362" t="s">
        <v>1</v>
      </c>
    </row>
    <row r="11" spans="1:10" ht="14.4" customHeight="1" x14ac:dyDescent="0.3">
      <c r="A11" s="358" t="s">
        <v>382</v>
      </c>
      <c r="B11" s="359" t="s">
        <v>239</v>
      </c>
      <c r="C11" s="360">
        <v>2485.0799599999991</v>
      </c>
      <c r="D11" s="360">
        <v>2567.3135800000009</v>
      </c>
      <c r="E11" s="360"/>
      <c r="F11" s="360">
        <v>2590.0775200000007</v>
      </c>
      <c r="G11" s="360">
        <v>2752.6426494762691</v>
      </c>
      <c r="H11" s="360">
        <v>-162.56512947626834</v>
      </c>
      <c r="I11" s="361">
        <v>0.94094215988871688</v>
      </c>
      <c r="J11" s="362" t="s">
        <v>1</v>
      </c>
    </row>
    <row r="12" spans="1:10" ht="14.4" customHeight="1" x14ac:dyDescent="0.3">
      <c r="A12" s="358" t="s">
        <v>382</v>
      </c>
      <c r="B12" s="359" t="s">
        <v>240</v>
      </c>
      <c r="C12" s="360">
        <v>48.041290000000004</v>
      </c>
      <c r="D12" s="360">
        <v>40.721389999999992</v>
      </c>
      <c r="E12" s="360"/>
      <c r="F12" s="360">
        <v>53.635840000000009</v>
      </c>
      <c r="G12" s="360">
        <v>75.333330960515994</v>
      </c>
      <c r="H12" s="360">
        <v>-21.697490960515985</v>
      </c>
      <c r="I12" s="361">
        <v>0.71198019941680046</v>
      </c>
      <c r="J12" s="362" t="s">
        <v>1</v>
      </c>
    </row>
    <row r="13" spans="1:10" ht="14.4" customHeight="1" x14ac:dyDescent="0.3">
      <c r="A13" s="358" t="s">
        <v>382</v>
      </c>
      <c r="B13" s="359" t="s">
        <v>241</v>
      </c>
      <c r="C13" s="360">
        <v>8.5153400000000001</v>
      </c>
      <c r="D13" s="360">
        <v>0</v>
      </c>
      <c r="E13" s="360"/>
      <c r="F13" s="360">
        <v>22.653739999999999</v>
      </c>
      <c r="G13" s="360">
        <v>28.666665763736003</v>
      </c>
      <c r="H13" s="360">
        <v>-6.0129257637360034</v>
      </c>
      <c r="I13" s="361">
        <v>0.79024676907690838</v>
      </c>
      <c r="J13" s="362" t="s">
        <v>1</v>
      </c>
    </row>
    <row r="14" spans="1:10" ht="14.4" customHeight="1" x14ac:dyDescent="0.3">
      <c r="A14" s="358" t="s">
        <v>382</v>
      </c>
      <c r="B14" s="359" t="s">
        <v>242</v>
      </c>
      <c r="C14" s="360">
        <v>363.33872000000002</v>
      </c>
      <c r="D14" s="360">
        <v>499.57704999999999</v>
      </c>
      <c r="E14" s="360"/>
      <c r="F14" s="360">
        <v>343.05786000000001</v>
      </c>
      <c r="G14" s="360">
        <v>537.99998305430404</v>
      </c>
      <c r="H14" s="360">
        <v>-194.94212305430403</v>
      </c>
      <c r="I14" s="361">
        <v>0.63765403495444495</v>
      </c>
      <c r="J14" s="362" t="s">
        <v>1</v>
      </c>
    </row>
    <row r="15" spans="1:10" ht="14.4" customHeight="1" x14ac:dyDescent="0.3">
      <c r="A15" s="358" t="s">
        <v>382</v>
      </c>
      <c r="B15" s="359" t="s">
        <v>243</v>
      </c>
      <c r="C15" s="360">
        <v>19.181999999999999</v>
      </c>
      <c r="D15" s="360">
        <v>0.82764000000000004</v>
      </c>
      <c r="E15" s="360"/>
      <c r="F15" s="360">
        <v>0</v>
      </c>
      <c r="G15" s="360">
        <v>4.6666665196773334</v>
      </c>
      <c r="H15" s="360">
        <v>-4.6666665196773334</v>
      </c>
      <c r="I15" s="361">
        <v>0</v>
      </c>
      <c r="J15" s="362" t="s">
        <v>1</v>
      </c>
    </row>
    <row r="16" spans="1:10" ht="14.4" customHeight="1" x14ac:dyDescent="0.3">
      <c r="A16" s="358" t="s">
        <v>382</v>
      </c>
      <c r="B16" s="359" t="s">
        <v>244</v>
      </c>
      <c r="C16" s="360" t="s">
        <v>384</v>
      </c>
      <c r="D16" s="360" t="s">
        <v>384</v>
      </c>
      <c r="E16" s="360"/>
      <c r="F16" s="360">
        <v>119.15329000000001</v>
      </c>
      <c r="G16" s="360">
        <v>0</v>
      </c>
      <c r="H16" s="360">
        <v>119.15329000000001</v>
      </c>
      <c r="I16" s="361" t="s">
        <v>384</v>
      </c>
      <c r="J16" s="362" t="s">
        <v>1</v>
      </c>
    </row>
    <row r="17" spans="1:10" ht="14.4" customHeight="1" x14ac:dyDescent="0.3">
      <c r="A17" s="358" t="s">
        <v>382</v>
      </c>
      <c r="B17" s="359" t="s">
        <v>246</v>
      </c>
      <c r="C17" s="360">
        <v>49.743630000000003</v>
      </c>
      <c r="D17" s="360">
        <v>186.64995999999999</v>
      </c>
      <c r="E17" s="360"/>
      <c r="F17" s="360">
        <v>376.2978</v>
      </c>
      <c r="G17" s="360">
        <v>445.32225168741667</v>
      </c>
      <c r="H17" s="360">
        <v>-69.024451687416672</v>
      </c>
      <c r="I17" s="361">
        <v>0.84500111677359713</v>
      </c>
      <c r="J17" s="362" t="s">
        <v>1</v>
      </c>
    </row>
    <row r="18" spans="1:10" ht="14.4" customHeight="1" x14ac:dyDescent="0.3">
      <c r="A18" s="358" t="s">
        <v>382</v>
      </c>
      <c r="B18" s="359" t="s">
        <v>385</v>
      </c>
      <c r="C18" s="360">
        <v>6101.3825299999953</v>
      </c>
      <c r="D18" s="360">
        <v>7311.5341300000109</v>
      </c>
      <c r="E18" s="360"/>
      <c r="F18" s="360">
        <v>9992.690300000002</v>
      </c>
      <c r="G18" s="360">
        <v>8811.9647243362961</v>
      </c>
      <c r="H18" s="360">
        <v>1180.725575663706</v>
      </c>
      <c r="I18" s="361">
        <v>1.1339911827384939</v>
      </c>
      <c r="J18" s="362" t="s">
        <v>386</v>
      </c>
    </row>
    <row r="20" spans="1:10" ht="14.4" customHeight="1" x14ac:dyDescent="0.3">
      <c r="A20" s="358" t="s">
        <v>382</v>
      </c>
      <c r="B20" s="359" t="s">
        <v>383</v>
      </c>
      <c r="C20" s="360" t="s">
        <v>384</v>
      </c>
      <c r="D20" s="360" t="s">
        <v>384</v>
      </c>
      <c r="E20" s="360"/>
      <c r="F20" s="360" t="s">
        <v>384</v>
      </c>
      <c r="G20" s="360" t="s">
        <v>384</v>
      </c>
      <c r="H20" s="360" t="s">
        <v>384</v>
      </c>
      <c r="I20" s="361" t="s">
        <v>384</v>
      </c>
      <c r="J20" s="362" t="s">
        <v>56</v>
      </c>
    </row>
    <row r="21" spans="1:10" ht="14.4" customHeight="1" x14ac:dyDescent="0.3">
      <c r="A21" s="358" t="s">
        <v>387</v>
      </c>
      <c r="B21" s="359" t="s">
        <v>388</v>
      </c>
      <c r="C21" s="360" t="s">
        <v>384</v>
      </c>
      <c r="D21" s="360" t="s">
        <v>384</v>
      </c>
      <c r="E21" s="360"/>
      <c r="F21" s="360" t="s">
        <v>384</v>
      </c>
      <c r="G21" s="360" t="s">
        <v>384</v>
      </c>
      <c r="H21" s="360" t="s">
        <v>384</v>
      </c>
      <c r="I21" s="361" t="s">
        <v>384</v>
      </c>
      <c r="J21" s="362" t="s">
        <v>0</v>
      </c>
    </row>
    <row r="22" spans="1:10" ht="14.4" customHeight="1" x14ac:dyDescent="0.3">
      <c r="A22" s="358" t="s">
        <v>387</v>
      </c>
      <c r="B22" s="359" t="s">
        <v>234</v>
      </c>
      <c r="C22" s="360">
        <v>0.47239999999999999</v>
      </c>
      <c r="D22" s="360">
        <v>1.41489</v>
      </c>
      <c r="E22" s="360"/>
      <c r="F22" s="360">
        <v>0.68969000000000003</v>
      </c>
      <c r="G22" s="360">
        <v>1.6039147451046667</v>
      </c>
      <c r="H22" s="360">
        <v>-0.91422474510466667</v>
      </c>
      <c r="I22" s="361">
        <v>0.43000415209412701</v>
      </c>
      <c r="J22" s="362" t="s">
        <v>1</v>
      </c>
    </row>
    <row r="23" spans="1:10" ht="14.4" customHeight="1" x14ac:dyDescent="0.3">
      <c r="A23" s="358" t="s">
        <v>387</v>
      </c>
      <c r="B23" s="359" t="s">
        <v>235</v>
      </c>
      <c r="C23" s="360">
        <v>758.64733999999896</v>
      </c>
      <c r="D23" s="360">
        <v>770.9342200000001</v>
      </c>
      <c r="E23" s="360"/>
      <c r="F23" s="360">
        <v>1516.9169400000001</v>
      </c>
      <c r="G23" s="360">
        <v>2765.2347882652734</v>
      </c>
      <c r="H23" s="360">
        <v>-1248.3178482652734</v>
      </c>
      <c r="I23" s="361">
        <v>0.54856714027947484</v>
      </c>
      <c r="J23" s="362" t="s">
        <v>1</v>
      </c>
    </row>
    <row r="24" spans="1:10" ht="14.4" customHeight="1" x14ac:dyDescent="0.3">
      <c r="A24" s="358" t="s">
        <v>387</v>
      </c>
      <c r="B24" s="359" t="s">
        <v>236</v>
      </c>
      <c r="C24" s="360">
        <v>563.34590999999898</v>
      </c>
      <c r="D24" s="360">
        <v>583.25461000000007</v>
      </c>
      <c r="E24" s="360"/>
      <c r="F24" s="360">
        <v>794.80916999999999</v>
      </c>
      <c r="G24" s="360">
        <v>614.21766997995337</v>
      </c>
      <c r="H24" s="360">
        <v>180.59150002004662</v>
      </c>
      <c r="I24" s="361">
        <v>1.2940187312194074</v>
      </c>
      <c r="J24" s="362" t="s">
        <v>1</v>
      </c>
    </row>
    <row r="25" spans="1:10" ht="14.4" customHeight="1" x14ac:dyDescent="0.3">
      <c r="A25" s="358" t="s">
        <v>387</v>
      </c>
      <c r="B25" s="359" t="s">
        <v>237</v>
      </c>
      <c r="C25" s="360">
        <v>935.39149000000089</v>
      </c>
      <c r="D25" s="360">
        <v>1828.7707100000102</v>
      </c>
      <c r="E25" s="360"/>
      <c r="F25" s="360">
        <v>2954.5980499999996</v>
      </c>
      <c r="G25" s="360">
        <v>0</v>
      </c>
      <c r="H25" s="360">
        <v>2954.5980499999996</v>
      </c>
      <c r="I25" s="361" t="s">
        <v>384</v>
      </c>
      <c r="J25" s="362" t="s">
        <v>1</v>
      </c>
    </row>
    <row r="26" spans="1:10" ht="14.4" customHeight="1" x14ac:dyDescent="0.3">
      <c r="A26" s="358" t="s">
        <v>387</v>
      </c>
      <c r="B26" s="359" t="s">
        <v>238</v>
      </c>
      <c r="C26" s="360">
        <v>30.573079999999003</v>
      </c>
      <c r="D26" s="360">
        <v>20.971689999999999</v>
      </c>
      <c r="E26" s="360"/>
      <c r="F26" s="360">
        <v>37.871120000000005</v>
      </c>
      <c r="G26" s="360">
        <v>57.333331527472005</v>
      </c>
      <c r="H26" s="360">
        <v>-19.462211527472</v>
      </c>
      <c r="I26" s="361">
        <v>0.6605428115031754</v>
      </c>
      <c r="J26" s="362" t="s">
        <v>1</v>
      </c>
    </row>
    <row r="27" spans="1:10" ht="14.4" customHeight="1" x14ac:dyDescent="0.3">
      <c r="A27" s="358" t="s">
        <v>387</v>
      </c>
      <c r="B27" s="359" t="s">
        <v>239</v>
      </c>
      <c r="C27" s="360">
        <v>2290.3992099999991</v>
      </c>
      <c r="D27" s="360">
        <v>2316.372010000001</v>
      </c>
      <c r="E27" s="360"/>
      <c r="F27" s="360">
        <v>2345.7248700000009</v>
      </c>
      <c r="G27" s="360">
        <v>2472.6665887836602</v>
      </c>
      <c r="H27" s="360">
        <v>-126.94171878365933</v>
      </c>
      <c r="I27" s="361">
        <v>0.94866201559098839</v>
      </c>
      <c r="J27" s="362" t="s">
        <v>1</v>
      </c>
    </row>
    <row r="28" spans="1:10" ht="14.4" customHeight="1" x14ac:dyDescent="0.3">
      <c r="A28" s="358" t="s">
        <v>387</v>
      </c>
      <c r="B28" s="359" t="s">
        <v>240</v>
      </c>
      <c r="C28" s="360">
        <v>40.950690000000002</v>
      </c>
      <c r="D28" s="360">
        <v>40.537389999999995</v>
      </c>
      <c r="E28" s="360"/>
      <c r="F28" s="360">
        <v>51.69971000000001</v>
      </c>
      <c r="G28" s="360">
        <v>70.315122900915995</v>
      </c>
      <c r="H28" s="360">
        <v>-18.615412900915985</v>
      </c>
      <c r="I28" s="361">
        <v>0.73525733678731175</v>
      </c>
      <c r="J28" s="362" t="s">
        <v>1</v>
      </c>
    </row>
    <row r="29" spans="1:10" ht="14.4" customHeight="1" x14ac:dyDescent="0.3">
      <c r="A29" s="358" t="s">
        <v>387</v>
      </c>
      <c r="B29" s="359" t="s">
        <v>241</v>
      </c>
      <c r="C29" s="360">
        <v>8.5153400000000001</v>
      </c>
      <c r="D29" s="360">
        <v>0</v>
      </c>
      <c r="E29" s="360"/>
      <c r="F29" s="360">
        <v>22.653739999999999</v>
      </c>
      <c r="G29" s="360">
        <v>28.666665763736003</v>
      </c>
      <c r="H29" s="360">
        <v>-6.0129257637360034</v>
      </c>
      <c r="I29" s="361">
        <v>0.79024676907690838</v>
      </c>
      <c r="J29" s="362" t="s">
        <v>1</v>
      </c>
    </row>
    <row r="30" spans="1:10" ht="14.4" customHeight="1" x14ac:dyDescent="0.3">
      <c r="A30" s="358" t="s">
        <v>387</v>
      </c>
      <c r="B30" s="359" t="s">
        <v>242</v>
      </c>
      <c r="C30" s="360">
        <v>215.09230000000002</v>
      </c>
      <c r="D30" s="360">
        <v>377.83037999999999</v>
      </c>
      <c r="E30" s="360"/>
      <c r="F30" s="360">
        <v>318.04527999999999</v>
      </c>
      <c r="G30" s="360">
        <v>349.96377711365602</v>
      </c>
      <c r="H30" s="360">
        <v>-31.918497113656031</v>
      </c>
      <c r="I30" s="361">
        <v>0.90879485477924182</v>
      </c>
      <c r="J30" s="362" t="s">
        <v>1</v>
      </c>
    </row>
    <row r="31" spans="1:10" ht="14.4" customHeight="1" x14ac:dyDescent="0.3">
      <c r="A31" s="358" t="s">
        <v>387</v>
      </c>
      <c r="B31" s="359" t="s">
        <v>243</v>
      </c>
      <c r="C31" s="360">
        <v>9.5909999999999993</v>
      </c>
      <c r="D31" s="360">
        <v>0.82764000000000004</v>
      </c>
      <c r="E31" s="360"/>
      <c r="F31" s="360">
        <v>0</v>
      </c>
      <c r="G31" s="360">
        <v>4.6666665196773334</v>
      </c>
      <c r="H31" s="360">
        <v>-4.6666665196773334</v>
      </c>
      <c r="I31" s="361">
        <v>0</v>
      </c>
      <c r="J31" s="362" t="s">
        <v>1</v>
      </c>
    </row>
    <row r="32" spans="1:10" ht="14.4" customHeight="1" x14ac:dyDescent="0.3">
      <c r="A32" s="358" t="s">
        <v>387</v>
      </c>
      <c r="B32" s="359" t="s">
        <v>244</v>
      </c>
      <c r="C32" s="360" t="s">
        <v>384</v>
      </c>
      <c r="D32" s="360" t="s">
        <v>384</v>
      </c>
      <c r="E32" s="360"/>
      <c r="F32" s="360">
        <v>115.02066000000002</v>
      </c>
      <c r="G32" s="360">
        <v>0</v>
      </c>
      <c r="H32" s="360">
        <v>115.02066000000002</v>
      </c>
      <c r="I32" s="361" t="s">
        <v>384</v>
      </c>
      <c r="J32" s="362" t="s">
        <v>1</v>
      </c>
    </row>
    <row r="33" spans="1:10" ht="14.4" customHeight="1" x14ac:dyDescent="0.3">
      <c r="A33" s="358" t="s">
        <v>387</v>
      </c>
      <c r="B33" s="359" t="s">
        <v>246</v>
      </c>
      <c r="C33" s="360">
        <v>49.743630000000003</v>
      </c>
      <c r="D33" s="360">
        <v>2.8716499999999998</v>
      </c>
      <c r="E33" s="360"/>
      <c r="F33" s="360">
        <v>2.8716499999999998</v>
      </c>
      <c r="G33" s="360">
        <v>28.826959571738666</v>
      </c>
      <c r="H33" s="360">
        <v>-25.955309571738667</v>
      </c>
      <c r="I33" s="361">
        <v>9.9616818515099459E-2</v>
      </c>
      <c r="J33" s="362" t="s">
        <v>1</v>
      </c>
    </row>
    <row r="34" spans="1:10" ht="14.4" customHeight="1" x14ac:dyDescent="0.3">
      <c r="A34" s="358" t="s">
        <v>387</v>
      </c>
      <c r="B34" s="359" t="s">
        <v>389</v>
      </c>
      <c r="C34" s="360">
        <v>4902.7223899999972</v>
      </c>
      <c r="D34" s="360">
        <v>5943.7851900000123</v>
      </c>
      <c r="E34" s="360"/>
      <c r="F34" s="360">
        <v>8160.9008800000001</v>
      </c>
      <c r="G34" s="360">
        <v>6393.4954851711882</v>
      </c>
      <c r="H34" s="360">
        <v>1767.4053948288119</v>
      </c>
      <c r="I34" s="361">
        <v>1.2764380453428112</v>
      </c>
      <c r="J34" s="362" t="s">
        <v>390</v>
      </c>
    </row>
    <row r="35" spans="1:10" ht="14.4" customHeight="1" x14ac:dyDescent="0.3">
      <c r="A35" s="358" t="s">
        <v>384</v>
      </c>
      <c r="B35" s="359" t="s">
        <v>384</v>
      </c>
      <c r="C35" s="360" t="s">
        <v>384</v>
      </c>
      <c r="D35" s="360" t="s">
        <v>384</v>
      </c>
      <c r="E35" s="360"/>
      <c r="F35" s="360" t="s">
        <v>384</v>
      </c>
      <c r="G35" s="360" t="s">
        <v>384</v>
      </c>
      <c r="H35" s="360" t="s">
        <v>384</v>
      </c>
      <c r="I35" s="361" t="s">
        <v>384</v>
      </c>
      <c r="J35" s="362" t="s">
        <v>391</v>
      </c>
    </row>
    <row r="36" spans="1:10" ht="14.4" customHeight="1" x14ac:dyDescent="0.3">
      <c r="A36" s="358" t="s">
        <v>392</v>
      </c>
      <c r="B36" s="359" t="s">
        <v>393</v>
      </c>
      <c r="C36" s="360" t="s">
        <v>384</v>
      </c>
      <c r="D36" s="360" t="s">
        <v>384</v>
      </c>
      <c r="E36" s="360"/>
      <c r="F36" s="360" t="s">
        <v>384</v>
      </c>
      <c r="G36" s="360" t="s">
        <v>384</v>
      </c>
      <c r="H36" s="360" t="s">
        <v>384</v>
      </c>
      <c r="I36" s="361" t="s">
        <v>384</v>
      </c>
      <c r="J36" s="362" t="s">
        <v>0</v>
      </c>
    </row>
    <row r="37" spans="1:10" ht="14.4" customHeight="1" x14ac:dyDescent="0.3">
      <c r="A37" s="358" t="s">
        <v>392</v>
      </c>
      <c r="B37" s="359" t="s">
        <v>234</v>
      </c>
      <c r="C37" s="360">
        <v>1.3793800000000001</v>
      </c>
      <c r="D37" s="360">
        <v>0</v>
      </c>
      <c r="E37" s="360"/>
      <c r="F37" s="360">
        <v>0</v>
      </c>
      <c r="G37" s="360">
        <v>3.0627517745726665</v>
      </c>
      <c r="H37" s="360">
        <v>-3.0627517745726665</v>
      </c>
      <c r="I37" s="361">
        <v>0</v>
      </c>
      <c r="J37" s="362" t="s">
        <v>1</v>
      </c>
    </row>
    <row r="38" spans="1:10" ht="14.4" customHeight="1" x14ac:dyDescent="0.3">
      <c r="A38" s="358" t="s">
        <v>392</v>
      </c>
      <c r="B38" s="359" t="s">
        <v>235</v>
      </c>
      <c r="C38" s="360">
        <v>264.59207000000004</v>
      </c>
      <c r="D38" s="360">
        <v>291.32970999999998</v>
      </c>
      <c r="E38" s="360"/>
      <c r="F38" s="360">
        <v>732.04531999999995</v>
      </c>
      <c r="G38" s="360">
        <v>894.76509645359999</v>
      </c>
      <c r="H38" s="360">
        <v>-162.71977645360005</v>
      </c>
      <c r="I38" s="361">
        <v>0.8181424632023091</v>
      </c>
      <c r="J38" s="362" t="s">
        <v>1</v>
      </c>
    </row>
    <row r="39" spans="1:10" ht="14.4" customHeight="1" x14ac:dyDescent="0.3">
      <c r="A39" s="358" t="s">
        <v>392</v>
      </c>
      <c r="B39" s="359" t="s">
        <v>236</v>
      </c>
      <c r="C39" s="360">
        <v>573.07991999999899</v>
      </c>
      <c r="D39" s="360">
        <v>519.76868000000002</v>
      </c>
      <c r="E39" s="360"/>
      <c r="F39" s="360">
        <v>450.88395999999995</v>
      </c>
      <c r="G39" s="360">
        <v>631.11562412839874</v>
      </c>
      <c r="H39" s="360">
        <v>-180.23166412839879</v>
      </c>
      <c r="I39" s="361">
        <v>0.71442370108122821</v>
      </c>
      <c r="J39" s="362" t="s">
        <v>1</v>
      </c>
    </row>
    <row r="40" spans="1:10" ht="14.4" customHeight="1" x14ac:dyDescent="0.3">
      <c r="A40" s="358" t="s">
        <v>392</v>
      </c>
      <c r="B40" s="359" t="s">
        <v>238</v>
      </c>
      <c r="C40" s="360">
        <v>0</v>
      </c>
      <c r="D40" s="360" t="s">
        <v>384</v>
      </c>
      <c r="E40" s="360"/>
      <c r="F40" s="360" t="s">
        <v>384</v>
      </c>
      <c r="G40" s="360" t="s">
        <v>384</v>
      </c>
      <c r="H40" s="360" t="s">
        <v>384</v>
      </c>
      <c r="I40" s="361" t="s">
        <v>384</v>
      </c>
      <c r="J40" s="362" t="s">
        <v>1</v>
      </c>
    </row>
    <row r="41" spans="1:10" ht="14.4" customHeight="1" x14ac:dyDescent="0.3">
      <c r="A41" s="358" t="s">
        <v>392</v>
      </c>
      <c r="B41" s="359" t="s">
        <v>239</v>
      </c>
      <c r="C41" s="360">
        <v>194.68075000000002</v>
      </c>
      <c r="D41" s="360">
        <v>250.94157000000001</v>
      </c>
      <c r="E41" s="360"/>
      <c r="F41" s="360">
        <v>244.35264999999998</v>
      </c>
      <c r="G41" s="360">
        <v>279.97606069260866</v>
      </c>
      <c r="H41" s="360">
        <v>-35.623410692608672</v>
      </c>
      <c r="I41" s="361">
        <v>0.87276265476240011</v>
      </c>
      <c r="J41" s="362" t="s">
        <v>1</v>
      </c>
    </row>
    <row r="42" spans="1:10" ht="14.4" customHeight="1" x14ac:dyDescent="0.3">
      <c r="A42" s="358" t="s">
        <v>392</v>
      </c>
      <c r="B42" s="359" t="s">
        <v>240</v>
      </c>
      <c r="C42" s="360">
        <v>7.0906000000000002</v>
      </c>
      <c r="D42" s="360">
        <v>0.184</v>
      </c>
      <c r="E42" s="360"/>
      <c r="F42" s="360">
        <v>1.9361299999999999</v>
      </c>
      <c r="G42" s="360">
        <v>5.0182080596</v>
      </c>
      <c r="H42" s="360">
        <v>-3.0820780596000001</v>
      </c>
      <c r="I42" s="361">
        <v>0.38582098968497697</v>
      </c>
      <c r="J42" s="362" t="s">
        <v>1</v>
      </c>
    </row>
    <row r="43" spans="1:10" ht="14.4" customHeight="1" x14ac:dyDescent="0.3">
      <c r="A43" s="358" t="s">
        <v>392</v>
      </c>
      <c r="B43" s="359" t="s">
        <v>241</v>
      </c>
      <c r="C43" s="360">
        <v>0</v>
      </c>
      <c r="D43" s="360">
        <v>0</v>
      </c>
      <c r="E43" s="360"/>
      <c r="F43" s="360" t="s">
        <v>384</v>
      </c>
      <c r="G43" s="360" t="s">
        <v>384</v>
      </c>
      <c r="H43" s="360" t="s">
        <v>384</v>
      </c>
      <c r="I43" s="361" t="s">
        <v>384</v>
      </c>
      <c r="J43" s="362" t="s">
        <v>1</v>
      </c>
    </row>
    <row r="44" spans="1:10" ht="14.4" customHeight="1" x14ac:dyDescent="0.3">
      <c r="A44" s="358" t="s">
        <v>392</v>
      </c>
      <c r="B44" s="359" t="s">
        <v>242</v>
      </c>
      <c r="C44" s="360">
        <v>148.24642</v>
      </c>
      <c r="D44" s="360">
        <v>121.74666999999999</v>
      </c>
      <c r="E44" s="360"/>
      <c r="F44" s="360">
        <v>25.01258</v>
      </c>
      <c r="G44" s="360">
        <v>188.03620594064799</v>
      </c>
      <c r="H44" s="360">
        <v>-163.023625940648</v>
      </c>
      <c r="I44" s="361">
        <v>0.13302002066503621</v>
      </c>
      <c r="J44" s="362" t="s">
        <v>1</v>
      </c>
    </row>
    <row r="45" spans="1:10" ht="14.4" customHeight="1" x14ac:dyDescent="0.3">
      <c r="A45" s="358" t="s">
        <v>392</v>
      </c>
      <c r="B45" s="359" t="s">
        <v>243</v>
      </c>
      <c r="C45" s="360">
        <v>9.5909999999999993</v>
      </c>
      <c r="D45" s="360">
        <v>0</v>
      </c>
      <c r="E45" s="360"/>
      <c r="F45" s="360" t="s">
        <v>384</v>
      </c>
      <c r="G45" s="360" t="s">
        <v>384</v>
      </c>
      <c r="H45" s="360" t="s">
        <v>384</v>
      </c>
      <c r="I45" s="361" t="s">
        <v>384</v>
      </c>
      <c r="J45" s="362" t="s">
        <v>1</v>
      </c>
    </row>
    <row r="46" spans="1:10" ht="14.4" customHeight="1" x14ac:dyDescent="0.3">
      <c r="A46" s="358" t="s">
        <v>392</v>
      </c>
      <c r="B46" s="359" t="s">
        <v>244</v>
      </c>
      <c r="C46" s="360" t="s">
        <v>384</v>
      </c>
      <c r="D46" s="360" t="s">
        <v>384</v>
      </c>
      <c r="E46" s="360"/>
      <c r="F46" s="360">
        <v>4.1326299999999918</v>
      </c>
      <c r="G46" s="360">
        <v>0</v>
      </c>
      <c r="H46" s="360">
        <v>4.1326299999999918</v>
      </c>
      <c r="I46" s="361" t="s">
        <v>384</v>
      </c>
      <c r="J46" s="362" t="s">
        <v>1</v>
      </c>
    </row>
    <row r="47" spans="1:10" ht="14.4" customHeight="1" x14ac:dyDescent="0.3">
      <c r="A47" s="358" t="s">
        <v>392</v>
      </c>
      <c r="B47" s="359" t="s">
        <v>246</v>
      </c>
      <c r="C47" s="360">
        <v>0</v>
      </c>
      <c r="D47" s="360">
        <v>183.77831</v>
      </c>
      <c r="E47" s="360"/>
      <c r="F47" s="360">
        <v>373.42615000000001</v>
      </c>
      <c r="G47" s="360">
        <v>416.49529211567801</v>
      </c>
      <c r="H47" s="360">
        <v>-43.069142115678005</v>
      </c>
      <c r="I47" s="361">
        <v>0.89659152712891665</v>
      </c>
      <c r="J47" s="362" t="s">
        <v>1</v>
      </c>
    </row>
    <row r="48" spans="1:10" ht="14.4" customHeight="1" x14ac:dyDescent="0.3">
      <c r="A48" s="358" t="s">
        <v>392</v>
      </c>
      <c r="B48" s="359" t="s">
        <v>394</v>
      </c>
      <c r="C48" s="360">
        <v>1198.6601399999988</v>
      </c>
      <c r="D48" s="360">
        <v>1367.7489399999999</v>
      </c>
      <c r="E48" s="360"/>
      <c r="F48" s="360">
        <v>1831.7894200000001</v>
      </c>
      <c r="G48" s="360">
        <v>2418.469239165106</v>
      </c>
      <c r="H48" s="360">
        <v>-586.67981916510598</v>
      </c>
      <c r="I48" s="361">
        <v>0.75741687772401145</v>
      </c>
      <c r="J48" s="362" t="s">
        <v>390</v>
      </c>
    </row>
    <row r="49" spans="1:10" ht="14.4" customHeight="1" x14ac:dyDescent="0.3">
      <c r="A49" s="358" t="s">
        <v>384</v>
      </c>
      <c r="B49" s="359" t="s">
        <v>384</v>
      </c>
      <c r="C49" s="360" t="s">
        <v>384</v>
      </c>
      <c r="D49" s="360" t="s">
        <v>384</v>
      </c>
      <c r="E49" s="360"/>
      <c r="F49" s="360" t="s">
        <v>384</v>
      </c>
      <c r="G49" s="360" t="s">
        <v>384</v>
      </c>
      <c r="H49" s="360" t="s">
        <v>384</v>
      </c>
      <c r="I49" s="361" t="s">
        <v>384</v>
      </c>
      <c r="J49" s="362" t="s">
        <v>391</v>
      </c>
    </row>
    <row r="50" spans="1:10" ht="14.4" customHeight="1" x14ac:dyDescent="0.3">
      <c r="A50" s="358" t="s">
        <v>382</v>
      </c>
      <c r="B50" s="359" t="s">
        <v>385</v>
      </c>
      <c r="C50" s="360">
        <v>6101.382529999998</v>
      </c>
      <c r="D50" s="360">
        <v>7311.5341300000127</v>
      </c>
      <c r="E50" s="360"/>
      <c r="F50" s="360">
        <v>9992.6903000000002</v>
      </c>
      <c r="G50" s="360">
        <v>8811.9647243362961</v>
      </c>
      <c r="H50" s="360">
        <v>1180.7255756637041</v>
      </c>
      <c r="I50" s="361">
        <v>1.1339911827384936</v>
      </c>
      <c r="J50" s="362" t="s">
        <v>386</v>
      </c>
    </row>
  </sheetData>
  <mergeCells count="3">
    <mergeCell ref="A1:I1"/>
    <mergeCell ref="F3:I3"/>
    <mergeCell ref="C4:D4"/>
  </mergeCells>
  <conditionalFormatting sqref="F19 F51:F65537">
    <cfRule type="cellIs" dxfId="19" priority="18" stopIfTrue="1" operator="greaterThan">
      <formula>1</formula>
    </cfRule>
  </conditionalFormatting>
  <conditionalFormatting sqref="H5:H18">
    <cfRule type="expression" dxfId="18" priority="14">
      <formula>$H5&gt;0</formula>
    </cfRule>
  </conditionalFormatting>
  <conditionalFormatting sqref="I5:I18">
    <cfRule type="expression" dxfId="17" priority="15">
      <formula>$I5&gt;1</formula>
    </cfRule>
  </conditionalFormatting>
  <conditionalFormatting sqref="B5:B18">
    <cfRule type="expression" dxfId="16" priority="11">
      <formula>OR($J5="NS",$J5="SumaNS",$J5="Účet")</formula>
    </cfRule>
  </conditionalFormatting>
  <conditionalFormatting sqref="F5:I18 B5:D18">
    <cfRule type="expression" dxfId="15" priority="17">
      <formula>AND($J5&lt;&gt;"",$J5&lt;&gt;"mezeraKL")</formula>
    </cfRule>
  </conditionalFormatting>
  <conditionalFormatting sqref="B5:D18 F5:I18">
    <cfRule type="expression" dxfId="14" priority="12">
      <formula>OR($J5="KL",$J5="SumaKL")</formula>
    </cfRule>
    <cfRule type="expression" priority="16" stopIfTrue="1">
      <formula>OR($J5="mezeraNS",$J5="mezeraKL")</formula>
    </cfRule>
  </conditionalFormatting>
  <conditionalFormatting sqref="B5:D18 F5:I18">
    <cfRule type="expression" dxfId="13" priority="13">
      <formula>OR($J5="SumaNS",$J5="NS")</formula>
    </cfRule>
  </conditionalFormatting>
  <conditionalFormatting sqref="A5:A18">
    <cfRule type="expression" dxfId="12" priority="9">
      <formula>AND($J5&lt;&gt;"mezeraKL",$J5&lt;&gt;"")</formula>
    </cfRule>
  </conditionalFormatting>
  <conditionalFormatting sqref="A5:A18">
    <cfRule type="expression" dxfId="11" priority="10">
      <formula>AND($J5&lt;&gt;"",$J5&lt;&gt;"mezeraKL")</formula>
    </cfRule>
  </conditionalFormatting>
  <conditionalFormatting sqref="H20:H50">
    <cfRule type="expression" dxfId="10" priority="5">
      <formula>$H20&gt;0</formula>
    </cfRule>
  </conditionalFormatting>
  <conditionalFormatting sqref="A20:A50">
    <cfRule type="expression" dxfId="9" priority="2">
      <formula>AND($J20&lt;&gt;"mezeraKL",$J20&lt;&gt;"")</formula>
    </cfRule>
  </conditionalFormatting>
  <conditionalFormatting sqref="I20:I50">
    <cfRule type="expression" dxfId="8" priority="6">
      <formula>$I20&gt;1</formula>
    </cfRule>
  </conditionalFormatting>
  <conditionalFormatting sqref="B20:B50">
    <cfRule type="expression" dxfId="7" priority="1">
      <formula>OR($J20="NS",$J20="SumaNS",$J20="Účet")</formula>
    </cfRule>
  </conditionalFormatting>
  <conditionalFormatting sqref="A20:D50 F20:I50">
    <cfRule type="expression" dxfId="6" priority="8">
      <formula>AND($J20&lt;&gt;"",$J20&lt;&gt;"mezeraKL")</formula>
    </cfRule>
  </conditionalFormatting>
  <conditionalFormatting sqref="B20:D50 F20:I50">
    <cfRule type="expression" dxfId="5" priority="3">
      <formula>OR($J20="KL",$J20="SumaKL")</formula>
    </cfRule>
    <cfRule type="expression" priority="7" stopIfTrue="1">
      <formula>OR($J20="mezeraNS",$J20="mezeraKL")</formula>
    </cfRule>
  </conditionalFormatting>
  <conditionalFormatting sqref="B20:D50 F20:I50">
    <cfRule type="expression" dxfId="4" priority="4">
      <formula>OR($J20="SumaNS",$J20="NS")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445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107" hidden="1" customWidth="1" outlineLevel="1"/>
    <col min="2" max="2" width="28.33203125" style="107" hidden="1" customWidth="1" outlineLevel="1"/>
    <col min="3" max="3" width="5.33203125" style="176" bestFit="1" customWidth="1" collapsed="1"/>
    <col min="4" max="4" width="18.77734375" style="180" customWidth="1"/>
    <col min="5" max="5" width="9" style="176" bestFit="1" customWidth="1"/>
    <col min="6" max="6" width="18.77734375" style="180" customWidth="1"/>
    <col min="7" max="7" width="12.44140625" style="176" hidden="1" customWidth="1" outlineLevel="1"/>
    <col min="8" max="8" width="25.77734375" style="176" customWidth="1" collapsed="1"/>
    <col min="9" max="9" width="7.77734375" style="174" customWidth="1"/>
    <col min="10" max="10" width="10" style="174" customWidth="1"/>
    <col min="11" max="11" width="11.109375" style="174" customWidth="1"/>
    <col min="12" max="16384" width="8.88671875" style="107"/>
  </cols>
  <sheetData>
    <row r="1" spans="1:11" ht="18.600000000000001" customHeight="1" thickBot="1" x14ac:dyDescent="0.4">
      <c r="A1" s="309" t="s">
        <v>1314</v>
      </c>
      <c r="B1" s="274"/>
      <c r="C1" s="274"/>
      <c r="D1" s="274"/>
      <c r="E1" s="274"/>
      <c r="F1" s="274"/>
      <c r="G1" s="274"/>
      <c r="H1" s="274"/>
      <c r="I1" s="274"/>
      <c r="J1" s="274"/>
      <c r="K1" s="274"/>
    </row>
    <row r="2" spans="1:11" ht="14.4" customHeight="1" thickBot="1" x14ac:dyDescent="0.35">
      <c r="A2" s="187" t="s">
        <v>220</v>
      </c>
      <c r="B2" s="62"/>
      <c r="C2" s="178"/>
      <c r="D2" s="178"/>
      <c r="E2" s="178"/>
      <c r="F2" s="178"/>
      <c r="G2" s="178"/>
      <c r="H2" s="178"/>
      <c r="I2" s="179"/>
      <c r="J2" s="179"/>
      <c r="K2" s="179"/>
    </row>
    <row r="3" spans="1:11" ht="14.4" customHeight="1" thickBot="1" x14ac:dyDescent="0.35">
      <c r="A3" s="62"/>
      <c r="B3" s="62"/>
      <c r="C3" s="305"/>
      <c r="D3" s="306"/>
      <c r="E3" s="306"/>
      <c r="F3" s="306"/>
      <c r="G3" s="306"/>
      <c r="H3" s="119" t="s">
        <v>78</v>
      </c>
      <c r="I3" s="81">
        <f>IF(J3&lt;&gt;0,K3/J3,0)</f>
        <v>34.59877802099296</v>
      </c>
      <c r="J3" s="81">
        <f>SUBTOTAL(9,J5:J1048576)</f>
        <v>517603</v>
      </c>
      <c r="K3" s="82">
        <f>SUBTOTAL(9,K5:K1048576)</f>
        <v>17908431.300000019</v>
      </c>
    </row>
    <row r="4" spans="1:11" s="175" customFormat="1" ht="14.4" customHeight="1" thickBot="1" x14ac:dyDescent="0.35">
      <c r="A4" s="363" t="s">
        <v>4</v>
      </c>
      <c r="B4" s="364" t="s">
        <v>5</v>
      </c>
      <c r="C4" s="364" t="s">
        <v>0</v>
      </c>
      <c r="D4" s="364" t="s">
        <v>6</v>
      </c>
      <c r="E4" s="364" t="s">
        <v>7</v>
      </c>
      <c r="F4" s="364" t="s">
        <v>1</v>
      </c>
      <c r="G4" s="364" t="s">
        <v>57</v>
      </c>
      <c r="H4" s="365" t="s">
        <v>11</v>
      </c>
      <c r="I4" s="366" t="s">
        <v>91</v>
      </c>
      <c r="J4" s="366" t="s">
        <v>13</v>
      </c>
      <c r="K4" s="367" t="s">
        <v>102</v>
      </c>
    </row>
    <row r="5" spans="1:11" ht="14.4" customHeight="1" x14ac:dyDescent="0.3">
      <c r="A5" s="370" t="s">
        <v>382</v>
      </c>
      <c r="B5" s="371" t="s">
        <v>540</v>
      </c>
      <c r="C5" s="372" t="s">
        <v>387</v>
      </c>
      <c r="D5" s="373" t="s">
        <v>541</v>
      </c>
      <c r="E5" s="372" t="s">
        <v>1292</v>
      </c>
      <c r="F5" s="373" t="s">
        <v>1293</v>
      </c>
      <c r="G5" s="372" t="s">
        <v>552</v>
      </c>
      <c r="H5" s="372" t="s">
        <v>553</v>
      </c>
      <c r="I5" s="374">
        <v>129.28</v>
      </c>
      <c r="J5" s="374">
        <v>2</v>
      </c>
      <c r="K5" s="375">
        <v>258.56</v>
      </c>
    </row>
    <row r="6" spans="1:11" ht="14.4" customHeight="1" x14ac:dyDescent="0.3">
      <c r="A6" s="376" t="s">
        <v>382</v>
      </c>
      <c r="B6" s="377" t="s">
        <v>540</v>
      </c>
      <c r="C6" s="378" t="s">
        <v>387</v>
      </c>
      <c r="D6" s="379" t="s">
        <v>541</v>
      </c>
      <c r="E6" s="378" t="s">
        <v>1292</v>
      </c>
      <c r="F6" s="379" t="s">
        <v>1293</v>
      </c>
      <c r="G6" s="378" t="s">
        <v>554</v>
      </c>
      <c r="H6" s="378" t="s">
        <v>555</v>
      </c>
      <c r="I6" s="380">
        <v>2.4666666666666668</v>
      </c>
      <c r="J6" s="380">
        <v>460</v>
      </c>
      <c r="K6" s="381">
        <v>1140.8</v>
      </c>
    </row>
    <row r="7" spans="1:11" ht="14.4" customHeight="1" x14ac:dyDescent="0.3">
      <c r="A7" s="376" t="s">
        <v>382</v>
      </c>
      <c r="B7" s="377" t="s">
        <v>540</v>
      </c>
      <c r="C7" s="378" t="s">
        <v>387</v>
      </c>
      <c r="D7" s="379" t="s">
        <v>541</v>
      </c>
      <c r="E7" s="378" t="s">
        <v>1292</v>
      </c>
      <c r="F7" s="379" t="s">
        <v>1293</v>
      </c>
      <c r="G7" s="378" t="s">
        <v>556</v>
      </c>
      <c r="H7" s="378" t="s">
        <v>557</v>
      </c>
      <c r="I7" s="380">
        <v>3.1849999999999996</v>
      </c>
      <c r="J7" s="380">
        <v>900</v>
      </c>
      <c r="K7" s="381">
        <v>2887.8</v>
      </c>
    </row>
    <row r="8" spans="1:11" ht="14.4" customHeight="1" x14ac:dyDescent="0.3">
      <c r="A8" s="376" t="s">
        <v>382</v>
      </c>
      <c r="B8" s="377" t="s">
        <v>540</v>
      </c>
      <c r="C8" s="378" t="s">
        <v>387</v>
      </c>
      <c r="D8" s="379" t="s">
        <v>541</v>
      </c>
      <c r="E8" s="378" t="s">
        <v>1292</v>
      </c>
      <c r="F8" s="379" t="s">
        <v>1293</v>
      </c>
      <c r="G8" s="378" t="s">
        <v>558</v>
      </c>
      <c r="H8" s="378" t="s">
        <v>559</v>
      </c>
      <c r="I8" s="380">
        <v>3.9055555555555554</v>
      </c>
      <c r="J8" s="380">
        <v>1000</v>
      </c>
      <c r="K8" s="381">
        <v>3922.1999999999994</v>
      </c>
    </row>
    <row r="9" spans="1:11" ht="14.4" customHeight="1" x14ac:dyDescent="0.3">
      <c r="A9" s="376" t="s">
        <v>382</v>
      </c>
      <c r="B9" s="377" t="s">
        <v>540</v>
      </c>
      <c r="C9" s="378" t="s">
        <v>387</v>
      </c>
      <c r="D9" s="379" t="s">
        <v>541</v>
      </c>
      <c r="E9" s="378" t="s">
        <v>1292</v>
      </c>
      <c r="F9" s="379" t="s">
        <v>1293</v>
      </c>
      <c r="G9" s="378" t="s">
        <v>560</v>
      </c>
      <c r="H9" s="378" t="s">
        <v>561</v>
      </c>
      <c r="I9" s="380">
        <v>1.84</v>
      </c>
      <c r="J9" s="380">
        <v>1350</v>
      </c>
      <c r="K9" s="381">
        <v>2484</v>
      </c>
    </row>
    <row r="10" spans="1:11" ht="14.4" customHeight="1" x14ac:dyDescent="0.3">
      <c r="A10" s="376" t="s">
        <v>382</v>
      </c>
      <c r="B10" s="377" t="s">
        <v>540</v>
      </c>
      <c r="C10" s="378" t="s">
        <v>387</v>
      </c>
      <c r="D10" s="379" t="s">
        <v>541</v>
      </c>
      <c r="E10" s="378" t="s">
        <v>1292</v>
      </c>
      <c r="F10" s="379" t="s">
        <v>1293</v>
      </c>
      <c r="G10" s="378" t="s">
        <v>562</v>
      </c>
      <c r="H10" s="378" t="s">
        <v>563</v>
      </c>
      <c r="I10" s="380">
        <v>16.55875</v>
      </c>
      <c r="J10" s="380">
        <v>590</v>
      </c>
      <c r="K10" s="381">
        <v>9858.7000000000007</v>
      </c>
    </row>
    <row r="11" spans="1:11" ht="14.4" customHeight="1" x14ac:dyDescent="0.3">
      <c r="A11" s="376" t="s">
        <v>382</v>
      </c>
      <c r="B11" s="377" t="s">
        <v>540</v>
      </c>
      <c r="C11" s="378" t="s">
        <v>387</v>
      </c>
      <c r="D11" s="379" t="s">
        <v>541</v>
      </c>
      <c r="E11" s="378" t="s">
        <v>1292</v>
      </c>
      <c r="F11" s="379" t="s">
        <v>1293</v>
      </c>
      <c r="G11" s="378" t="s">
        <v>564</v>
      </c>
      <c r="H11" s="378" t="s">
        <v>565</v>
      </c>
      <c r="I11" s="380">
        <v>11.164999999999999</v>
      </c>
      <c r="J11" s="380">
        <v>210</v>
      </c>
      <c r="K11" s="381">
        <v>2347.1999999999998</v>
      </c>
    </row>
    <row r="12" spans="1:11" ht="14.4" customHeight="1" x14ac:dyDescent="0.3">
      <c r="A12" s="376" t="s">
        <v>382</v>
      </c>
      <c r="B12" s="377" t="s">
        <v>540</v>
      </c>
      <c r="C12" s="378" t="s">
        <v>387</v>
      </c>
      <c r="D12" s="379" t="s">
        <v>541</v>
      </c>
      <c r="E12" s="378" t="s">
        <v>1292</v>
      </c>
      <c r="F12" s="379" t="s">
        <v>1293</v>
      </c>
      <c r="G12" s="378" t="s">
        <v>566</v>
      </c>
      <c r="H12" s="378" t="s">
        <v>567</v>
      </c>
      <c r="I12" s="380">
        <v>17.55</v>
      </c>
      <c r="J12" s="380">
        <v>60</v>
      </c>
      <c r="K12" s="381">
        <v>1053</v>
      </c>
    </row>
    <row r="13" spans="1:11" ht="14.4" customHeight="1" x14ac:dyDescent="0.3">
      <c r="A13" s="376" t="s">
        <v>382</v>
      </c>
      <c r="B13" s="377" t="s">
        <v>540</v>
      </c>
      <c r="C13" s="378" t="s">
        <v>387</v>
      </c>
      <c r="D13" s="379" t="s">
        <v>541</v>
      </c>
      <c r="E13" s="378" t="s">
        <v>1292</v>
      </c>
      <c r="F13" s="379" t="s">
        <v>1293</v>
      </c>
      <c r="G13" s="378" t="s">
        <v>568</v>
      </c>
      <c r="H13" s="378" t="s">
        <v>569</v>
      </c>
      <c r="I13" s="380">
        <v>8.1999999999999993</v>
      </c>
      <c r="J13" s="380">
        <v>4</v>
      </c>
      <c r="K13" s="381">
        <v>32.799999999999997</v>
      </c>
    </row>
    <row r="14" spans="1:11" ht="14.4" customHeight="1" x14ac:dyDescent="0.3">
      <c r="A14" s="376" t="s">
        <v>382</v>
      </c>
      <c r="B14" s="377" t="s">
        <v>540</v>
      </c>
      <c r="C14" s="378" t="s">
        <v>387</v>
      </c>
      <c r="D14" s="379" t="s">
        <v>541</v>
      </c>
      <c r="E14" s="378" t="s">
        <v>1292</v>
      </c>
      <c r="F14" s="379" t="s">
        <v>1293</v>
      </c>
      <c r="G14" s="378" t="s">
        <v>570</v>
      </c>
      <c r="H14" s="378" t="s">
        <v>571</v>
      </c>
      <c r="I14" s="380">
        <v>28.732500000000002</v>
      </c>
      <c r="J14" s="380">
        <v>46</v>
      </c>
      <c r="K14" s="381">
        <v>1321.7299999999998</v>
      </c>
    </row>
    <row r="15" spans="1:11" ht="14.4" customHeight="1" x14ac:dyDescent="0.3">
      <c r="A15" s="376" t="s">
        <v>382</v>
      </c>
      <c r="B15" s="377" t="s">
        <v>540</v>
      </c>
      <c r="C15" s="378" t="s">
        <v>387</v>
      </c>
      <c r="D15" s="379" t="s">
        <v>541</v>
      </c>
      <c r="E15" s="378" t="s">
        <v>1292</v>
      </c>
      <c r="F15" s="379" t="s">
        <v>1293</v>
      </c>
      <c r="G15" s="378" t="s">
        <v>572</v>
      </c>
      <c r="H15" s="378" t="s">
        <v>573</v>
      </c>
      <c r="I15" s="380">
        <v>14.8</v>
      </c>
      <c r="J15" s="380">
        <v>1</v>
      </c>
      <c r="K15" s="381">
        <v>14.8</v>
      </c>
    </row>
    <row r="16" spans="1:11" ht="14.4" customHeight="1" x14ac:dyDescent="0.3">
      <c r="A16" s="376" t="s">
        <v>382</v>
      </c>
      <c r="B16" s="377" t="s">
        <v>540</v>
      </c>
      <c r="C16" s="378" t="s">
        <v>387</v>
      </c>
      <c r="D16" s="379" t="s">
        <v>541</v>
      </c>
      <c r="E16" s="378" t="s">
        <v>1292</v>
      </c>
      <c r="F16" s="379" t="s">
        <v>1293</v>
      </c>
      <c r="G16" s="378" t="s">
        <v>574</v>
      </c>
      <c r="H16" s="378" t="s">
        <v>575</v>
      </c>
      <c r="I16" s="380">
        <v>39.65</v>
      </c>
      <c r="J16" s="380">
        <v>12</v>
      </c>
      <c r="K16" s="381">
        <v>475.8</v>
      </c>
    </row>
    <row r="17" spans="1:11" ht="14.4" customHeight="1" x14ac:dyDescent="0.3">
      <c r="A17" s="376" t="s">
        <v>382</v>
      </c>
      <c r="B17" s="377" t="s">
        <v>540</v>
      </c>
      <c r="C17" s="378" t="s">
        <v>387</v>
      </c>
      <c r="D17" s="379" t="s">
        <v>541</v>
      </c>
      <c r="E17" s="378" t="s">
        <v>1292</v>
      </c>
      <c r="F17" s="379" t="s">
        <v>1293</v>
      </c>
      <c r="G17" s="378" t="s">
        <v>574</v>
      </c>
      <c r="H17" s="378" t="s">
        <v>576</v>
      </c>
      <c r="I17" s="380">
        <v>44.06</v>
      </c>
      <c r="J17" s="380">
        <v>37</v>
      </c>
      <c r="K17" s="381">
        <v>1632.17</v>
      </c>
    </row>
    <row r="18" spans="1:11" ht="14.4" customHeight="1" x14ac:dyDescent="0.3">
      <c r="A18" s="376" t="s">
        <v>382</v>
      </c>
      <c r="B18" s="377" t="s">
        <v>540</v>
      </c>
      <c r="C18" s="378" t="s">
        <v>387</v>
      </c>
      <c r="D18" s="379" t="s">
        <v>541</v>
      </c>
      <c r="E18" s="378" t="s">
        <v>1292</v>
      </c>
      <c r="F18" s="379" t="s">
        <v>1293</v>
      </c>
      <c r="G18" s="378" t="s">
        <v>577</v>
      </c>
      <c r="H18" s="378" t="s">
        <v>578</v>
      </c>
      <c r="I18" s="380">
        <v>6.2433333333333332</v>
      </c>
      <c r="J18" s="380">
        <v>430</v>
      </c>
      <c r="K18" s="381">
        <v>2684.2</v>
      </c>
    </row>
    <row r="19" spans="1:11" ht="14.4" customHeight="1" x14ac:dyDescent="0.3">
      <c r="A19" s="376" t="s">
        <v>382</v>
      </c>
      <c r="B19" s="377" t="s">
        <v>540</v>
      </c>
      <c r="C19" s="378" t="s">
        <v>387</v>
      </c>
      <c r="D19" s="379" t="s">
        <v>541</v>
      </c>
      <c r="E19" s="378" t="s">
        <v>1292</v>
      </c>
      <c r="F19" s="379" t="s">
        <v>1293</v>
      </c>
      <c r="G19" s="378" t="s">
        <v>577</v>
      </c>
      <c r="H19" s="378" t="s">
        <v>579</v>
      </c>
      <c r="I19" s="380">
        <v>6.246666666666667</v>
      </c>
      <c r="J19" s="380">
        <v>400</v>
      </c>
      <c r="K19" s="381">
        <v>2499.1</v>
      </c>
    </row>
    <row r="20" spans="1:11" ht="14.4" customHeight="1" x14ac:dyDescent="0.3">
      <c r="A20" s="376" t="s">
        <v>382</v>
      </c>
      <c r="B20" s="377" t="s">
        <v>540</v>
      </c>
      <c r="C20" s="378" t="s">
        <v>387</v>
      </c>
      <c r="D20" s="379" t="s">
        <v>541</v>
      </c>
      <c r="E20" s="378" t="s">
        <v>1292</v>
      </c>
      <c r="F20" s="379" t="s">
        <v>1293</v>
      </c>
      <c r="G20" s="378" t="s">
        <v>580</v>
      </c>
      <c r="H20" s="378" t="s">
        <v>581</v>
      </c>
      <c r="I20" s="380">
        <v>65.2</v>
      </c>
      <c r="J20" s="380">
        <v>160</v>
      </c>
      <c r="K20" s="381">
        <v>10432</v>
      </c>
    </row>
    <row r="21" spans="1:11" ht="14.4" customHeight="1" x14ac:dyDescent="0.3">
      <c r="A21" s="376" t="s">
        <v>382</v>
      </c>
      <c r="B21" s="377" t="s">
        <v>540</v>
      </c>
      <c r="C21" s="378" t="s">
        <v>387</v>
      </c>
      <c r="D21" s="379" t="s">
        <v>541</v>
      </c>
      <c r="E21" s="378" t="s">
        <v>1292</v>
      </c>
      <c r="F21" s="379" t="s">
        <v>1293</v>
      </c>
      <c r="G21" s="378" t="s">
        <v>582</v>
      </c>
      <c r="H21" s="378" t="s">
        <v>583</v>
      </c>
      <c r="I21" s="380">
        <v>0.14000000000000001</v>
      </c>
      <c r="J21" s="380">
        <v>400</v>
      </c>
      <c r="K21" s="381">
        <v>56</v>
      </c>
    </row>
    <row r="22" spans="1:11" ht="14.4" customHeight="1" x14ac:dyDescent="0.3">
      <c r="A22" s="376" t="s">
        <v>382</v>
      </c>
      <c r="B22" s="377" t="s">
        <v>540</v>
      </c>
      <c r="C22" s="378" t="s">
        <v>387</v>
      </c>
      <c r="D22" s="379" t="s">
        <v>541</v>
      </c>
      <c r="E22" s="378" t="s">
        <v>1292</v>
      </c>
      <c r="F22" s="379" t="s">
        <v>1293</v>
      </c>
      <c r="G22" s="378" t="s">
        <v>584</v>
      </c>
      <c r="H22" s="378" t="s">
        <v>585</v>
      </c>
      <c r="I22" s="380">
        <v>15.53</v>
      </c>
      <c r="J22" s="380">
        <v>140</v>
      </c>
      <c r="K22" s="381">
        <v>2174.19</v>
      </c>
    </row>
    <row r="23" spans="1:11" ht="14.4" customHeight="1" x14ac:dyDescent="0.3">
      <c r="A23" s="376" t="s">
        <v>382</v>
      </c>
      <c r="B23" s="377" t="s">
        <v>540</v>
      </c>
      <c r="C23" s="378" t="s">
        <v>387</v>
      </c>
      <c r="D23" s="379" t="s">
        <v>541</v>
      </c>
      <c r="E23" s="378" t="s">
        <v>1292</v>
      </c>
      <c r="F23" s="379" t="s">
        <v>1293</v>
      </c>
      <c r="G23" s="378" t="s">
        <v>586</v>
      </c>
      <c r="H23" s="378" t="s">
        <v>587</v>
      </c>
      <c r="I23" s="380">
        <v>26.45</v>
      </c>
      <c r="J23" s="380">
        <v>1800</v>
      </c>
      <c r="K23" s="381">
        <v>47610</v>
      </c>
    </row>
    <row r="24" spans="1:11" ht="14.4" customHeight="1" x14ac:dyDescent="0.3">
      <c r="A24" s="376" t="s">
        <v>382</v>
      </c>
      <c r="B24" s="377" t="s">
        <v>540</v>
      </c>
      <c r="C24" s="378" t="s">
        <v>387</v>
      </c>
      <c r="D24" s="379" t="s">
        <v>541</v>
      </c>
      <c r="E24" s="378" t="s">
        <v>1292</v>
      </c>
      <c r="F24" s="379" t="s">
        <v>1293</v>
      </c>
      <c r="G24" s="378" t="s">
        <v>588</v>
      </c>
      <c r="H24" s="378" t="s">
        <v>589</v>
      </c>
      <c r="I24" s="380">
        <v>0.435</v>
      </c>
      <c r="J24" s="380">
        <v>2500</v>
      </c>
      <c r="K24" s="381">
        <v>1090</v>
      </c>
    </row>
    <row r="25" spans="1:11" ht="14.4" customHeight="1" x14ac:dyDescent="0.3">
      <c r="A25" s="376" t="s">
        <v>382</v>
      </c>
      <c r="B25" s="377" t="s">
        <v>540</v>
      </c>
      <c r="C25" s="378" t="s">
        <v>387</v>
      </c>
      <c r="D25" s="379" t="s">
        <v>541</v>
      </c>
      <c r="E25" s="378" t="s">
        <v>1292</v>
      </c>
      <c r="F25" s="379" t="s">
        <v>1293</v>
      </c>
      <c r="G25" s="378" t="s">
        <v>590</v>
      </c>
      <c r="H25" s="378" t="s">
        <v>591</v>
      </c>
      <c r="I25" s="380">
        <v>61.211666666666666</v>
      </c>
      <c r="J25" s="380">
        <v>20</v>
      </c>
      <c r="K25" s="381">
        <v>1224.25</v>
      </c>
    </row>
    <row r="26" spans="1:11" ht="14.4" customHeight="1" x14ac:dyDescent="0.3">
      <c r="A26" s="376" t="s">
        <v>382</v>
      </c>
      <c r="B26" s="377" t="s">
        <v>540</v>
      </c>
      <c r="C26" s="378" t="s">
        <v>387</v>
      </c>
      <c r="D26" s="379" t="s">
        <v>541</v>
      </c>
      <c r="E26" s="378" t="s">
        <v>1292</v>
      </c>
      <c r="F26" s="379" t="s">
        <v>1293</v>
      </c>
      <c r="G26" s="378" t="s">
        <v>592</v>
      </c>
      <c r="H26" s="378" t="s">
        <v>593</v>
      </c>
      <c r="I26" s="380">
        <v>54.86</v>
      </c>
      <c r="J26" s="380">
        <v>30</v>
      </c>
      <c r="K26" s="381">
        <v>1645.8</v>
      </c>
    </row>
    <row r="27" spans="1:11" ht="14.4" customHeight="1" x14ac:dyDescent="0.3">
      <c r="A27" s="376" t="s">
        <v>382</v>
      </c>
      <c r="B27" s="377" t="s">
        <v>540</v>
      </c>
      <c r="C27" s="378" t="s">
        <v>387</v>
      </c>
      <c r="D27" s="379" t="s">
        <v>541</v>
      </c>
      <c r="E27" s="378" t="s">
        <v>1292</v>
      </c>
      <c r="F27" s="379" t="s">
        <v>1293</v>
      </c>
      <c r="G27" s="378" t="s">
        <v>594</v>
      </c>
      <c r="H27" s="378" t="s">
        <v>595</v>
      </c>
      <c r="I27" s="380">
        <v>30.176250000000003</v>
      </c>
      <c r="J27" s="380">
        <v>280</v>
      </c>
      <c r="K27" s="381">
        <v>8448.9</v>
      </c>
    </row>
    <row r="28" spans="1:11" ht="14.4" customHeight="1" x14ac:dyDescent="0.3">
      <c r="A28" s="376" t="s">
        <v>382</v>
      </c>
      <c r="B28" s="377" t="s">
        <v>540</v>
      </c>
      <c r="C28" s="378" t="s">
        <v>387</v>
      </c>
      <c r="D28" s="379" t="s">
        <v>541</v>
      </c>
      <c r="E28" s="378" t="s">
        <v>1292</v>
      </c>
      <c r="F28" s="379" t="s">
        <v>1293</v>
      </c>
      <c r="G28" s="378" t="s">
        <v>596</v>
      </c>
      <c r="H28" s="378" t="s">
        <v>597</v>
      </c>
      <c r="I28" s="380">
        <v>13.045</v>
      </c>
      <c r="J28" s="380">
        <v>402</v>
      </c>
      <c r="K28" s="381">
        <v>5243.08</v>
      </c>
    </row>
    <row r="29" spans="1:11" ht="14.4" customHeight="1" x14ac:dyDescent="0.3">
      <c r="A29" s="376" t="s">
        <v>382</v>
      </c>
      <c r="B29" s="377" t="s">
        <v>540</v>
      </c>
      <c r="C29" s="378" t="s">
        <v>387</v>
      </c>
      <c r="D29" s="379" t="s">
        <v>541</v>
      </c>
      <c r="E29" s="378" t="s">
        <v>1292</v>
      </c>
      <c r="F29" s="379" t="s">
        <v>1293</v>
      </c>
      <c r="G29" s="378" t="s">
        <v>596</v>
      </c>
      <c r="H29" s="378" t="s">
        <v>598</v>
      </c>
      <c r="I29" s="380">
        <v>13.04</v>
      </c>
      <c r="J29" s="380">
        <v>210</v>
      </c>
      <c r="K29" s="381">
        <v>2738.4</v>
      </c>
    </row>
    <row r="30" spans="1:11" ht="14.4" customHeight="1" x14ac:dyDescent="0.3">
      <c r="A30" s="376" t="s">
        <v>382</v>
      </c>
      <c r="B30" s="377" t="s">
        <v>540</v>
      </c>
      <c r="C30" s="378" t="s">
        <v>387</v>
      </c>
      <c r="D30" s="379" t="s">
        <v>541</v>
      </c>
      <c r="E30" s="378" t="s">
        <v>1292</v>
      </c>
      <c r="F30" s="379" t="s">
        <v>1293</v>
      </c>
      <c r="G30" s="378" t="s">
        <v>599</v>
      </c>
      <c r="H30" s="378" t="s">
        <v>600</v>
      </c>
      <c r="I30" s="380">
        <v>0.67</v>
      </c>
      <c r="J30" s="380">
        <v>600</v>
      </c>
      <c r="K30" s="381">
        <v>402</v>
      </c>
    </row>
    <row r="31" spans="1:11" ht="14.4" customHeight="1" x14ac:dyDescent="0.3">
      <c r="A31" s="376" t="s">
        <v>382</v>
      </c>
      <c r="B31" s="377" t="s">
        <v>540</v>
      </c>
      <c r="C31" s="378" t="s">
        <v>387</v>
      </c>
      <c r="D31" s="379" t="s">
        <v>541</v>
      </c>
      <c r="E31" s="378" t="s">
        <v>1292</v>
      </c>
      <c r="F31" s="379" t="s">
        <v>1293</v>
      </c>
      <c r="G31" s="378" t="s">
        <v>601</v>
      </c>
      <c r="H31" s="378" t="s">
        <v>602</v>
      </c>
      <c r="I31" s="380">
        <v>4.384444444444445</v>
      </c>
      <c r="J31" s="380">
        <v>1000</v>
      </c>
      <c r="K31" s="381">
        <v>4428.2</v>
      </c>
    </row>
    <row r="32" spans="1:11" ht="14.4" customHeight="1" x14ac:dyDescent="0.3">
      <c r="A32" s="376" t="s">
        <v>382</v>
      </c>
      <c r="B32" s="377" t="s">
        <v>540</v>
      </c>
      <c r="C32" s="378" t="s">
        <v>387</v>
      </c>
      <c r="D32" s="379" t="s">
        <v>541</v>
      </c>
      <c r="E32" s="378" t="s">
        <v>1292</v>
      </c>
      <c r="F32" s="379" t="s">
        <v>1293</v>
      </c>
      <c r="G32" s="378" t="s">
        <v>603</v>
      </c>
      <c r="H32" s="378" t="s">
        <v>604</v>
      </c>
      <c r="I32" s="380">
        <v>3.44</v>
      </c>
      <c r="J32" s="380">
        <v>58500</v>
      </c>
      <c r="K32" s="381">
        <v>200987.87</v>
      </c>
    </row>
    <row r="33" spans="1:11" ht="14.4" customHeight="1" x14ac:dyDescent="0.3">
      <c r="A33" s="376" t="s">
        <v>382</v>
      </c>
      <c r="B33" s="377" t="s">
        <v>540</v>
      </c>
      <c r="C33" s="378" t="s">
        <v>387</v>
      </c>
      <c r="D33" s="379" t="s">
        <v>541</v>
      </c>
      <c r="E33" s="378" t="s">
        <v>1292</v>
      </c>
      <c r="F33" s="379" t="s">
        <v>1293</v>
      </c>
      <c r="G33" s="378" t="s">
        <v>605</v>
      </c>
      <c r="H33" s="378" t="s">
        <v>606</v>
      </c>
      <c r="I33" s="380">
        <v>2.13</v>
      </c>
      <c r="J33" s="380">
        <v>1200</v>
      </c>
      <c r="K33" s="381">
        <v>2553</v>
      </c>
    </row>
    <row r="34" spans="1:11" ht="14.4" customHeight="1" x14ac:dyDescent="0.3">
      <c r="A34" s="376" t="s">
        <v>382</v>
      </c>
      <c r="B34" s="377" t="s">
        <v>540</v>
      </c>
      <c r="C34" s="378" t="s">
        <v>387</v>
      </c>
      <c r="D34" s="379" t="s">
        <v>541</v>
      </c>
      <c r="E34" s="378" t="s">
        <v>1292</v>
      </c>
      <c r="F34" s="379" t="s">
        <v>1293</v>
      </c>
      <c r="G34" s="378" t="s">
        <v>607</v>
      </c>
      <c r="H34" s="378" t="s">
        <v>608</v>
      </c>
      <c r="I34" s="380">
        <v>8.58</v>
      </c>
      <c r="J34" s="380">
        <v>492</v>
      </c>
      <c r="K34" s="381">
        <v>4221.3599999999997</v>
      </c>
    </row>
    <row r="35" spans="1:11" ht="14.4" customHeight="1" x14ac:dyDescent="0.3">
      <c r="A35" s="376" t="s">
        <v>382</v>
      </c>
      <c r="B35" s="377" t="s">
        <v>540</v>
      </c>
      <c r="C35" s="378" t="s">
        <v>387</v>
      </c>
      <c r="D35" s="379" t="s">
        <v>541</v>
      </c>
      <c r="E35" s="378" t="s">
        <v>1292</v>
      </c>
      <c r="F35" s="379" t="s">
        <v>1293</v>
      </c>
      <c r="G35" s="378" t="s">
        <v>609</v>
      </c>
      <c r="H35" s="378" t="s">
        <v>610</v>
      </c>
      <c r="I35" s="380">
        <v>357.45</v>
      </c>
      <c r="J35" s="380">
        <v>24</v>
      </c>
      <c r="K35" s="381">
        <v>8578.86</v>
      </c>
    </row>
    <row r="36" spans="1:11" ht="14.4" customHeight="1" x14ac:dyDescent="0.3">
      <c r="A36" s="376" t="s">
        <v>382</v>
      </c>
      <c r="B36" s="377" t="s">
        <v>540</v>
      </c>
      <c r="C36" s="378" t="s">
        <v>387</v>
      </c>
      <c r="D36" s="379" t="s">
        <v>541</v>
      </c>
      <c r="E36" s="378" t="s">
        <v>1292</v>
      </c>
      <c r="F36" s="379" t="s">
        <v>1293</v>
      </c>
      <c r="G36" s="378" t="s">
        <v>611</v>
      </c>
      <c r="H36" s="378" t="s">
        <v>612</v>
      </c>
      <c r="I36" s="380">
        <v>13.02</v>
      </c>
      <c r="J36" s="380">
        <v>1</v>
      </c>
      <c r="K36" s="381">
        <v>13.02</v>
      </c>
    </row>
    <row r="37" spans="1:11" ht="14.4" customHeight="1" x14ac:dyDescent="0.3">
      <c r="A37" s="376" t="s">
        <v>382</v>
      </c>
      <c r="B37" s="377" t="s">
        <v>540</v>
      </c>
      <c r="C37" s="378" t="s">
        <v>387</v>
      </c>
      <c r="D37" s="379" t="s">
        <v>541</v>
      </c>
      <c r="E37" s="378" t="s">
        <v>1292</v>
      </c>
      <c r="F37" s="379" t="s">
        <v>1293</v>
      </c>
      <c r="G37" s="378" t="s">
        <v>613</v>
      </c>
      <c r="H37" s="378" t="s">
        <v>614</v>
      </c>
      <c r="I37" s="380">
        <v>66.53</v>
      </c>
      <c r="J37" s="380">
        <v>252</v>
      </c>
      <c r="K37" s="381">
        <v>16862.09</v>
      </c>
    </row>
    <row r="38" spans="1:11" ht="14.4" customHeight="1" x14ac:dyDescent="0.3">
      <c r="A38" s="376" t="s">
        <v>382</v>
      </c>
      <c r="B38" s="377" t="s">
        <v>540</v>
      </c>
      <c r="C38" s="378" t="s">
        <v>387</v>
      </c>
      <c r="D38" s="379" t="s">
        <v>541</v>
      </c>
      <c r="E38" s="378" t="s">
        <v>1292</v>
      </c>
      <c r="F38" s="379" t="s">
        <v>1293</v>
      </c>
      <c r="G38" s="378" t="s">
        <v>615</v>
      </c>
      <c r="H38" s="378" t="s">
        <v>616</v>
      </c>
      <c r="I38" s="380">
        <v>1.17</v>
      </c>
      <c r="J38" s="380">
        <v>4</v>
      </c>
      <c r="K38" s="381">
        <v>4.68</v>
      </c>
    </row>
    <row r="39" spans="1:11" ht="14.4" customHeight="1" x14ac:dyDescent="0.3">
      <c r="A39" s="376" t="s">
        <v>382</v>
      </c>
      <c r="B39" s="377" t="s">
        <v>540</v>
      </c>
      <c r="C39" s="378" t="s">
        <v>387</v>
      </c>
      <c r="D39" s="379" t="s">
        <v>541</v>
      </c>
      <c r="E39" s="378" t="s">
        <v>1292</v>
      </c>
      <c r="F39" s="379" t="s">
        <v>1293</v>
      </c>
      <c r="G39" s="378" t="s">
        <v>617</v>
      </c>
      <c r="H39" s="378" t="s">
        <v>618</v>
      </c>
      <c r="I39" s="380">
        <v>46</v>
      </c>
      <c r="J39" s="380">
        <v>4</v>
      </c>
      <c r="K39" s="381">
        <v>184</v>
      </c>
    </row>
    <row r="40" spans="1:11" ht="14.4" customHeight="1" x14ac:dyDescent="0.3">
      <c r="A40" s="376" t="s">
        <v>382</v>
      </c>
      <c r="B40" s="377" t="s">
        <v>540</v>
      </c>
      <c r="C40" s="378" t="s">
        <v>387</v>
      </c>
      <c r="D40" s="379" t="s">
        <v>541</v>
      </c>
      <c r="E40" s="378" t="s">
        <v>1292</v>
      </c>
      <c r="F40" s="379" t="s">
        <v>1293</v>
      </c>
      <c r="G40" s="378" t="s">
        <v>619</v>
      </c>
      <c r="H40" s="378" t="s">
        <v>620</v>
      </c>
      <c r="I40" s="380">
        <v>21.65</v>
      </c>
      <c r="J40" s="380">
        <v>48</v>
      </c>
      <c r="K40" s="381">
        <v>1039.2</v>
      </c>
    </row>
    <row r="41" spans="1:11" ht="14.4" customHeight="1" x14ac:dyDescent="0.3">
      <c r="A41" s="376" t="s">
        <v>382</v>
      </c>
      <c r="B41" s="377" t="s">
        <v>540</v>
      </c>
      <c r="C41" s="378" t="s">
        <v>387</v>
      </c>
      <c r="D41" s="379" t="s">
        <v>541</v>
      </c>
      <c r="E41" s="378" t="s">
        <v>1292</v>
      </c>
      <c r="F41" s="379" t="s">
        <v>1293</v>
      </c>
      <c r="G41" s="378" t="s">
        <v>621</v>
      </c>
      <c r="H41" s="378" t="s">
        <v>622</v>
      </c>
      <c r="I41" s="380">
        <v>98.373999999999995</v>
      </c>
      <c r="J41" s="380">
        <v>54</v>
      </c>
      <c r="K41" s="381">
        <v>5312.1200000000008</v>
      </c>
    </row>
    <row r="42" spans="1:11" ht="14.4" customHeight="1" x14ac:dyDescent="0.3">
      <c r="A42" s="376" t="s">
        <v>382</v>
      </c>
      <c r="B42" s="377" t="s">
        <v>540</v>
      </c>
      <c r="C42" s="378" t="s">
        <v>387</v>
      </c>
      <c r="D42" s="379" t="s">
        <v>541</v>
      </c>
      <c r="E42" s="378" t="s">
        <v>1292</v>
      </c>
      <c r="F42" s="379" t="s">
        <v>1293</v>
      </c>
      <c r="G42" s="378" t="s">
        <v>623</v>
      </c>
      <c r="H42" s="378" t="s">
        <v>624</v>
      </c>
      <c r="I42" s="380">
        <v>26.17</v>
      </c>
      <c r="J42" s="380">
        <v>12</v>
      </c>
      <c r="K42" s="381">
        <v>314.04000000000002</v>
      </c>
    </row>
    <row r="43" spans="1:11" ht="14.4" customHeight="1" x14ac:dyDescent="0.3">
      <c r="A43" s="376" t="s">
        <v>382</v>
      </c>
      <c r="B43" s="377" t="s">
        <v>540</v>
      </c>
      <c r="C43" s="378" t="s">
        <v>387</v>
      </c>
      <c r="D43" s="379" t="s">
        <v>541</v>
      </c>
      <c r="E43" s="378" t="s">
        <v>1292</v>
      </c>
      <c r="F43" s="379" t="s">
        <v>1293</v>
      </c>
      <c r="G43" s="378" t="s">
        <v>625</v>
      </c>
      <c r="H43" s="378" t="s">
        <v>626</v>
      </c>
      <c r="I43" s="380">
        <v>0.97</v>
      </c>
      <c r="J43" s="380">
        <v>150</v>
      </c>
      <c r="K43" s="381">
        <v>145.5</v>
      </c>
    </row>
    <row r="44" spans="1:11" ht="14.4" customHeight="1" x14ac:dyDescent="0.3">
      <c r="A44" s="376" t="s">
        <v>382</v>
      </c>
      <c r="B44" s="377" t="s">
        <v>540</v>
      </c>
      <c r="C44" s="378" t="s">
        <v>387</v>
      </c>
      <c r="D44" s="379" t="s">
        <v>541</v>
      </c>
      <c r="E44" s="378" t="s">
        <v>1292</v>
      </c>
      <c r="F44" s="379" t="s">
        <v>1293</v>
      </c>
      <c r="G44" s="378" t="s">
        <v>625</v>
      </c>
      <c r="H44" s="378" t="s">
        <v>627</v>
      </c>
      <c r="I44" s="380">
        <v>0.97</v>
      </c>
      <c r="J44" s="380">
        <v>400</v>
      </c>
      <c r="K44" s="381">
        <v>388</v>
      </c>
    </row>
    <row r="45" spans="1:11" ht="14.4" customHeight="1" x14ac:dyDescent="0.3">
      <c r="A45" s="376" t="s">
        <v>382</v>
      </c>
      <c r="B45" s="377" t="s">
        <v>540</v>
      </c>
      <c r="C45" s="378" t="s">
        <v>387</v>
      </c>
      <c r="D45" s="379" t="s">
        <v>541</v>
      </c>
      <c r="E45" s="378" t="s">
        <v>1292</v>
      </c>
      <c r="F45" s="379" t="s">
        <v>1293</v>
      </c>
      <c r="G45" s="378" t="s">
        <v>628</v>
      </c>
      <c r="H45" s="378" t="s">
        <v>629</v>
      </c>
      <c r="I45" s="380">
        <v>0.59</v>
      </c>
      <c r="J45" s="380">
        <v>200</v>
      </c>
      <c r="K45" s="381">
        <v>118</v>
      </c>
    </row>
    <row r="46" spans="1:11" ht="14.4" customHeight="1" x14ac:dyDescent="0.3">
      <c r="A46" s="376" t="s">
        <v>382</v>
      </c>
      <c r="B46" s="377" t="s">
        <v>540</v>
      </c>
      <c r="C46" s="378" t="s">
        <v>387</v>
      </c>
      <c r="D46" s="379" t="s">
        <v>541</v>
      </c>
      <c r="E46" s="378" t="s">
        <v>1292</v>
      </c>
      <c r="F46" s="379" t="s">
        <v>1293</v>
      </c>
      <c r="G46" s="378" t="s">
        <v>630</v>
      </c>
      <c r="H46" s="378" t="s">
        <v>631</v>
      </c>
      <c r="I46" s="380">
        <v>1.62</v>
      </c>
      <c r="J46" s="380">
        <v>6250</v>
      </c>
      <c r="K46" s="381">
        <v>10131.5</v>
      </c>
    </row>
    <row r="47" spans="1:11" ht="14.4" customHeight="1" x14ac:dyDescent="0.3">
      <c r="A47" s="376" t="s">
        <v>382</v>
      </c>
      <c r="B47" s="377" t="s">
        <v>540</v>
      </c>
      <c r="C47" s="378" t="s">
        <v>387</v>
      </c>
      <c r="D47" s="379" t="s">
        <v>541</v>
      </c>
      <c r="E47" s="378" t="s">
        <v>1292</v>
      </c>
      <c r="F47" s="379" t="s">
        <v>1293</v>
      </c>
      <c r="G47" s="378" t="s">
        <v>632</v>
      </c>
      <c r="H47" s="378" t="s">
        <v>633</v>
      </c>
      <c r="I47" s="380">
        <v>222.87666666666667</v>
      </c>
      <c r="J47" s="380">
        <v>56</v>
      </c>
      <c r="K47" s="381">
        <v>12494.26</v>
      </c>
    </row>
    <row r="48" spans="1:11" ht="14.4" customHeight="1" x14ac:dyDescent="0.3">
      <c r="A48" s="376" t="s">
        <v>382</v>
      </c>
      <c r="B48" s="377" t="s">
        <v>540</v>
      </c>
      <c r="C48" s="378" t="s">
        <v>387</v>
      </c>
      <c r="D48" s="379" t="s">
        <v>541</v>
      </c>
      <c r="E48" s="378" t="s">
        <v>1292</v>
      </c>
      <c r="F48" s="379" t="s">
        <v>1293</v>
      </c>
      <c r="G48" s="378" t="s">
        <v>634</v>
      </c>
      <c r="H48" s="378" t="s">
        <v>635</v>
      </c>
      <c r="I48" s="380">
        <v>1.59</v>
      </c>
      <c r="J48" s="380">
        <v>810</v>
      </c>
      <c r="K48" s="381">
        <v>1289.6500000000001</v>
      </c>
    </row>
    <row r="49" spans="1:11" ht="14.4" customHeight="1" x14ac:dyDescent="0.3">
      <c r="A49" s="376" t="s">
        <v>382</v>
      </c>
      <c r="B49" s="377" t="s">
        <v>540</v>
      </c>
      <c r="C49" s="378" t="s">
        <v>387</v>
      </c>
      <c r="D49" s="379" t="s">
        <v>541</v>
      </c>
      <c r="E49" s="378" t="s">
        <v>1292</v>
      </c>
      <c r="F49" s="379" t="s">
        <v>1293</v>
      </c>
      <c r="G49" s="378" t="s">
        <v>636</v>
      </c>
      <c r="H49" s="378" t="s">
        <v>637</v>
      </c>
      <c r="I49" s="380">
        <v>13.16</v>
      </c>
      <c r="J49" s="380">
        <v>120</v>
      </c>
      <c r="K49" s="381">
        <v>1579.2</v>
      </c>
    </row>
    <row r="50" spans="1:11" ht="14.4" customHeight="1" x14ac:dyDescent="0.3">
      <c r="A50" s="376" t="s">
        <v>382</v>
      </c>
      <c r="B50" s="377" t="s">
        <v>540</v>
      </c>
      <c r="C50" s="378" t="s">
        <v>387</v>
      </c>
      <c r="D50" s="379" t="s">
        <v>541</v>
      </c>
      <c r="E50" s="378" t="s">
        <v>1292</v>
      </c>
      <c r="F50" s="379" t="s">
        <v>1293</v>
      </c>
      <c r="G50" s="378" t="s">
        <v>638</v>
      </c>
      <c r="H50" s="378" t="s">
        <v>639</v>
      </c>
      <c r="I50" s="380">
        <v>0.85600000000000009</v>
      </c>
      <c r="J50" s="380">
        <v>1500</v>
      </c>
      <c r="K50" s="381">
        <v>1285</v>
      </c>
    </row>
    <row r="51" spans="1:11" ht="14.4" customHeight="1" x14ac:dyDescent="0.3">
      <c r="A51" s="376" t="s">
        <v>382</v>
      </c>
      <c r="B51" s="377" t="s">
        <v>540</v>
      </c>
      <c r="C51" s="378" t="s">
        <v>387</v>
      </c>
      <c r="D51" s="379" t="s">
        <v>541</v>
      </c>
      <c r="E51" s="378" t="s">
        <v>1292</v>
      </c>
      <c r="F51" s="379" t="s">
        <v>1293</v>
      </c>
      <c r="G51" s="378" t="s">
        <v>640</v>
      </c>
      <c r="H51" s="378" t="s">
        <v>641</v>
      </c>
      <c r="I51" s="380">
        <v>1.52</v>
      </c>
      <c r="J51" s="380">
        <v>300</v>
      </c>
      <c r="K51" s="381">
        <v>456</v>
      </c>
    </row>
    <row r="52" spans="1:11" ht="14.4" customHeight="1" x14ac:dyDescent="0.3">
      <c r="A52" s="376" t="s">
        <v>382</v>
      </c>
      <c r="B52" s="377" t="s">
        <v>540</v>
      </c>
      <c r="C52" s="378" t="s">
        <v>387</v>
      </c>
      <c r="D52" s="379" t="s">
        <v>541</v>
      </c>
      <c r="E52" s="378" t="s">
        <v>1292</v>
      </c>
      <c r="F52" s="379" t="s">
        <v>1293</v>
      </c>
      <c r="G52" s="378" t="s">
        <v>642</v>
      </c>
      <c r="H52" s="378" t="s">
        <v>643</v>
      </c>
      <c r="I52" s="380">
        <v>111.248</v>
      </c>
      <c r="J52" s="380">
        <v>130</v>
      </c>
      <c r="K52" s="381">
        <v>14443.61</v>
      </c>
    </row>
    <row r="53" spans="1:11" ht="14.4" customHeight="1" x14ac:dyDescent="0.3">
      <c r="A53" s="376" t="s">
        <v>382</v>
      </c>
      <c r="B53" s="377" t="s">
        <v>540</v>
      </c>
      <c r="C53" s="378" t="s">
        <v>387</v>
      </c>
      <c r="D53" s="379" t="s">
        <v>541</v>
      </c>
      <c r="E53" s="378" t="s">
        <v>1292</v>
      </c>
      <c r="F53" s="379" t="s">
        <v>1293</v>
      </c>
      <c r="G53" s="378" t="s">
        <v>644</v>
      </c>
      <c r="H53" s="378" t="s">
        <v>645</v>
      </c>
      <c r="I53" s="380">
        <v>64.493333333333339</v>
      </c>
      <c r="J53" s="380">
        <v>130</v>
      </c>
      <c r="K53" s="381">
        <v>8382.39</v>
      </c>
    </row>
    <row r="54" spans="1:11" ht="14.4" customHeight="1" x14ac:dyDescent="0.3">
      <c r="A54" s="376" t="s">
        <v>382</v>
      </c>
      <c r="B54" s="377" t="s">
        <v>540</v>
      </c>
      <c r="C54" s="378" t="s">
        <v>387</v>
      </c>
      <c r="D54" s="379" t="s">
        <v>541</v>
      </c>
      <c r="E54" s="378" t="s">
        <v>1292</v>
      </c>
      <c r="F54" s="379" t="s">
        <v>1293</v>
      </c>
      <c r="G54" s="378" t="s">
        <v>646</v>
      </c>
      <c r="H54" s="378" t="s">
        <v>647</v>
      </c>
      <c r="I54" s="380">
        <v>15.49</v>
      </c>
      <c r="J54" s="380">
        <v>60</v>
      </c>
      <c r="K54" s="381">
        <v>929.4</v>
      </c>
    </row>
    <row r="55" spans="1:11" ht="14.4" customHeight="1" x14ac:dyDescent="0.3">
      <c r="A55" s="376" t="s">
        <v>382</v>
      </c>
      <c r="B55" s="377" t="s">
        <v>540</v>
      </c>
      <c r="C55" s="378" t="s">
        <v>387</v>
      </c>
      <c r="D55" s="379" t="s">
        <v>541</v>
      </c>
      <c r="E55" s="378" t="s">
        <v>1292</v>
      </c>
      <c r="F55" s="379" t="s">
        <v>1293</v>
      </c>
      <c r="G55" s="378" t="s">
        <v>648</v>
      </c>
      <c r="H55" s="378" t="s">
        <v>649</v>
      </c>
      <c r="I55" s="380">
        <v>3.01</v>
      </c>
      <c r="J55" s="380">
        <v>50</v>
      </c>
      <c r="K55" s="381">
        <v>150.49</v>
      </c>
    </row>
    <row r="56" spans="1:11" ht="14.4" customHeight="1" x14ac:dyDescent="0.3">
      <c r="A56" s="376" t="s">
        <v>382</v>
      </c>
      <c r="B56" s="377" t="s">
        <v>540</v>
      </c>
      <c r="C56" s="378" t="s">
        <v>387</v>
      </c>
      <c r="D56" s="379" t="s">
        <v>541</v>
      </c>
      <c r="E56" s="378" t="s">
        <v>1292</v>
      </c>
      <c r="F56" s="379" t="s">
        <v>1293</v>
      </c>
      <c r="G56" s="378" t="s">
        <v>650</v>
      </c>
      <c r="H56" s="378" t="s">
        <v>651</v>
      </c>
      <c r="I56" s="380">
        <v>96.59999999999998</v>
      </c>
      <c r="J56" s="380">
        <v>70</v>
      </c>
      <c r="K56" s="381">
        <v>6762</v>
      </c>
    </row>
    <row r="57" spans="1:11" ht="14.4" customHeight="1" x14ac:dyDescent="0.3">
      <c r="A57" s="376" t="s">
        <v>382</v>
      </c>
      <c r="B57" s="377" t="s">
        <v>540</v>
      </c>
      <c r="C57" s="378" t="s">
        <v>387</v>
      </c>
      <c r="D57" s="379" t="s">
        <v>541</v>
      </c>
      <c r="E57" s="378" t="s">
        <v>1292</v>
      </c>
      <c r="F57" s="379" t="s">
        <v>1293</v>
      </c>
      <c r="G57" s="378" t="s">
        <v>652</v>
      </c>
      <c r="H57" s="378" t="s">
        <v>653</v>
      </c>
      <c r="I57" s="380">
        <v>13.87</v>
      </c>
      <c r="J57" s="380">
        <v>48</v>
      </c>
      <c r="K57" s="381">
        <v>665.76</v>
      </c>
    </row>
    <row r="58" spans="1:11" ht="14.4" customHeight="1" x14ac:dyDescent="0.3">
      <c r="A58" s="376" t="s">
        <v>382</v>
      </c>
      <c r="B58" s="377" t="s">
        <v>540</v>
      </c>
      <c r="C58" s="378" t="s">
        <v>387</v>
      </c>
      <c r="D58" s="379" t="s">
        <v>541</v>
      </c>
      <c r="E58" s="378" t="s">
        <v>1292</v>
      </c>
      <c r="F58" s="379" t="s">
        <v>1293</v>
      </c>
      <c r="G58" s="378" t="s">
        <v>654</v>
      </c>
      <c r="H58" s="378" t="s">
        <v>655</v>
      </c>
      <c r="I58" s="380">
        <v>664.6</v>
      </c>
      <c r="J58" s="380">
        <v>24</v>
      </c>
      <c r="K58" s="381">
        <v>15950.5</v>
      </c>
    </row>
    <row r="59" spans="1:11" ht="14.4" customHeight="1" x14ac:dyDescent="0.3">
      <c r="A59" s="376" t="s">
        <v>382</v>
      </c>
      <c r="B59" s="377" t="s">
        <v>540</v>
      </c>
      <c r="C59" s="378" t="s">
        <v>387</v>
      </c>
      <c r="D59" s="379" t="s">
        <v>541</v>
      </c>
      <c r="E59" s="378" t="s">
        <v>1292</v>
      </c>
      <c r="F59" s="379" t="s">
        <v>1293</v>
      </c>
      <c r="G59" s="378" t="s">
        <v>656</v>
      </c>
      <c r="H59" s="378" t="s">
        <v>657</v>
      </c>
      <c r="I59" s="380">
        <v>7.17</v>
      </c>
      <c r="J59" s="380">
        <v>2000</v>
      </c>
      <c r="K59" s="381">
        <v>14340</v>
      </c>
    </row>
    <row r="60" spans="1:11" ht="14.4" customHeight="1" x14ac:dyDescent="0.3">
      <c r="A60" s="376" t="s">
        <v>382</v>
      </c>
      <c r="B60" s="377" t="s">
        <v>540</v>
      </c>
      <c r="C60" s="378" t="s">
        <v>387</v>
      </c>
      <c r="D60" s="379" t="s">
        <v>541</v>
      </c>
      <c r="E60" s="378" t="s">
        <v>1292</v>
      </c>
      <c r="F60" s="379" t="s">
        <v>1293</v>
      </c>
      <c r="G60" s="378" t="s">
        <v>658</v>
      </c>
      <c r="H60" s="378" t="s">
        <v>659</v>
      </c>
      <c r="I60" s="380">
        <v>5.1700000000000008</v>
      </c>
      <c r="J60" s="380">
        <v>340</v>
      </c>
      <c r="K60" s="381">
        <v>1758.65</v>
      </c>
    </row>
    <row r="61" spans="1:11" ht="14.4" customHeight="1" x14ac:dyDescent="0.3">
      <c r="A61" s="376" t="s">
        <v>382</v>
      </c>
      <c r="B61" s="377" t="s">
        <v>540</v>
      </c>
      <c r="C61" s="378" t="s">
        <v>387</v>
      </c>
      <c r="D61" s="379" t="s">
        <v>541</v>
      </c>
      <c r="E61" s="378" t="s">
        <v>1292</v>
      </c>
      <c r="F61" s="379" t="s">
        <v>1293</v>
      </c>
      <c r="G61" s="378" t="s">
        <v>660</v>
      </c>
      <c r="H61" s="378" t="s">
        <v>661</v>
      </c>
      <c r="I61" s="380">
        <v>9.7771428571428576</v>
      </c>
      <c r="J61" s="380">
        <v>420</v>
      </c>
      <c r="K61" s="381">
        <v>4106.0999999999995</v>
      </c>
    </row>
    <row r="62" spans="1:11" ht="14.4" customHeight="1" x14ac:dyDescent="0.3">
      <c r="A62" s="376" t="s">
        <v>382</v>
      </c>
      <c r="B62" s="377" t="s">
        <v>540</v>
      </c>
      <c r="C62" s="378" t="s">
        <v>387</v>
      </c>
      <c r="D62" s="379" t="s">
        <v>541</v>
      </c>
      <c r="E62" s="378" t="s">
        <v>1292</v>
      </c>
      <c r="F62" s="379" t="s">
        <v>1293</v>
      </c>
      <c r="G62" s="378" t="s">
        <v>662</v>
      </c>
      <c r="H62" s="378" t="s">
        <v>663</v>
      </c>
      <c r="I62" s="380">
        <v>0.31</v>
      </c>
      <c r="J62" s="380">
        <v>25</v>
      </c>
      <c r="K62" s="381">
        <v>7.75</v>
      </c>
    </row>
    <row r="63" spans="1:11" ht="14.4" customHeight="1" x14ac:dyDescent="0.3">
      <c r="A63" s="376" t="s">
        <v>382</v>
      </c>
      <c r="B63" s="377" t="s">
        <v>540</v>
      </c>
      <c r="C63" s="378" t="s">
        <v>387</v>
      </c>
      <c r="D63" s="379" t="s">
        <v>541</v>
      </c>
      <c r="E63" s="378" t="s">
        <v>1292</v>
      </c>
      <c r="F63" s="379" t="s">
        <v>1293</v>
      </c>
      <c r="G63" s="378" t="s">
        <v>664</v>
      </c>
      <c r="H63" s="378" t="s">
        <v>665</v>
      </c>
      <c r="I63" s="380">
        <v>11.74</v>
      </c>
      <c r="J63" s="380">
        <v>1</v>
      </c>
      <c r="K63" s="381">
        <v>11.74</v>
      </c>
    </row>
    <row r="64" spans="1:11" ht="14.4" customHeight="1" x14ac:dyDescent="0.3">
      <c r="A64" s="376" t="s">
        <v>382</v>
      </c>
      <c r="B64" s="377" t="s">
        <v>540</v>
      </c>
      <c r="C64" s="378" t="s">
        <v>387</v>
      </c>
      <c r="D64" s="379" t="s">
        <v>541</v>
      </c>
      <c r="E64" s="378" t="s">
        <v>1292</v>
      </c>
      <c r="F64" s="379" t="s">
        <v>1293</v>
      </c>
      <c r="G64" s="378" t="s">
        <v>666</v>
      </c>
      <c r="H64" s="378" t="s">
        <v>667</v>
      </c>
      <c r="I64" s="380">
        <v>14.08</v>
      </c>
      <c r="J64" s="380">
        <v>1</v>
      </c>
      <c r="K64" s="381">
        <v>14.08</v>
      </c>
    </row>
    <row r="65" spans="1:11" ht="14.4" customHeight="1" x14ac:dyDescent="0.3">
      <c r="A65" s="376" t="s">
        <v>382</v>
      </c>
      <c r="B65" s="377" t="s">
        <v>540</v>
      </c>
      <c r="C65" s="378" t="s">
        <v>387</v>
      </c>
      <c r="D65" s="379" t="s">
        <v>541</v>
      </c>
      <c r="E65" s="378" t="s">
        <v>1292</v>
      </c>
      <c r="F65" s="379" t="s">
        <v>1293</v>
      </c>
      <c r="G65" s="378" t="s">
        <v>668</v>
      </c>
      <c r="H65" s="378" t="s">
        <v>669</v>
      </c>
      <c r="I65" s="380">
        <v>7.1</v>
      </c>
      <c r="J65" s="380">
        <v>2</v>
      </c>
      <c r="K65" s="381">
        <v>14.2</v>
      </c>
    </row>
    <row r="66" spans="1:11" ht="14.4" customHeight="1" x14ac:dyDescent="0.3">
      <c r="A66" s="376" t="s">
        <v>382</v>
      </c>
      <c r="B66" s="377" t="s">
        <v>540</v>
      </c>
      <c r="C66" s="378" t="s">
        <v>387</v>
      </c>
      <c r="D66" s="379" t="s">
        <v>541</v>
      </c>
      <c r="E66" s="378" t="s">
        <v>1292</v>
      </c>
      <c r="F66" s="379" t="s">
        <v>1293</v>
      </c>
      <c r="G66" s="378" t="s">
        <v>670</v>
      </c>
      <c r="H66" s="378" t="s">
        <v>671</v>
      </c>
      <c r="I66" s="380">
        <v>3.4500000000000006</v>
      </c>
      <c r="J66" s="380">
        <v>150</v>
      </c>
      <c r="K66" s="381">
        <v>517.5</v>
      </c>
    </row>
    <row r="67" spans="1:11" ht="14.4" customHeight="1" x14ac:dyDescent="0.3">
      <c r="A67" s="376" t="s">
        <v>382</v>
      </c>
      <c r="B67" s="377" t="s">
        <v>540</v>
      </c>
      <c r="C67" s="378" t="s">
        <v>387</v>
      </c>
      <c r="D67" s="379" t="s">
        <v>541</v>
      </c>
      <c r="E67" s="378" t="s">
        <v>1292</v>
      </c>
      <c r="F67" s="379" t="s">
        <v>1293</v>
      </c>
      <c r="G67" s="378" t="s">
        <v>672</v>
      </c>
      <c r="H67" s="378" t="s">
        <v>673</v>
      </c>
      <c r="I67" s="380">
        <v>8.2799999999999994</v>
      </c>
      <c r="J67" s="380">
        <v>1</v>
      </c>
      <c r="K67" s="381">
        <v>8.2799999999999994</v>
      </c>
    </row>
    <row r="68" spans="1:11" ht="14.4" customHeight="1" x14ac:dyDescent="0.3">
      <c r="A68" s="376" t="s">
        <v>382</v>
      </c>
      <c r="B68" s="377" t="s">
        <v>540</v>
      </c>
      <c r="C68" s="378" t="s">
        <v>387</v>
      </c>
      <c r="D68" s="379" t="s">
        <v>541</v>
      </c>
      <c r="E68" s="378" t="s">
        <v>1292</v>
      </c>
      <c r="F68" s="379" t="s">
        <v>1293</v>
      </c>
      <c r="G68" s="378" t="s">
        <v>674</v>
      </c>
      <c r="H68" s="378" t="s">
        <v>675</v>
      </c>
      <c r="I68" s="380">
        <v>5.92</v>
      </c>
      <c r="J68" s="380">
        <v>2</v>
      </c>
      <c r="K68" s="381">
        <v>11.84</v>
      </c>
    </row>
    <row r="69" spans="1:11" ht="14.4" customHeight="1" x14ac:dyDescent="0.3">
      <c r="A69" s="376" t="s">
        <v>382</v>
      </c>
      <c r="B69" s="377" t="s">
        <v>540</v>
      </c>
      <c r="C69" s="378" t="s">
        <v>387</v>
      </c>
      <c r="D69" s="379" t="s">
        <v>541</v>
      </c>
      <c r="E69" s="378" t="s">
        <v>1292</v>
      </c>
      <c r="F69" s="379" t="s">
        <v>1293</v>
      </c>
      <c r="G69" s="378" t="s">
        <v>676</v>
      </c>
      <c r="H69" s="378" t="s">
        <v>677</v>
      </c>
      <c r="I69" s="380">
        <v>2.68</v>
      </c>
      <c r="J69" s="380">
        <v>15</v>
      </c>
      <c r="K69" s="381">
        <v>40.200000000000003</v>
      </c>
    </row>
    <row r="70" spans="1:11" ht="14.4" customHeight="1" x14ac:dyDescent="0.3">
      <c r="A70" s="376" t="s">
        <v>382</v>
      </c>
      <c r="B70" s="377" t="s">
        <v>540</v>
      </c>
      <c r="C70" s="378" t="s">
        <v>387</v>
      </c>
      <c r="D70" s="379" t="s">
        <v>541</v>
      </c>
      <c r="E70" s="378" t="s">
        <v>1292</v>
      </c>
      <c r="F70" s="379" t="s">
        <v>1293</v>
      </c>
      <c r="G70" s="378" t="s">
        <v>678</v>
      </c>
      <c r="H70" s="378" t="s">
        <v>679</v>
      </c>
      <c r="I70" s="380">
        <v>0.61</v>
      </c>
      <c r="J70" s="380">
        <v>4800</v>
      </c>
      <c r="K70" s="381">
        <v>2947.68</v>
      </c>
    </row>
    <row r="71" spans="1:11" ht="14.4" customHeight="1" x14ac:dyDescent="0.3">
      <c r="A71" s="376" t="s">
        <v>382</v>
      </c>
      <c r="B71" s="377" t="s">
        <v>540</v>
      </c>
      <c r="C71" s="378" t="s">
        <v>387</v>
      </c>
      <c r="D71" s="379" t="s">
        <v>541</v>
      </c>
      <c r="E71" s="378" t="s">
        <v>1292</v>
      </c>
      <c r="F71" s="379" t="s">
        <v>1293</v>
      </c>
      <c r="G71" s="378" t="s">
        <v>680</v>
      </c>
      <c r="H71" s="378" t="s">
        <v>681</v>
      </c>
      <c r="I71" s="380">
        <v>167.83</v>
      </c>
      <c r="J71" s="380">
        <v>180</v>
      </c>
      <c r="K71" s="381">
        <v>30209.439999999999</v>
      </c>
    </row>
    <row r="72" spans="1:11" ht="14.4" customHeight="1" x14ac:dyDescent="0.3">
      <c r="A72" s="376" t="s">
        <v>382</v>
      </c>
      <c r="B72" s="377" t="s">
        <v>540</v>
      </c>
      <c r="C72" s="378" t="s">
        <v>387</v>
      </c>
      <c r="D72" s="379" t="s">
        <v>541</v>
      </c>
      <c r="E72" s="378" t="s">
        <v>1292</v>
      </c>
      <c r="F72" s="379" t="s">
        <v>1293</v>
      </c>
      <c r="G72" s="378" t="s">
        <v>682</v>
      </c>
      <c r="H72" s="378" t="s">
        <v>683</v>
      </c>
      <c r="I72" s="380">
        <v>2.62</v>
      </c>
      <c r="J72" s="380">
        <v>600</v>
      </c>
      <c r="K72" s="381">
        <v>1572.9</v>
      </c>
    </row>
    <row r="73" spans="1:11" ht="14.4" customHeight="1" x14ac:dyDescent="0.3">
      <c r="A73" s="376" t="s">
        <v>382</v>
      </c>
      <c r="B73" s="377" t="s">
        <v>540</v>
      </c>
      <c r="C73" s="378" t="s">
        <v>387</v>
      </c>
      <c r="D73" s="379" t="s">
        <v>541</v>
      </c>
      <c r="E73" s="378" t="s">
        <v>1292</v>
      </c>
      <c r="F73" s="379" t="s">
        <v>1293</v>
      </c>
      <c r="G73" s="378" t="s">
        <v>684</v>
      </c>
      <c r="H73" s="378" t="s">
        <v>685</v>
      </c>
      <c r="I73" s="380">
        <v>138</v>
      </c>
      <c r="J73" s="380">
        <v>180</v>
      </c>
      <c r="K73" s="381">
        <v>24840</v>
      </c>
    </row>
    <row r="74" spans="1:11" ht="14.4" customHeight="1" x14ac:dyDescent="0.3">
      <c r="A74" s="376" t="s">
        <v>382</v>
      </c>
      <c r="B74" s="377" t="s">
        <v>540</v>
      </c>
      <c r="C74" s="378" t="s">
        <v>387</v>
      </c>
      <c r="D74" s="379" t="s">
        <v>541</v>
      </c>
      <c r="E74" s="378" t="s">
        <v>1292</v>
      </c>
      <c r="F74" s="379" t="s">
        <v>1293</v>
      </c>
      <c r="G74" s="378" t="s">
        <v>686</v>
      </c>
      <c r="H74" s="378" t="s">
        <v>687</v>
      </c>
      <c r="I74" s="380">
        <v>15.753333333333336</v>
      </c>
      <c r="J74" s="380">
        <v>350</v>
      </c>
      <c r="K74" s="381">
        <v>5514.26</v>
      </c>
    </row>
    <row r="75" spans="1:11" ht="14.4" customHeight="1" x14ac:dyDescent="0.3">
      <c r="A75" s="376" t="s">
        <v>382</v>
      </c>
      <c r="B75" s="377" t="s">
        <v>540</v>
      </c>
      <c r="C75" s="378" t="s">
        <v>387</v>
      </c>
      <c r="D75" s="379" t="s">
        <v>541</v>
      </c>
      <c r="E75" s="378" t="s">
        <v>1292</v>
      </c>
      <c r="F75" s="379" t="s">
        <v>1293</v>
      </c>
      <c r="G75" s="378" t="s">
        <v>688</v>
      </c>
      <c r="H75" s="378" t="s">
        <v>689</v>
      </c>
      <c r="I75" s="380">
        <v>21.06</v>
      </c>
      <c r="J75" s="380">
        <v>90</v>
      </c>
      <c r="K75" s="381">
        <v>1895.6999999999998</v>
      </c>
    </row>
    <row r="76" spans="1:11" ht="14.4" customHeight="1" x14ac:dyDescent="0.3">
      <c r="A76" s="376" t="s">
        <v>382</v>
      </c>
      <c r="B76" s="377" t="s">
        <v>540</v>
      </c>
      <c r="C76" s="378" t="s">
        <v>387</v>
      </c>
      <c r="D76" s="379" t="s">
        <v>541</v>
      </c>
      <c r="E76" s="378" t="s">
        <v>1292</v>
      </c>
      <c r="F76" s="379" t="s">
        <v>1293</v>
      </c>
      <c r="G76" s="378" t="s">
        <v>690</v>
      </c>
      <c r="H76" s="378" t="s">
        <v>691</v>
      </c>
      <c r="I76" s="380">
        <v>69</v>
      </c>
      <c r="J76" s="380">
        <v>550</v>
      </c>
      <c r="K76" s="381">
        <v>37950</v>
      </c>
    </row>
    <row r="77" spans="1:11" ht="14.4" customHeight="1" x14ac:dyDescent="0.3">
      <c r="A77" s="376" t="s">
        <v>382</v>
      </c>
      <c r="B77" s="377" t="s">
        <v>540</v>
      </c>
      <c r="C77" s="378" t="s">
        <v>387</v>
      </c>
      <c r="D77" s="379" t="s">
        <v>541</v>
      </c>
      <c r="E77" s="378" t="s">
        <v>1292</v>
      </c>
      <c r="F77" s="379" t="s">
        <v>1293</v>
      </c>
      <c r="G77" s="378" t="s">
        <v>692</v>
      </c>
      <c r="H77" s="378" t="s">
        <v>693</v>
      </c>
      <c r="I77" s="380">
        <v>38.4</v>
      </c>
      <c r="J77" s="380">
        <v>90</v>
      </c>
      <c r="K77" s="381">
        <v>3456.06</v>
      </c>
    </row>
    <row r="78" spans="1:11" ht="14.4" customHeight="1" x14ac:dyDescent="0.3">
      <c r="A78" s="376" t="s">
        <v>382</v>
      </c>
      <c r="B78" s="377" t="s">
        <v>540</v>
      </c>
      <c r="C78" s="378" t="s">
        <v>387</v>
      </c>
      <c r="D78" s="379" t="s">
        <v>541</v>
      </c>
      <c r="E78" s="378" t="s">
        <v>1292</v>
      </c>
      <c r="F78" s="379" t="s">
        <v>1293</v>
      </c>
      <c r="G78" s="378" t="s">
        <v>694</v>
      </c>
      <c r="H78" s="378" t="s">
        <v>695</v>
      </c>
      <c r="I78" s="380">
        <v>517.5</v>
      </c>
      <c r="J78" s="380">
        <v>80</v>
      </c>
      <c r="K78" s="381">
        <v>41400</v>
      </c>
    </row>
    <row r="79" spans="1:11" ht="14.4" customHeight="1" x14ac:dyDescent="0.3">
      <c r="A79" s="376" t="s">
        <v>382</v>
      </c>
      <c r="B79" s="377" t="s">
        <v>540</v>
      </c>
      <c r="C79" s="378" t="s">
        <v>387</v>
      </c>
      <c r="D79" s="379" t="s">
        <v>541</v>
      </c>
      <c r="E79" s="378" t="s">
        <v>1292</v>
      </c>
      <c r="F79" s="379" t="s">
        <v>1293</v>
      </c>
      <c r="G79" s="378" t="s">
        <v>696</v>
      </c>
      <c r="H79" s="378" t="s">
        <v>697</v>
      </c>
      <c r="I79" s="380">
        <v>29.21</v>
      </c>
      <c r="J79" s="380">
        <v>1344</v>
      </c>
      <c r="K79" s="381">
        <v>39258.239999999998</v>
      </c>
    </row>
    <row r="80" spans="1:11" ht="14.4" customHeight="1" x14ac:dyDescent="0.3">
      <c r="A80" s="376" t="s">
        <v>382</v>
      </c>
      <c r="B80" s="377" t="s">
        <v>540</v>
      </c>
      <c r="C80" s="378" t="s">
        <v>387</v>
      </c>
      <c r="D80" s="379" t="s">
        <v>541</v>
      </c>
      <c r="E80" s="378" t="s">
        <v>1292</v>
      </c>
      <c r="F80" s="379" t="s">
        <v>1293</v>
      </c>
      <c r="G80" s="378" t="s">
        <v>698</v>
      </c>
      <c r="H80" s="378" t="s">
        <v>699</v>
      </c>
      <c r="I80" s="380">
        <v>16.21</v>
      </c>
      <c r="J80" s="380">
        <v>18900</v>
      </c>
      <c r="K80" s="381">
        <v>306463.5</v>
      </c>
    </row>
    <row r="81" spans="1:11" ht="14.4" customHeight="1" x14ac:dyDescent="0.3">
      <c r="A81" s="376" t="s">
        <v>382</v>
      </c>
      <c r="B81" s="377" t="s">
        <v>540</v>
      </c>
      <c r="C81" s="378" t="s">
        <v>387</v>
      </c>
      <c r="D81" s="379" t="s">
        <v>541</v>
      </c>
      <c r="E81" s="378" t="s">
        <v>1292</v>
      </c>
      <c r="F81" s="379" t="s">
        <v>1293</v>
      </c>
      <c r="G81" s="378" t="s">
        <v>698</v>
      </c>
      <c r="H81" s="378" t="s">
        <v>700</v>
      </c>
      <c r="I81" s="380">
        <v>16.21</v>
      </c>
      <c r="J81" s="380">
        <v>9000</v>
      </c>
      <c r="K81" s="381">
        <v>145935</v>
      </c>
    </row>
    <row r="82" spans="1:11" ht="14.4" customHeight="1" x14ac:dyDescent="0.3">
      <c r="A82" s="376" t="s">
        <v>382</v>
      </c>
      <c r="B82" s="377" t="s">
        <v>540</v>
      </c>
      <c r="C82" s="378" t="s">
        <v>387</v>
      </c>
      <c r="D82" s="379" t="s">
        <v>541</v>
      </c>
      <c r="E82" s="378" t="s">
        <v>1292</v>
      </c>
      <c r="F82" s="379" t="s">
        <v>1293</v>
      </c>
      <c r="G82" s="378" t="s">
        <v>701</v>
      </c>
      <c r="H82" s="378" t="s">
        <v>702</v>
      </c>
      <c r="I82" s="380">
        <v>29.097142857142853</v>
      </c>
      <c r="J82" s="380">
        <v>6816</v>
      </c>
      <c r="K82" s="381">
        <v>198311.52000000002</v>
      </c>
    </row>
    <row r="83" spans="1:11" ht="14.4" customHeight="1" x14ac:dyDescent="0.3">
      <c r="A83" s="376" t="s">
        <v>382</v>
      </c>
      <c r="B83" s="377" t="s">
        <v>540</v>
      </c>
      <c r="C83" s="378" t="s">
        <v>387</v>
      </c>
      <c r="D83" s="379" t="s">
        <v>541</v>
      </c>
      <c r="E83" s="378" t="s">
        <v>1292</v>
      </c>
      <c r="F83" s="379" t="s">
        <v>1293</v>
      </c>
      <c r="G83" s="378" t="s">
        <v>703</v>
      </c>
      <c r="H83" s="378" t="s">
        <v>704</v>
      </c>
      <c r="I83" s="380">
        <v>5.6310000000000011</v>
      </c>
      <c r="J83" s="380">
        <v>15750</v>
      </c>
      <c r="K83" s="381">
        <v>88724.25</v>
      </c>
    </row>
    <row r="84" spans="1:11" ht="14.4" customHeight="1" x14ac:dyDescent="0.3">
      <c r="A84" s="376" t="s">
        <v>382</v>
      </c>
      <c r="B84" s="377" t="s">
        <v>540</v>
      </c>
      <c r="C84" s="378" t="s">
        <v>387</v>
      </c>
      <c r="D84" s="379" t="s">
        <v>541</v>
      </c>
      <c r="E84" s="378" t="s">
        <v>1292</v>
      </c>
      <c r="F84" s="379" t="s">
        <v>1293</v>
      </c>
      <c r="G84" s="378" t="s">
        <v>703</v>
      </c>
      <c r="H84" s="378" t="s">
        <v>705</v>
      </c>
      <c r="I84" s="380">
        <v>5.63</v>
      </c>
      <c r="J84" s="380">
        <v>5400</v>
      </c>
      <c r="K84" s="381">
        <v>30429</v>
      </c>
    </row>
    <row r="85" spans="1:11" ht="14.4" customHeight="1" x14ac:dyDescent="0.3">
      <c r="A85" s="376" t="s">
        <v>382</v>
      </c>
      <c r="B85" s="377" t="s">
        <v>540</v>
      </c>
      <c r="C85" s="378" t="s">
        <v>387</v>
      </c>
      <c r="D85" s="379" t="s">
        <v>541</v>
      </c>
      <c r="E85" s="378" t="s">
        <v>1292</v>
      </c>
      <c r="F85" s="379" t="s">
        <v>1293</v>
      </c>
      <c r="G85" s="378" t="s">
        <v>706</v>
      </c>
      <c r="H85" s="378" t="s">
        <v>707</v>
      </c>
      <c r="I85" s="380">
        <v>0.82833333333333348</v>
      </c>
      <c r="J85" s="380">
        <v>24000</v>
      </c>
      <c r="K85" s="381">
        <v>20268</v>
      </c>
    </row>
    <row r="86" spans="1:11" ht="14.4" customHeight="1" x14ac:dyDescent="0.3">
      <c r="A86" s="376" t="s">
        <v>382</v>
      </c>
      <c r="B86" s="377" t="s">
        <v>540</v>
      </c>
      <c r="C86" s="378" t="s">
        <v>387</v>
      </c>
      <c r="D86" s="379" t="s">
        <v>541</v>
      </c>
      <c r="E86" s="378" t="s">
        <v>1292</v>
      </c>
      <c r="F86" s="379" t="s">
        <v>1293</v>
      </c>
      <c r="G86" s="378" t="s">
        <v>708</v>
      </c>
      <c r="H86" s="378" t="s">
        <v>709</v>
      </c>
      <c r="I86" s="380">
        <v>58.6</v>
      </c>
      <c r="J86" s="380">
        <v>35</v>
      </c>
      <c r="K86" s="381">
        <v>2051.14</v>
      </c>
    </row>
    <row r="87" spans="1:11" ht="14.4" customHeight="1" x14ac:dyDescent="0.3">
      <c r="A87" s="376" t="s">
        <v>382</v>
      </c>
      <c r="B87" s="377" t="s">
        <v>540</v>
      </c>
      <c r="C87" s="378" t="s">
        <v>387</v>
      </c>
      <c r="D87" s="379" t="s">
        <v>541</v>
      </c>
      <c r="E87" s="378" t="s">
        <v>1292</v>
      </c>
      <c r="F87" s="379" t="s">
        <v>1293</v>
      </c>
      <c r="G87" s="378" t="s">
        <v>710</v>
      </c>
      <c r="H87" s="378" t="s">
        <v>711</v>
      </c>
      <c r="I87" s="380">
        <v>2.4349999999999996</v>
      </c>
      <c r="J87" s="380">
        <v>10500</v>
      </c>
      <c r="K87" s="381">
        <v>25815.600000000002</v>
      </c>
    </row>
    <row r="88" spans="1:11" ht="14.4" customHeight="1" x14ac:dyDescent="0.3">
      <c r="A88" s="376" t="s">
        <v>382</v>
      </c>
      <c r="B88" s="377" t="s">
        <v>540</v>
      </c>
      <c r="C88" s="378" t="s">
        <v>387</v>
      </c>
      <c r="D88" s="379" t="s">
        <v>541</v>
      </c>
      <c r="E88" s="378" t="s">
        <v>1292</v>
      </c>
      <c r="F88" s="379" t="s">
        <v>1293</v>
      </c>
      <c r="G88" s="378" t="s">
        <v>712</v>
      </c>
      <c r="H88" s="378" t="s">
        <v>713</v>
      </c>
      <c r="I88" s="380">
        <v>0.49857142857142861</v>
      </c>
      <c r="J88" s="380">
        <v>48000</v>
      </c>
      <c r="K88" s="381">
        <v>24094.799999999999</v>
      </c>
    </row>
    <row r="89" spans="1:11" ht="14.4" customHeight="1" x14ac:dyDescent="0.3">
      <c r="A89" s="376" t="s">
        <v>382</v>
      </c>
      <c r="B89" s="377" t="s">
        <v>540</v>
      </c>
      <c r="C89" s="378" t="s">
        <v>387</v>
      </c>
      <c r="D89" s="379" t="s">
        <v>541</v>
      </c>
      <c r="E89" s="378" t="s">
        <v>1292</v>
      </c>
      <c r="F89" s="379" t="s">
        <v>1293</v>
      </c>
      <c r="G89" s="378" t="s">
        <v>714</v>
      </c>
      <c r="H89" s="378" t="s">
        <v>715</v>
      </c>
      <c r="I89" s="380">
        <v>53.78</v>
      </c>
      <c r="J89" s="380">
        <v>24</v>
      </c>
      <c r="K89" s="381">
        <v>1290.6300000000001</v>
      </c>
    </row>
    <row r="90" spans="1:11" ht="14.4" customHeight="1" x14ac:dyDescent="0.3">
      <c r="A90" s="376" t="s">
        <v>382</v>
      </c>
      <c r="B90" s="377" t="s">
        <v>540</v>
      </c>
      <c r="C90" s="378" t="s">
        <v>387</v>
      </c>
      <c r="D90" s="379" t="s">
        <v>541</v>
      </c>
      <c r="E90" s="378" t="s">
        <v>1292</v>
      </c>
      <c r="F90" s="379" t="s">
        <v>1293</v>
      </c>
      <c r="G90" s="378" t="s">
        <v>716</v>
      </c>
      <c r="H90" s="378" t="s">
        <v>717</v>
      </c>
      <c r="I90" s="380">
        <v>3031.17</v>
      </c>
      <c r="J90" s="380">
        <v>10</v>
      </c>
      <c r="K90" s="381">
        <v>30311.7</v>
      </c>
    </row>
    <row r="91" spans="1:11" ht="14.4" customHeight="1" x14ac:dyDescent="0.3">
      <c r="A91" s="376" t="s">
        <v>382</v>
      </c>
      <c r="B91" s="377" t="s">
        <v>540</v>
      </c>
      <c r="C91" s="378" t="s">
        <v>387</v>
      </c>
      <c r="D91" s="379" t="s">
        <v>541</v>
      </c>
      <c r="E91" s="378" t="s">
        <v>1294</v>
      </c>
      <c r="F91" s="379" t="s">
        <v>1295</v>
      </c>
      <c r="G91" s="378" t="s">
        <v>718</v>
      </c>
      <c r="H91" s="378" t="s">
        <v>719</v>
      </c>
      <c r="I91" s="380">
        <v>1719.25</v>
      </c>
      <c r="J91" s="380">
        <v>2</v>
      </c>
      <c r="K91" s="381">
        <v>3438.5</v>
      </c>
    </row>
    <row r="92" spans="1:11" ht="14.4" customHeight="1" x14ac:dyDescent="0.3">
      <c r="A92" s="376" t="s">
        <v>382</v>
      </c>
      <c r="B92" s="377" t="s">
        <v>540</v>
      </c>
      <c r="C92" s="378" t="s">
        <v>387</v>
      </c>
      <c r="D92" s="379" t="s">
        <v>541</v>
      </c>
      <c r="E92" s="378" t="s">
        <v>1294</v>
      </c>
      <c r="F92" s="379" t="s">
        <v>1295</v>
      </c>
      <c r="G92" s="378" t="s">
        <v>720</v>
      </c>
      <c r="H92" s="378" t="s">
        <v>721</v>
      </c>
      <c r="I92" s="380">
        <v>11.673749999999998</v>
      </c>
      <c r="J92" s="380">
        <v>370</v>
      </c>
      <c r="K92" s="381">
        <v>4319.5999999999995</v>
      </c>
    </row>
    <row r="93" spans="1:11" ht="14.4" customHeight="1" x14ac:dyDescent="0.3">
      <c r="A93" s="376" t="s">
        <v>382</v>
      </c>
      <c r="B93" s="377" t="s">
        <v>540</v>
      </c>
      <c r="C93" s="378" t="s">
        <v>387</v>
      </c>
      <c r="D93" s="379" t="s">
        <v>541</v>
      </c>
      <c r="E93" s="378" t="s">
        <v>1294</v>
      </c>
      <c r="F93" s="379" t="s">
        <v>1295</v>
      </c>
      <c r="G93" s="378" t="s">
        <v>722</v>
      </c>
      <c r="H93" s="378" t="s">
        <v>723</v>
      </c>
      <c r="I93" s="380">
        <v>16.474</v>
      </c>
      <c r="J93" s="380">
        <v>180</v>
      </c>
      <c r="K93" s="381">
        <v>2966.2900000000004</v>
      </c>
    </row>
    <row r="94" spans="1:11" ht="14.4" customHeight="1" x14ac:dyDescent="0.3">
      <c r="A94" s="376" t="s">
        <v>382</v>
      </c>
      <c r="B94" s="377" t="s">
        <v>540</v>
      </c>
      <c r="C94" s="378" t="s">
        <v>387</v>
      </c>
      <c r="D94" s="379" t="s">
        <v>541</v>
      </c>
      <c r="E94" s="378" t="s">
        <v>1294</v>
      </c>
      <c r="F94" s="379" t="s">
        <v>1295</v>
      </c>
      <c r="G94" s="378" t="s">
        <v>724</v>
      </c>
      <c r="H94" s="378" t="s">
        <v>725</v>
      </c>
      <c r="I94" s="380">
        <v>2.9050000000000002</v>
      </c>
      <c r="J94" s="380">
        <v>2000</v>
      </c>
      <c r="K94" s="381">
        <v>5809</v>
      </c>
    </row>
    <row r="95" spans="1:11" ht="14.4" customHeight="1" x14ac:dyDescent="0.3">
      <c r="A95" s="376" t="s">
        <v>382</v>
      </c>
      <c r="B95" s="377" t="s">
        <v>540</v>
      </c>
      <c r="C95" s="378" t="s">
        <v>387</v>
      </c>
      <c r="D95" s="379" t="s">
        <v>541</v>
      </c>
      <c r="E95" s="378" t="s">
        <v>1294</v>
      </c>
      <c r="F95" s="379" t="s">
        <v>1295</v>
      </c>
      <c r="G95" s="378" t="s">
        <v>726</v>
      </c>
      <c r="H95" s="378" t="s">
        <v>727</v>
      </c>
      <c r="I95" s="380">
        <v>2.75</v>
      </c>
      <c r="J95" s="380">
        <v>200</v>
      </c>
      <c r="K95" s="381">
        <v>550</v>
      </c>
    </row>
    <row r="96" spans="1:11" ht="14.4" customHeight="1" x14ac:dyDescent="0.3">
      <c r="A96" s="376" t="s">
        <v>382</v>
      </c>
      <c r="B96" s="377" t="s">
        <v>540</v>
      </c>
      <c r="C96" s="378" t="s">
        <v>387</v>
      </c>
      <c r="D96" s="379" t="s">
        <v>541</v>
      </c>
      <c r="E96" s="378" t="s">
        <v>1294</v>
      </c>
      <c r="F96" s="379" t="s">
        <v>1295</v>
      </c>
      <c r="G96" s="378" t="s">
        <v>728</v>
      </c>
      <c r="H96" s="378" t="s">
        <v>729</v>
      </c>
      <c r="I96" s="380">
        <v>7.43</v>
      </c>
      <c r="J96" s="380">
        <v>50</v>
      </c>
      <c r="K96" s="381">
        <v>371.5</v>
      </c>
    </row>
    <row r="97" spans="1:11" ht="14.4" customHeight="1" x14ac:dyDescent="0.3">
      <c r="A97" s="376" t="s">
        <v>382</v>
      </c>
      <c r="B97" s="377" t="s">
        <v>540</v>
      </c>
      <c r="C97" s="378" t="s">
        <v>387</v>
      </c>
      <c r="D97" s="379" t="s">
        <v>541</v>
      </c>
      <c r="E97" s="378" t="s">
        <v>1294</v>
      </c>
      <c r="F97" s="379" t="s">
        <v>1295</v>
      </c>
      <c r="G97" s="378" t="s">
        <v>730</v>
      </c>
      <c r="H97" s="378" t="s">
        <v>731</v>
      </c>
      <c r="I97" s="380">
        <v>9.0150000000000006</v>
      </c>
      <c r="J97" s="380">
        <v>600</v>
      </c>
      <c r="K97" s="381">
        <v>5517.6</v>
      </c>
    </row>
    <row r="98" spans="1:11" ht="14.4" customHeight="1" x14ac:dyDescent="0.3">
      <c r="A98" s="376" t="s">
        <v>382</v>
      </c>
      <c r="B98" s="377" t="s">
        <v>540</v>
      </c>
      <c r="C98" s="378" t="s">
        <v>387</v>
      </c>
      <c r="D98" s="379" t="s">
        <v>541</v>
      </c>
      <c r="E98" s="378" t="s">
        <v>1294</v>
      </c>
      <c r="F98" s="379" t="s">
        <v>1295</v>
      </c>
      <c r="G98" s="378" t="s">
        <v>732</v>
      </c>
      <c r="H98" s="378" t="s">
        <v>733</v>
      </c>
      <c r="I98" s="380">
        <v>10.238333333333335</v>
      </c>
      <c r="J98" s="380">
        <v>1060</v>
      </c>
      <c r="K98" s="381">
        <v>10962.5</v>
      </c>
    </row>
    <row r="99" spans="1:11" ht="14.4" customHeight="1" x14ac:dyDescent="0.3">
      <c r="A99" s="376" t="s">
        <v>382</v>
      </c>
      <c r="B99" s="377" t="s">
        <v>540</v>
      </c>
      <c r="C99" s="378" t="s">
        <v>387</v>
      </c>
      <c r="D99" s="379" t="s">
        <v>541</v>
      </c>
      <c r="E99" s="378" t="s">
        <v>1294</v>
      </c>
      <c r="F99" s="379" t="s">
        <v>1295</v>
      </c>
      <c r="G99" s="378" t="s">
        <v>734</v>
      </c>
      <c r="H99" s="378" t="s">
        <v>735</v>
      </c>
      <c r="I99" s="380">
        <v>9.83</v>
      </c>
      <c r="J99" s="380">
        <v>540</v>
      </c>
      <c r="K99" s="381">
        <v>5473.14</v>
      </c>
    </row>
    <row r="100" spans="1:11" ht="14.4" customHeight="1" x14ac:dyDescent="0.3">
      <c r="A100" s="376" t="s">
        <v>382</v>
      </c>
      <c r="B100" s="377" t="s">
        <v>540</v>
      </c>
      <c r="C100" s="378" t="s">
        <v>387</v>
      </c>
      <c r="D100" s="379" t="s">
        <v>541</v>
      </c>
      <c r="E100" s="378" t="s">
        <v>1294</v>
      </c>
      <c r="F100" s="379" t="s">
        <v>1295</v>
      </c>
      <c r="G100" s="378" t="s">
        <v>736</v>
      </c>
      <c r="H100" s="378" t="s">
        <v>737</v>
      </c>
      <c r="I100" s="380">
        <v>1.0900000000000001</v>
      </c>
      <c r="J100" s="380">
        <v>1900</v>
      </c>
      <c r="K100" s="381">
        <v>2071</v>
      </c>
    </row>
    <row r="101" spans="1:11" ht="14.4" customHeight="1" x14ac:dyDescent="0.3">
      <c r="A101" s="376" t="s">
        <v>382</v>
      </c>
      <c r="B101" s="377" t="s">
        <v>540</v>
      </c>
      <c r="C101" s="378" t="s">
        <v>387</v>
      </c>
      <c r="D101" s="379" t="s">
        <v>541</v>
      </c>
      <c r="E101" s="378" t="s">
        <v>1294</v>
      </c>
      <c r="F101" s="379" t="s">
        <v>1295</v>
      </c>
      <c r="G101" s="378" t="s">
        <v>738</v>
      </c>
      <c r="H101" s="378" t="s">
        <v>739</v>
      </c>
      <c r="I101" s="380">
        <v>1.6724999999999999</v>
      </c>
      <c r="J101" s="380">
        <v>3400</v>
      </c>
      <c r="K101" s="381">
        <v>5688</v>
      </c>
    </row>
    <row r="102" spans="1:11" ht="14.4" customHeight="1" x14ac:dyDescent="0.3">
      <c r="A102" s="376" t="s">
        <v>382</v>
      </c>
      <c r="B102" s="377" t="s">
        <v>540</v>
      </c>
      <c r="C102" s="378" t="s">
        <v>387</v>
      </c>
      <c r="D102" s="379" t="s">
        <v>541</v>
      </c>
      <c r="E102" s="378" t="s">
        <v>1294</v>
      </c>
      <c r="F102" s="379" t="s">
        <v>1295</v>
      </c>
      <c r="G102" s="378" t="s">
        <v>740</v>
      </c>
      <c r="H102" s="378" t="s">
        <v>741</v>
      </c>
      <c r="I102" s="380">
        <v>0.47749999999999998</v>
      </c>
      <c r="J102" s="380">
        <v>700</v>
      </c>
      <c r="K102" s="381">
        <v>335</v>
      </c>
    </row>
    <row r="103" spans="1:11" ht="14.4" customHeight="1" x14ac:dyDescent="0.3">
      <c r="A103" s="376" t="s">
        <v>382</v>
      </c>
      <c r="B103" s="377" t="s">
        <v>540</v>
      </c>
      <c r="C103" s="378" t="s">
        <v>387</v>
      </c>
      <c r="D103" s="379" t="s">
        <v>541</v>
      </c>
      <c r="E103" s="378" t="s">
        <v>1294</v>
      </c>
      <c r="F103" s="379" t="s">
        <v>1295</v>
      </c>
      <c r="G103" s="378" t="s">
        <v>742</v>
      </c>
      <c r="H103" s="378" t="s">
        <v>743</v>
      </c>
      <c r="I103" s="380">
        <v>0.67</v>
      </c>
      <c r="J103" s="380">
        <v>800</v>
      </c>
      <c r="K103" s="381">
        <v>536</v>
      </c>
    </row>
    <row r="104" spans="1:11" ht="14.4" customHeight="1" x14ac:dyDescent="0.3">
      <c r="A104" s="376" t="s">
        <v>382</v>
      </c>
      <c r="B104" s="377" t="s">
        <v>540</v>
      </c>
      <c r="C104" s="378" t="s">
        <v>387</v>
      </c>
      <c r="D104" s="379" t="s">
        <v>541</v>
      </c>
      <c r="E104" s="378" t="s">
        <v>1294</v>
      </c>
      <c r="F104" s="379" t="s">
        <v>1295</v>
      </c>
      <c r="G104" s="378" t="s">
        <v>744</v>
      </c>
      <c r="H104" s="378" t="s">
        <v>745</v>
      </c>
      <c r="I104" s="380">
        <v>3.13</v>
      </c>
      <c r="J104" s="380">
        <v>200</v>
      </c>
      <c r="K104" s="381">
        <v>626</v>
      </c>
    </row>
    <row r="105" spans="1:11" ht="14.4" customHeight="1" x14ac:dyDescent="0.3">
      <c r="A105" s="376" t="s">
        <v>382</v>
      </c>
      <c r="B105" s="377" t="s">
        <v>540</v>
      </c>
      <c r="C105" s="378" t="s">
        <v>387</v>
      </c>
      <c r="D105" s="379" t="s">
        <v>541</v>
      </c>
      <c r="E105" s="378" t="s">
        <v>1294</v>
      </c>
      <c r="F105" s="379" t="s">
        <v>1295</v>
      </c>
      <c r="G105" s="378" t="s">
        <v>746</v>
      </c>
      <c r="H105" s="378" t="s">
        <v>747</v>
      </c>
      <c r="I105" s="380">
        <v>6.23</v>
      </c>
      <c r="J105" s="380">
        <v>490</v>
      </c>
      <c r="K105" s="381">
        <v>3052.7</v>
      </c>
    </row>
    <row r="106" spans="1:11" ht="14.4" customHeight="1" x14ac:dyDescent="0.3">
      <c r="A106" s="376" t="s">
        <v>382</v>
      </c>
      <c r="B106" s="377" t="s">
        <v>540</v>
      </c>
      <c r="C106" s="378" t="s">
        <v>387</v>
      </c>
      <c r="D106" s="379" t="s">
        <v>541</v>
      </c>
      <c r="E106" s="378" t="s">
        <v>1294</v>
      </c>
      <c r="F106" s="379" t="s">
        <v>1295</v>
      </c>
      <c r="G106" s="378" t="s">
        <v>748</v>
      </c>
      <c r="H106" s="378" t="s">
        <v>749</v>
      </c>
      <c r="I106" s="380">
        <v>80.576000000000008</v>
      </c>
      <c r="J106" s="380">
        <v>1520</v>
      </c>
      <c r="K106" s="381">
        <v>122476.40000000001</v>
      </c>
    </row>
    <row r="107" spans="1:11" ht="14.4" customHeight="1" x14ac:dyDescent="0.3">
      <c r="A107" s="376" t="s">
        <v>382</v>
      </c>
      <c r="B107" s="377" t="s">
        <v>540</v>
      </c>
      <c r="C107" s="378" t="s">
        <v>387</v>
      </c>
      <c r="D107" s="379" t="s">
        <v>541</v>
      </c>
      <c r="E107" s="378" t="s">
        <v>1294</v>
      </c>
      <c r="F107" s="379" t="s">
        <v>1295</v>
      </c>
      <c r="G107" s="378" t="s">
        <v>750</v>
      </c>
      <c r="H107" s="378" t="s">
        <v>751</v>
      </c>
      <c r="I107" s="380">
        <v>5.9033333333333342</v>
      </c>
      <c r="J107" s="380">
        <v>2100</v>
      </c>
      <c r="K107" s="381">
        <v>12417</v>
      </c>
    </row>
    <row r="108" spans="1:11" ht="14.4" customHeight="1" x14ac:dyDescent="0.3">
      <c r="A108" s="376" t="s">
        <v>382</v>
      </c>
      <c r="B108" s="377" t="s">
        <v>540</v>
      </c>
      <c r="C108" s="378" t="s">
        <v>387</v>
      </c>
      <c r="D108" s="379" t="s">
        <v>541</v>
      </c>
      <c r="E108" s="378" t="s">
        <v>1294</v>
      </c>
      <c r="F108" s="379" t="s">
        <v>1295</v>
      </c>
      <c r="G108" s="378" t="s">
        <v>752</v>
      </c>
      <c r="H108" s="378" t="s">
        <v>753</v>
      </c>
      <c r="I108" s="380">
        <v>217.79500000000002</v>
      </c>
      <c r="J108" s="380">
        <v>18</v>
      </c>
      <c r="K108" s="381">
        <v>3920.3</v>
      </c>
    </row>
    <row r="109" spans="1:11" ht="14.4" customHeight="1" x14ac:dyDescent="0.3">
      <c r="A109" s="376" t="s">
        <v>382</v>
      </c>
      <c r="B109" s="377" t="s">
        <v>540</v>
      </c>
      <c r="C109" s="378" t="s">
        <v>387</v>
      </c>
      <c r="D109" s="379" t="s">
        <v>541</v>
      </c>
      <c r="E109" s="378" t="s">
        <v>1294</v>
      </c>
      <c r="F109" s="379" t="s">
        <v>1295</v>
      </c>
      <c r="G109" s="378" t="s">
        <v>754</v>
      </c>
      <c r="H109" s="378" t="s">
        <v>755</v>
      </c>
      <c r="I109" s="380">
        <v>64.13</v>
      </c>
      <c r="J109" s="380">
        <v>24</v>
      </c>
      <c r="K109" s="381">
        <v>1539.12</v>
      </c>
    </row>
    <row r="110" spans="1:11" ht="14.4" customHeight="1" x14ac:dyDescent="0.3">
      <c r="A110" s="376" t="s">
        <v>382</v>
      </c>
      <c r="B110" s="377" t="s">
        <v>540</v>
      </c>
      <c r="C110" s="378" t="s">
        <v>387</v>
      </c>
      <c r="D110" s="379" t="s">
        <v>541</v>
      </c>
      <c r="E110" s="378" t="s">
        <v>1294</v>
      </c>
      <c r="F110" s="379" t="s">
        <v>1295</v>
      </c>
      <c r="G110" s="378" t="s">
        <v>756</v>
      </c>
      <c r="H110" s="378" t="s">
        <v>757</v>
      </c>
      <c r="I110" s="380">
        <v>9.68</v>
      </c>
      <c r="J110" s="380">
        <v>1000</v>
      </c>
      <c r="K110" s="381">
        <v>9680</v>
      </c>
    </row>
    <row r="111" spans="1:11" ht="14.4" customHeight="1" x14ac:dyDescent="0.3">
      <c r="A111" s="376" t="s">
        <v>382</v>
      </c>
      <c r="B111" s="377" t="s">
        <v>540</v>
      </c>
      <c r="C111" s="378" t="s">
        <v>387</v>
      </c>
      <c r="D111" s="379" t="s">
        <v>541</v>
      </c>
      <c r="E111" s="378" t="s">
        <v>1294</v>
      </c>
      <c r="F111" s="379" t="s">
        <v>1295</v>
      </c>
      <c r="G111" s="378" t="s">
        <v>758</v>
      </c>
      <c r="H111" s="378" t="s">
        <v>759</v>
      </c>
      <c r="I111" s="380">
        <v>4.2350000000000003</v>
      </c>
      <c r="J111" s="380">
        <v>3500</v>
      </c>
      <c r="K111" s="381">
        <v>14823</v>
      </c>
    </row>
    <row r="112" spans="1:11" ht="14.4" customHeight="1" x14ac:dyDescent="0.3">
      <c r="A112" s="376" t="s">
        <v>382</v>
      </c>
      <c r="B112" s="377" t="s">
        <v>540</v>
      </c>
      <c r="C112" s="378" t="s">
        <v>387</v>
      </c>
      <c r="D112" s="379" t="s">
        <v>541</v>
      </c>
      <c r="E112" s="378" t="s">
        <v>1294</v>
      </c>
      <c r="F112" s="379" t="s">
        <v>1295</v>
      </c>
      <c r="G112" s="378" t="s">
        <v>760</v>
      </c>
      <c r="H112" s="378" t="s">
        <v>761</v>
      </c>
      <c r="I112" s="380">
        <v>1063.58</v>
      </c>
      <c r="J112" s="380">
        <v>1</v>
      </c>
      <c r="K112" s="381">
        <v>1063.58</v>
      </c>
    </row>
    <row r="113" spans="1:11" ht="14.4" customHeight="1" x14ac:dyDescent="0.3">
      <c r="A113" s="376" t="s">
        <v>382</v>
      </c>
      <c r="B113" s="377" t="s">
        <v>540</v>
      </c>
      <c r="C113" s="378" t="s">
        <v>387</v>
      </c>
      <c r="D113" s="379" t="s">
        <v>541</v>
      </c>
      <c r="E113" s="378" t="s">
        <v>1294</v>
      </c>
      <c r="F113" s="379" t="s">
        <v>1295</v>
      </c>
      <c r="G113" s="378" t="s">
        <v>762</v>
      </c>
      <c r="H113" s="378" t="s">
        <v>763</v>
      </c>
      <c r="I113" s="380">
        <v>2.9049999999999998</v>
      </c>
      <c r="J113" s="380">
        <v>1700</v>
      </c>
      <c r="K113" s="381">
        <v>4938.8</v>
      </c>
    </row>
    <row r="114" spans="1:11" ht="14.4" customHeight="1" x14ac:dyDescent="0.3">
      <c r="A114" s="376" t="s">
        <v>382</v>
      </c>
      <c r="B114" s="377" t="s">
        <v>540</v>
      </c>
      <c r="C114" s="378" t="s">
        <v>387</v>
      </c>
      <c r="D114" s="379" t="s">
        <v>541</v>
      </c>
      <c r="E114" s="378" t="s">
        <v>1294</v>
      </c>
      <c r="F114" s="379" t="s">
        <v>1295</v>
      </c>
      <c r="G114" s="378" t="s">
        <v>764</v>
      </c>
      <c r="H114" s="378" t="s">
        <v>765</v>
      </c>
      <c r="I114" s="380">
        <v>2.9016666666666668</v>
      </c>
      <c r="J114" s="380">
        <v>1300</v>
      </c>
      <c r="K114" s="381">
        <v>3772</v>
      </c>
    </row>
    <row r="115" spans="1:11" ht="14.4" customHeight="1" x14ac:dyDescent="0.3">
      <c r="A115" s="376" t="s">
        <v>382</v>
      </c>
      <c r="B115" s="377" t="s">
        <v>540</v>
      </c>
      <c r="C115" s="378" t="s">
        <v>387</v>
      </c>
      <c r="D115" s="379" t="s">
        <v>541</v>
      </c>
      <c r="E115" s="378" t="s">
        <v>1294</v>
      </c>
      <c r="F115" s="379" t="s">
        <v>1295</v>
      </c>
      <c r="G115" s="378" t="s">
        <v>766</v>
      </c>
      <c r="H115" s="378" t="s">
        <v>767</v>
      </c>
      <c r="I115" s="380">
        <v>2.9036363636363633</v>
      </c>
      <c r="J115" s="380">
        <v>2400</v>
      </c>
      <c r="K115" s="381">
        <v>6967.5999999999995</v>
      </c>
    </row>
    <row r="116" spans="1:11" ht="14.4" customHeight="1" x14ac:dyDescent="0.3">
      <c r="A116" s="376" t="s">
        <v>382</v>
      </c>
      <c r="B116" s="377" t="s">
        <v>540</v>
      </c>
      <c r="C116" s="378" t="s">
        <v>387</v>
      </c>
      <c r="D116" s="379" t="s">
        <v>541</v>
      </c>
      <c r="E116" s="378" t="s">
        <v>1294</v>
      </c>
      <c r="F116" s="379" t="s">
        <v>1295</v>
      </c>
      <c r="G116" s="378" t="s">
        <v>768</v>
      </c>
      <c r="H116" s="378" t="s">
        <v>769</v>
      </c>
      <c r="I116" s="380">
        <v>2.902857142857143</v>
      </c>
      <c r="J116" s="380">
        <v>2600</v>
      </c>
      <c r="K116" s="381">
        <v>7548</v>
      </c>
    </row>
    <row r="117" spans="1:11" ht="14.4" customHeight="1" x14ac:dyDescent="0.3">
      <c r="A117" s="376" t="s">
        <v>382</v>
      </c>
      <c r="B117" s="377" t="s">
        <v>540</v>
      </c>
      <c r="C117" s="378" t="s">
        <v>387</v>
      </c>
      <c r="D117" s="379" t="s">
        <v>541</v>
      </c>
      <c r="E117" s="378" t="s">
        <v>1294</v>
      </c>
      <c r="F117" s="379" t="s">
        <v>1295</v>
      </c>
      <c r="G117" s="378" t="s">
        <v>770</v>
      </c>
      <c r="H117" s="378" t="s">
        <v>771</v>
      </c>
      <c r="I117" s="380">
        <v>2.9</v>
      </c>
      <c r="J117" s="380">
        <v>200</v>
      </c>
      <c r="K117" s="381">
        <v>580</v>
      </c>
    </row>
    <row r="118" spans="1:11" ht="14.4" customHeight="1" x14ac:dyDescent="0.3">
      <c r="A118" s="376" t="s">
        <v>382</v>
      </c>
      <c r="B118" s="377" t="s">
        <v>540</v>
      </c>
      <c r="C118" s="378" t="s">
        <v>387</v>
      </c>
      <c r="D118" s="379" t="s">
        <v>541</v>
      </c>
      <c r="E118" s="378" t="s">
        <v>1294</v>
      </c>
      <c r="F118" s="379" t="s">
        <v>1295</v>
      </c>
      <c r="G118" s="378" t="s">
        <v>772</v>
      </c>
      <c r="H118" s="378" t="s">
        <v>773</v>
      </c>
      <c r="I118" s="380">
        <v>4.3600000000000003</v>
      </c>
      <c r="J118" s="380">
        <v>200</v>
      </c>
      <c r="K118" s="381">
        <v>871.16000000000008</v>
      </c>
    </row>
    <row r="119" spans="1:11" ht="14.4" customHeight="1" x14ac:dyDescent="0.3">
      <c r="A119" s="376" t="s">
        <v>382</v>
      </c>
      <c r="B119" s="377" t="s">
        <v>540</v>
      </c>
      <c r="C119" s="378" t="s">
        <v>387</v>
      </c>
      <c r="D119" s="379" t="s">
        <v>541</v>
      </c>
      <c r="E119" s="378" t="s">
        <v>1294</v>
      </c>
      <c r="F119" s="379" t="s">
        <v>1295</v>
      </c>
      <c r="G119" s="378" t="s">
        <v>774</v>
      </c>
      <c r="H119" s="378" t="s">
        <v>775</v>
      </c>
      <c r="I119" s="380">
        <v>92.448000000000008</v>
      </c>
      <c r="J119" s="380">
        <v>260</v>
      </c>
      <c r="K119" s="381">
        <v>23992.47</v>
      </c>
    </row>
    <row r="120" spans="1:11" ht="14.4" customHeight="1" x14ac:dyDescent="0.3">
      <c r="A120" s="376" t="s">
        <v>382</v>
      </c>
      <c r="B120" s="377" t="s">
        <v>540</v>
      </c>
      <c r="C120" s="378" t="s">
        <v>387</v>
      </c>
      <c r="D120" s="379" t="s">
        <v>541</v>
      </c>
      <c r="E120" s="378" t="s">
        <v>1294</v>
      </c>
      <c r="F120" s="379" t="s">
        <v>1295</v>
      </c>
      <c r="G120" s="378" t="s">
        <v>776</v>
      </c>
      <c r="H120" s="378" t="s">
        <v>777</v>
      </c>
      <c r="I120" s="380">
        <v>12.103999999999999</v>
      </c>
      <c r="J120" s="380">
        <v>400</v>
      </c>
      <c r="K120" s="381">
        <v>4841</v>
      </c>
    </row>
    <row r="121" spans="1:11" ht="14.4" customHeight="1" x14ac:dyDescent="0.3">
      <c r="A121" s="376" t="s">
        <v>382</v>
      </c>
      <c r="B121" s="377" t="s">
        <v>540</v>
      </c>
      <c r="C121" s="378" t="s">
        <v>387</v>
      </c>
      <c r="D121" s="379" t="s">
        <v>541</v>
      </c>
      <c r="E121" s="378" t="s">
        <v>1294</v>
      </c>
      <c r="F121" s="379" t="s">
        <v>1295</v>
      </c>
      <c r="G121" s="378" t="s">
        <v>778</v>
      </c>
      <c r="H121" s="378" t="s">
        <v>779</v>
      </c>
      <c r="I121" s="380">
        <v>13.2</v>
      </c>
      <c r="J121" s="380">
        <v>40</v>
      </c>
      <c r="K121" s="381">
        <v>528</v>
      </c>
    </row>
    <row r="122" spans="1:11" ht="14.4" customHeight="1" x14ac:dyDescent="0.3">
      <c r="A122" s="376" t="s">
        <v>382</v>
      </c>
      <c r="B122" s="377" t="s">
        <v>540</v>
      </c>
      <c r="C122" s="378" t="s">
        <v>387</v>
      </c>
      <c r="D122" s="379" t="s">
        <v>541</v>
      </c>
      <c r="E122" s="378" t="s">
        <v>1294</v>
      </c>
      <c r="F122" s="379" t="s">
        <v>1295</v>
      </c>
      <c r="G122" s="378" t="s">
        <v>780</v>
      </c>
      <c r="H122" s="378" t="s">
        <v>781</v>
      </c>
      <c r="I122" s="380">
        <v>13.2</v>
      </c>
      <c r="J122" s="380">
        <v>84</v>
      </c>
      <c r="K122" s="381">
        <v>1108.8</v>
      </c>
    </row>
    <row r="123" spans="1:11" ht="14.4" customHeight="1" x14ac:dyDescent="0.3">
      <c r="A123" s="376" t="s">
        <v>382</v>
      </c>
      <c r="B123" s="377" t="s">
        <v>540</v>
      </c>
      <c r="C123" s="378" t="s">
        <v>387</v>
      </c>
      <c r="D123" s="379" t="s">
        <v>541</v>
      </c>
      <c r="E123" s="378" t="s">
        <v>1294</v>
      </c>
      <c r="F123" s="379" t="s">
        <v>1295</v>
      </c>
      <c r="G123" s="378" t="s">
        <v>782</v>
      </c>
      <c r="H123" s="378" t="s">
        <v>783</v>
      </c>
      <c r="I123" s="380">
        <v>13.2</v>
      </c>
      <c r="J123" s="380">
        <v>20</v>
      </c>
      <c r="K123" s="381">
        <v>264</v>
      </c>
    </row>
    <row r="124" spans="1:11" ht="14.4" customHeight="1" x14ac:dyDescent="0.3">
      <c r="A124" s="376" t="s">
        <v>382</v>
      </c>
      <c r="B124" s="377" t="s">
        <v>540</v>
      </c>
      <c r="C124" s="378" t="s">
        <v>387</v>
      </c>
      <c r="D124" s="379" t="s">
        <v>541</v>
      </c>
      <c r="E124" s="378" t="s">
        <v>1294</v>
      </c>
      <c r="F124" s="379" t="s">
        <v>1295</v>
      </c>
      <c r="G124" s="378" t="s">
        <v>784</v>
      </c>
      <c r="H124" s="378" t="s">
        <v>785</v>
      </c>
      <c r="I124" s="380">
        <v>21.234999999999999</v>
      </c>
      <c r="J124" s="380">
        <v>1130</v>
      </c>
      <c r="K124" s="381">
        <v>23995.1</v>
      </c>
    </row>
    <row r="125" spans="1:11" ht="14.4" customHeight="1" x14ac:dyDescent="0.3">
      <c r="A125" s="376" t="s">
        <v>382</v>
      </c>
      <c r="B125" s="377" t="s">
        <v>540</v>
      </c>
      <c r="C125" s="378" t="s">
        <v>387</v>
      </c>
      <c r="D125" s="379" t="s">
        <v>541</v>
      </c>
      <c r="E125" s="378" t="s">
        <v>1294</v>
      </c>
      <c r="F125" s="379" t="s">
        <v>1295</v>
      </c>
      <c r="G125" s="378" t="s">
        <v>786</v>
      </c>
      <c r="H125" s="378" t="s">
        <v>787</v>
      </c>
      <c r="I125" s="380">
        <v>6.6550000000000002</v>
      </c>
      <c r="J125" s="380">
        <v>100</v>
      </c>
      <c r="K125" s="381">
        <v>665.5</v>
      </c>
    </row>
    <row r="126" spans="1:11" ht="14.4" customHeight="1" x14ac:dyDescent="0.3">
      <c r="A126" s="376" t="s">
        <v>382</v>
      </c>
      <c r="B126" s="377" t="s">
        <v>540</v>
      </c>
      <c r="C126" s="378" t="s">
        <v>387</v>
      </c>
      <c r="D126" s="379" t="s">
        <v>541</v>
      </c>
      <c r="E126" s="378" t="s">
        <v>1294</v>
      </c>
      <c r="F126" s="379" t="s">
        <v>1295</v>
      </c>
      <c r="G126" s="378" t="s">
        <v>788</v>
      </c>
      <c r="H126" s="378" t="s">
        <v>789</v>
      </c>
      <c r="I126" s="380">
        <v>6.66</v>
      </c>
      <c r="J126" s="380">
        <v>100</v>
      </c>
      <c r="K126" s="381">
        <v>666</v>
      </c>
    </row>
    <row r="127" spans="1:11" ht="14.4" customHeight="1" x14ac:dyDescent="0.3">
      <c r="A127" s="376" t="s">
        <v>382</v>
      </c>
      <c r="B127" s="377" t="s">
        <v>540</v>
      </c>
      <c r="C127" s="378" t="s">
        <v>387</v>
      </c>
      <c r="D127" s="379" t="s">
        <v>541</v>
      </c>
      <c r="E127" s="378" t="s">
        <v>1294</v>
      </c>
      <c r="F127" s="379" t="s">
        <v>1295</v>
      </c>
      <c r="G127" s="378" t="s">
        <v>790</v>
      </c>
      <c r="H127" s="378" t="s">
        <v>791</v>
      </c>
      <c r="I127" s="380">
        <v>6.65</v>
      </c>
      <c r="J127" s="380">
        <v>50</v>
      </c>
      <c r="K127" s="381">
        <v>332.5</v>
      </c>
    </row>
    <row r="128" spans="1:11" ht="14.4" customHeight="1" x14ac:dyDescent="0.3">
      <c r="A128" s="376" t="s">
        <v>382</v>
      </c>
      <c r="B128" s="377" t="s">
        <v>540</v>
      </c>
      <c r="C128" s="378" t="s">
        <v>387</v>
      </c>
      <c r="D128" s="379" t="s">
        <v>541</v>
      </c>
      <c r="E128" s="378" t="s">
        <v>1294</v>
      </c>
      <c r="F128" s="379" t="s">
        <v>1295</v>
      </c>
      <c r="G128" s="378" t="s">
        <v>792</v>
      </c>
      <c r="H128" s="378" t="s">
        <v>793</v>
      </c>
      <c r="I128" s="380">
        <v>2.335</v>
      </c>
      <c r="J128" s="380">
        <v>625</v>
      </c>
      <c r="K128" s="381">
        <v>1459.46</v>
      </c>
    </row>
    <row r="129" spans="1:11" ht="14.4" customHeight="1" x14ac:dyDescent="0.3">
      <c r="A129" s="376" t="s">
        <v>382</v>
      </c>
      <c r="B129" s="377" t="s">
        <v>540</v>
      </c>
      <c r="C129" s="378" t="s">
        <v>387</v>
      </c>
      <c r="D129" s="379" t="s">
        <v>541</v>
      </c>
      <c r="E129" s="378" t="s">
        <v>1294</v>
      </c>
      <c r="F129" s="379" t="s">
        <v>1295</v>
      </c>
      <c r="G129" s="378" t="s">
        <v>794</v>
      </c>
      <c r="H129" s="378" t="s">
        <v>795</v>
      </c>
      <c r="I129" s="380">
        <v>19.71</v>
      </c>
      <c r="J129" s="380">
        <v>200</v>
      </c>
      <c r="K129" s="381">
        <v>3942.18</v>
      </c>
    </row>
    <row r="130" spans="1:11" ht="14.4" customHeight="1" x14ac:dyDescent="0.3">
      <c r="A130" s="376" t="s">
        <v>382</v>
      </c>
      <c r="B130" s="377" t="s">
        <v>540</v>
      </c>
      <c r="C130" s="378" t="s">
        <v>387</v>
      </c>
      <c r="D130" s="379" t="s">
        <v>541</v>
      </c>
      <c r="E130" s="378" t="s">
        <v>1294</v>
      </c>
      <c r="F130" s="379" t="s">
        <v>1295</v>
      </c>
      <c r="G130" s="378" t="s">
        <v>796</v>
      </c>
      <c r="H130" s="378" t="s">
        <v>797</v>
      </c>
      <c r="I130" s="380">
        <v>76.23</v>
      </c>
      <c r="J130" s="380">
        <v>40</v>
      </c>
      <c r="K130" s="381">
        <v>3049.2</v>
      </c>
    </row>
    <row r="131" spans="1:11" ht="14.4" customHeight="1" x14ac:dyDescent="0.3">
      <c r="A131" s="376" t="s">
        <v>382</v>
      </c>
      <c r="B131" s="377" t="s">
        <v>540</v>
      </c>
      <c r="C131" s="378" t="s">
        <v>387</v>
      </c>
      <c r="D131" s="379" t="s">
        <v>541</v>
      </c>
      <c r="E131" s="378" t="s">
        <v>1294</v>
      </c>
      <c r="F131" s="379" t="s">
        <v>1295</v>
      </c>
      <c r="G131" s="378" t="s">
        <v>798</v>
      </c>
      <c r="H131" s="378" t="s">
        <v>799</v>
      </c>
      <c r="I131" s="380">
        <v>30.85</v>
      </c>
      <c r="J131" s="380">
        <v>100</v>
      </c>
      <c r="K131" s="381">
        <v>3085</v>
      </c>
    </row>
    <row r="132" spans="1:11" ht="14.4" customHeight="1" x14ac:dyDescent="0.3">
      <c r="A132" s="376" t="s">
        <v>382</v>
      </c>
      <c r="B132" s="377" t="s">
        <v>540</v>
      </c>
      <c r="C132" s="378" t="s">
        <v>387</v>
      </c>
      <c r="D132" s="379" t="s">
        <v>541</v>
      </c>
      <c r="E132" s="378" t="s">
        <v>1294</v>
      </c>
      <c r="F132" s="379" t="s">
        <v>1295</v>
      </c>
      <c r="G132" s="378" t="s">
        <v>800</v>
      </c>
      <c r="H132" s="378" t="s">
        <v>801</v>
      </c>
      <c r="I132" s="380">
        <v>50.65</v>
      </c>
      <c r="J132" s="380">
        <v>2600</v>
      </c>
      <c r="K132" s="381">
        <v>131691.56</v>
      </c>
    </row>
    <row r="133" spans="1:11" ht="14.4" customHeight="1" x14ac:dyDescent="0.3">
      <c r="A133" s="376" t="s">
        <v>382</v>
      </c>
      <c r="B133" s="377" t="s">
        <v>540</v>
      </c>
      <c r="C133" s="378" t="s">
        <v>387</v>
      </c>
      <c r="D133" s="379" t="s">
        <v>541</v>
      </c>
      <c r="E133" s="378" t="s">
        <v>1294</v>
      </c>
      <c r="F133" s="379" t="s">
        <v>1295</v>
      </c>
      <c r="G133" s="378" t="s">
        <v>802</v>
      </c>
      <c r="H133" s="378" t="s">
        <v>803</v>
      </c>
      <c r="I133" s="380">
        <v>496.35</v>
      </c>
      <c r="J133" s="380">
        <v>20</v>
      </c>
      <c r="K133" s="381">
        <v>9927.08</v>
      </c>
    </row>
    <row r="134" spans="1:11" ht="14.4" customHeight="1" x14ac:dyDescent="0.3">
      <c r="A134" s="376" t="s">
        <v>382</v>
      </c>
      <c r="B134" s="377" t="s">
        <v>540</v>
      </c>
      <c r="C134" s="378" t="s">
        <v>387</v>
      </c>
      <c r="D134" s="379" t="s">
        <v>541</v>
      </c>
      <c r="E134" s="378" t="s">
        <v>1294</v>
      </c>
      <c r="F134" s="379" t="s">
        <v>1295</v>
      </c>
      <c r="G134" s="378" t="s">
        <v>804</v>
      </c>
      <c r="H134" s="378" t="s">
        <v>805</v>
      </c>
      <c r="I134" s="380">
        <v>839.98</v>
      </c>
      <c r="J134" s="380">
        <v>20</v>
      </c>
      <c r="K134" s="381">
        <v>16799.52</v>
      </c>
    </row>
    <row r="135" spans="1:11" ht="14.4" customHeight="1" x14ac:dyDescent="0.3">
      <c r="A135" s="376" t="s">
        <v>382</v>
      </c>
      <c r="B135" s="377" t="s">
        <v>540</v>
      </c>
      <c r="C135" s="378" t="s">
        <v>387</v>
      </c>
      <c r="D135" s="379" t="s">
        <v>541</v>
      </c>
      <c r="E135" s="378" t="s">
        <v>1294</v>
      </c>
      <c r="F135" s="379" t="s">
        <v>1295</v>
      </c>
      <c r="G135" s="378" t="s">
        <v>806</v>
      </c>
      <c r="H135" s="378" t="s">
        <v>807</v>
      </c>
      <c r="I135" s="380">
        <v>181.5</v>
      </c>
      <c r="J135" s="380">
        <v>20</v>
      </c>
      <c r="K135" s="381">
        <v>3630</v>
      </c>
    </row>
    <row r="136" spans="1:11" ht="14.4" customHeight="1" x14ac:dyDescent="0.3">
      <c r="A136" s="376" t="s">
        <v>382</v>
      </c>
      <c r="B136" s="377" t="s">
        <v>540</v>
      </c>
      <c r="C136" s="378" t="s">
        <v>387</v>
      </c>
      <c r="D136" s="379" t="s">
        <v>541</v>
      </c>
      <c r="E136" s="378" t="s">
        <v>1294</v>
      </c>
      <c r="F136" s="379" t="s">
        <v>1295</v>
      </c>
      <c r="G136" s="378" t="s">
        <v>808</v>
      </c>
      <c r="H136" s="378" t="s">
        <v>809</v>
      </c>
      <c r="I136" s="380">
        <v>267.41000000000003</v>
      </c>
      <c r="J136" s="380">
        <v>90</v>
      </c>
      <c r="K136" s="381">
        <v>24066.89</v>
      </c>
    </row>
    <row r="137" spans="1:11" ht="14.4" customHeight="1" x14ac:dyDescent="0.3">
      <c r="A137" s="376" t="s">
        <v>382</v>
      </c>
      <c r="B137" s="377" t="s">
        <v>540</v>
      </c>
      <c r="C137" s="378" t="s">
        <v>387</v>
      </c>
      <c r="D137" s="379" t="s">
        <v>541</v>
      </c>
      <c r="E137" s="378" t="s">
        <v>1294</v>
      </c>
      <c r="F137" s="379" t="s">
        <v>1295</v>
      </c>
      <c r="G137" s="378" t="s">
        <v>810</v>
      </c>
      <c r="H137" s="378" t="s">
        <v>811</v>
      </c>
      <c r="I137" s="380">
        <v>7.5100000000000007</v>
      </c>
      <c r="J137" s="380">
        <v>200</v>
      </c>
      <c r="K137" s="381">
        <v>1502.82</v>
      </c>
    </row>
    <row r="138" spans="1:11" ht="14.4" customHeight="1" x14ac:dyDescent="0.3">
      <c r="A138" s="376" t="s">
        <v>382</v>
      </c>
      <c r="B138" s="377" t="s">
        <v>540</v>
      </c>
      <c r="C138" s="378" t="s">
        <v>387</v>
      </c>
      <c r="D138" s="379" t="s">
        <v>541</v>
      </c>
      <c r="E138" s="378" t="s">
        <v>1294</v>
      </c>
      <c r="F138" s="379" t="s">
        <v>1295</v>
      </c>
      <c r="G138" s="378" t="s">
        <v>812</v>
      </c>
      <c r="H138" s="378" t="s">
        <v>813</v>
      </c>
      <c r="I138" s="380">
        <v>601.37</v>
      </c>
      <c r="J138" s="380">
        <v>1</v>
      </c>
      <c r="K138" s="381">
        <v>601.37</v>
      </c>
    </row>
    <row r="139" spans="1:11" ht="14.4" customHeight="1" x14ac:dyDescent="0.3">
      <c r="A139" s="376" t="s">
        <v>382</v>
      </c>
      <c r="B139" s="377" t="s">
        <v>540</v>
      </c>
      <c r="C139" s="378" t="s">
        <v>387</v>
      </c>
      <c r="D139" s="379" t="s">
        <v>541</v>
      </c>
      <c r="E139" s="378" t="s">
        <v>1294</v>
      </c>
      <c r="F139" s="379" t="s">
        <v>1295</v>
      </c>
      <c r="G139" s="378" t="s">
        <v>814</v>
      </c>
      <c r="H139" s="378" t="s">
        <v>815</v>
      </c>
      <c r="I139" s="380">
        <v>111.55</v>
      </c>
      <c r="J139" s="380">
        <v>50</v>
      </c>
      <c r="K139" s="381">
        <v>5577.5</v>
      </c>
    </row>
    <row r="140" spans="1:11" ht="14.4" customHeight="1" x14ac:dyDescent="0.3">
      <c r="A140" s="376" t="s">
        <v>382</v>
      </c>
      <c r="B140" s="377" t="s">
        <v>540</v>
      </c>
      <c r="C140" s="378" t="s">
        <v>387</v>
      </c>
      <c r="D140" s="379" t="s">
        <v>541</v>
      </c>
      <c r="E140" s="378" t="s">
        <v>1294</v>
      </c>
      <c r="F140" s="379" t="s">
        <v>1295</v>
      </c>
      <c r="G140" s="378" t="s">
        <v>816</v>
      </c>
      <c r="H140" s="378" t="s">
        <v>817</v>
      </c>
      <c r="I140" s="380">
        <v>61.34</v>
      </c>
      <c r="J140" s="380">
        <v>72</v>
      </c>
      <c r="K140" s="381">
        <v>4416.3500000000004</v>
      </c>
    </row>
    <row r="141" spans="1:11" ht="14.4" customHeight="1" x14ac:dyDescent="0.3">
      <c r="A141" s="376" t="s">
        <v>382</v>
      </c>
      <c r="B141" s="377" t="s">
        <v>540</v>
      </c>
      <c r="C141" s="378" t="s">
        <v>387</v>
      </c>
      <c r="D141" s="379" t="s">
        <v>541</v>
      </c>
      <c r="E141" s="378" t="s">
        <v>1294</v>
      </c>
      <c r="F141" s="379" t="s">
        <v>1295</v>
      </c>
      <c r="G141" s="378" t="s">
        <v>818</v>
      </c>
      <c r="H141" s="378" t="s">
        <v>819</v>
      </c>
      <c r="I141" s="380">
        <v>5596.76</v>
      </c>
      <c r="J141" s="380">
        <v>1</v>
      </c>
      <c r="K141" s="381">
        <v>5596.76</v>
      </c>
    </row>
    <row r="142" spans="1:11" ht="14.4" customHeight="1" x14ac:dyDescent="0.3">
      <c r="A142" s="376" t="s">
        <v>382</v>
      </c>
      <c r="B142" s="377" t="s">
        <v>540</v>
      </c>
      <c r="C142" s="378" t="s">
        <v>387</v>
      </c>
      <c r="D142" s="379" t="s">
        <v>541</v>
      </c>
      <c r="E142" s="378" t="s">
        <v>1294</v>
      </c>
      <c r="F142" s="379" t="s">
        <v>1295</v>
      </c>
      <c r="G142" s="378" t="s">
        <v>820</v>
      </c>
      <c r="H142" s="378" t="s">
        <v>821</v>
      </c>
      <c r="I142" s="380">
        <v>482.79</v>
      </c>
      <c r="J142" s="380">
        <v>50</v>
      </c>
      <c r="K142" s="381">
        <v>24139.5</v>
      </c>
    </row>
    <row r="143" spans="1:11" ht="14.4" customHeight="1" x14ac:dyDescent="0.3">
      <c r="A143" s="376" t="s">
        <v>382</v>
      </c>
      <c r="B143" s="377" t="s">
        <v>540</v>
      </c>
      <c r="C143" s="378" t="s">
        <v>387</v>
      </c>
      <c r="D143" s="379" t="s">
        <v>541</v>
      </c>
      <c r="E143" s="378" t="s">
        <v>1294</v>
      </c>
      <c r="F143" s="379" t="s">
        <v>1295</v>
      </c>
      <c r="G143" s="378" t="s">
        <v>822</v>
      </c>
      <c r="H143" s="378" t="s">
        <v>823</v>
      </c>
      <c r="I143" s="380">
        <v>5.9799999999999995</v>
      </c>
      <c r="J143" s="380">
        <v>300</v>
      </c>
      <c r="K143" s="381">
        <v>1793.83</v>
      </c>
    </row>
    <row r="144" spans="1:11" ht="14.4" customHeight="1" x14ac:dyDescent="0.3">
      <c r="A144" s="376" t="s">
        <v>382</v>
      </c>
      <c r="B144" s="377" t="s">
        <v>540</v>
      </c>
      <c r="C144" s="378" t="s">
        <v>387</v>
      </c>
      <c r="D144" s="379" t="s">
        <v>541</v>
      </c>
      <c r="E144" s="378" t="s">
        <v>1294</v>
      </c>
      <c r="F144" s="379" t="s">
        <v>1295</v>
      </c>
      <c r="G144" s="378" t="s">
        <v>824</v>
      </c>
      <c r="H144" s="378" t="s">
        <v>825</v>
      </c>
      <c r="I144" s="380">
        <v>339.04</v>
      </c>
      <c r="J144" s="380">
        <v>50</v>
      </c>
      <c r="K144" s="381">
        <v>16952.099999999999</v>
      </c>
    </row>
    <row r="145" spans="1:11" ht="14.4" customHeight="1" x14ac:dyDescent="0.3">
      <c r="A145" s="376" t="s">
        <v>382</v>
      </c>
      <c r="B145" s="377" t="s">
        <v>540</v>
      </c>
      <c r="C145" s="378" t="s">
        <v>387</v>
      </c>
      <c r="D145" s="379" t="s">
        <v>541</v>
      </c>
      <c r="E145" s="378" t="s">
        <v>1294</v>
      </c>
      <c r="F145" s="379" t="s">
        <v>1295</v>
      </c>
      <c r="G145" s="378" t="s">
        <v>826</v>
      </c>
      <c r="H145" s="378" t="s">
        <v>827</v>
      </c>
      <c r="I145" s="380">
        <v>9859.7999999999993</v>
      </c>
      <c r="J145" s="380">
        <v>1</v>
      </c>
      <c r="K145" s="381">
        <v>9859.7999999999993</v>
      </c>
    </row>
    <row r="146" spans="1:11" ht="14.4" customHeight="1" x14ac:dyDescent="0.3">
      <c r="A146" s="376" t="s">
        <v>382</v>
      </c>
      <c r="B146" s="377" t="s">
        <v>540</v>
      </c>
      <c r="C146" s="378" t="s">
        <v>387</v>
      </c>
      <c r="D146" s="379" t="s">
        <v>541</v>
      </c>
      <c r="E146" s="378" t="s">
        <v>1294</v>
      </c>
      <c r="F146" s="379" t="s">
        <v>1295</v>
      </c>
      <c r="G146" s="378" t="s">
        <v>828</v>
      </c>
      <c r="H146" s="378" t="s">
        <v>829</v>
      </c>
      <c r="I146" s="380">
        <v>171.82</v>
      </c>
      <c r="J146" s="380">
        <v>10</v>
      </c>
      <c r="K146" s="381">
        <v>1718.2</v>
      </c>
    </row>
    <row r="147" spans="1:11" ht="14.4" customHeight="1" x14ac:dyDescent="0.3">
      <c r="A147" s="376" t="s">
        <v>382</v>
      </c>
      <c r="B147" s="377" t="s">
        <v>540</v>
      </c>
      <c r="C147" s="378" t="s">
        <v>387</v>
      </c>
      <c r="D147" s="379" t="s">
        <v>541</v>
      </c>
      <c r="E147" s="378" t="s">
        <v>1294</v>
      </c>
      <c r="F147" s="379" t="s">
        <v>1295</v>
      </c>
      <c r="G147" s="378" t="s">
        <v>830</v>
      </c>
      <c r="H147" s="378" t="s">
        <v>831</v>
      </c>
      <c r="I147" s="380">
        <v>1839.22</v>
      </c>
      <c r="J147" s="380">
        <v>10</v>
      </c>
      <c r="K147" s="381">
        <v>18392.22</v>
      </c>
    </row>
    <row r="148" spans="1:11" ht="14.4" customHeight="1" x14ac:dyDescent="0.3">
      <c r="A148" s="376" t="s">
        <v>382</v>
      </c>
      <c r="B148" s="377" t="s">
        <v>540</v>
      </c>
      <c r="C148" s="378" t="s">
        <v>387</v>
      </c>
      <c r="D148" s="379" t="s">
        <v>541</v>
      </c>
      <c r="E148" s="378" t="s">
        <v>1294</v>
      </c>
      <c r="F148" s="379" t="s">
        <v>1295</v>
      </c>
      <c r="G148" s="378" t="s">
        <v>832</v>
      </c>
      <c r="H148" s="378" t="s">
        <v>833</v>
      </c>
      <c r="I148" s="380">
        <v>144.80000000000001</v>
      </c>
      <c r="J148" s="380">
        <v>10</v>
      </c>
      <c r="K148" s="381">
        <v>1448.01</v>
      </c>
    </row>
    <row r="149" spans="1:11" ht="14.4" customHeight="1" x14ac:dyDescent="0.3">
      <c r="A149" s="376" t="s">
        <v>382</v>
      </c>
      <c r="B149" s="377" t="s">
        <v>540</v>
      </c>
      <c r="C149" s="378" t="s">
        <v>387</v>
      </c>
      <c r="D149" s="379" t="s">
        <v>541</v>
      </c>
      <c r="E149" s="378" t="s">
        <v>1294</v>
      </c>
      <c r="F149" s="379" t="s">
        <v>1295</v>
      </c>
      <c r="G149" s="378" t="s">
        <v>834</v>
      </c>
      <c r="H149" s="378" t="s">
        <v>835</v>
      </c>
      <c r="I149" s="380">
        <v>115</v>
      </c>
      <c r="J149" s="380">
        <v>36</v>
      </c>
      <c r="K149" s="381">
        <v>4140</v>
      </c>
    </row>
    <row r="150" spans="1:11" ht="14.4" customHeight="1" x14ac:dyDescent="0.3">
      <c r="A150" s="376" t="s">
        <v>382</v>
      </c>
      <c r="B150" s="377" t="s">
        <v>540</v>
      </c>
      <c r="C150" s="378" t="s">
        <v>387</v>
      </c>
      <c r="D150" s="379" t="s">
        <v>541</v>
      </c>
      <c r="E150" s="378" t="s">
        <v>1294</v>
      </c>
      <c r="F150" s="379" t="s">
        <v>1295</v>
      </c>
      <c r="G150" s="378" t="s">
        <v>836</v>
      </c>
      <c r="H150" s="378" t="s">
        <v>837</v>
      </c>
      <c r="I150" s="380">
        <v>37.51</v>
      </c>
      <c r="J150" s="380">
        <v>290</v>
      </c>
      <c r="K150" s="381">
        <v>10877.9</v>
      </c>
    </row>
    <row r="151" spans="1:11" ht="14.4" customHeight="1" x14ac:dyDescent="0.3">
      <c r="A151" s="376" t="s">
        <v>382</v>
      </c>
      <c r="B151" s="377" t="s">
        <v>540</v>
      </c>
      <c r="C151" s="378" t="s">
        <v>387</v>
      </c>
      <c r="D151" s="379" t="s">
        <v>541</v>
      </c>
      <c r="E151" s="378" t="s">
        <v>1294</v>
      </c>
      <c r="F151" s="379" t="s">
        <v>1295</v>
      </c>
      <c r="G151" s="378" t="s">
        <v>838</v>
      </c>
      <c r="H151" s="378" t="s">
        <v>839</v>
      </c>
      <c r="I151" s="380">
        <v>7441.5</v>
      </c>
      <c r="J151" s="380">
        <v>1</v>
      </c>
      <c r="K151" s="381">
        <v>7441.5</v>
      </c>
    </row>
    <row r="152" spans="1:11" ht="14.4" customHeight="1" x14ac:dyDescent="0.3">
      <c r="A152" s="376" t="s">
        <v>382</v>
      </c>
      <c r="B152" s="377" t="s">
        <v>540</v>
      </c>
      <c r="C152" s="378" t="s">
        <v>387</v>
      </c>
      <c r="D152" s="379" t="s">
        <v>541</v>
      </c>
      <c r="E152" s="378" t="s">
        <v>1294</v>
      </c>
      <c r="F152" s="379" t="s">
        <v>1295</v>
      </c>
      <c r="G152" s="378" t="s">
        <v>840</v>
      </c>
      <c r="H152" s="378" t="s">
        <v>841</v>
      </c>
      <c r="I152" s="380">
        <v>6471.08</v>
      </c>
      <c r="J152" s="380">
        <v>1</v>
      </c>
      <c r="K152" s="381">
        <v>6471.08</v>
      </c>
    </row>
    <row r="153" spans="1:11" ht="14.4" customHeight="1" x14ac:dyDescent="0.3">
      <c r="A153" s="376" t="s">
        <v>382</v>
      </c>
      <c r="B153" s="377" t="s">
        <v>540</v>
      </c>
      <c r="C153" s="378" t="s">
        <v>387</v>
      </c>
      <c r="D153" s="379" t="s">
        <v>541</v>
      </c>
      <c r="E153" s="378" t="s">
        <v>1294</v>
      </c>
      <c r="F153" s="379" t="s">
        <v>1295</v>
      </c>
      <c r="G153" s="378" t="s">
        <v>842</v>
      </c>
      <c r="H153" s="378" t="s">
        <v>843</v>
      </c>
      <c r="I153" s="380">
        <v>211.75</v>
      </c>
      <c r="J153" s="380">
        <v>70</v>
      </c>
      <c r="K153" s="381">
        <v>14822.5</v>
      </c>
    </row>
    <row r="154" spans="1:11" ht="14.4" customHeight="1" x14ac:dyDescent="0.3">
      <c r="A154" s="376" t="s">
        <v>382</v>
      </c>
      <c r="B154" s="377" t="s">
        <v>540</v>
      </c>
      <c r="C154" s="378" t="s">
        <v>387</v>
      </c>
      <c r="D154" s="379" t="s">
        <v>541</v>
      </c>
      <c r="E154" s="378" t="s">
        <v>1294</v>
      </c>
      <c r="F154" s="379" t="s">
        <v>1295</v>
      </c>
      <c r="G154" s="378" t="s">
        <v>844</v>
      </c>
      <c r="H154" s="378" t="s">
        <v>845</v>
      </c>
      <c r="I154" s="380">
        <v>2306.2600000000002</v>
      </c>
      <c r="J154" s="380">
        <v>10</v>
      </c>
      <c r="K154" s="381">
        <v>23062.6</v>
      </c>
    </row>
    <row r="155" spans="1:11" ht="14.4" customHeight="1" x14ac:dyDescent="0.3">
      <c r="A155" s="376" t="s">
        <v>382</v>
      </c>
      <c r="B155" s="377" t="s">
        <v>540</v>
      </c>
      <c r="C155" s="378" t="s">
        <v>387</v>
      </c>
      <c r="D155" s="379" t="s">
        <v>541</v>
      </c>
      <c r="E155" s="378" t="s">
        <v>1294</v>
      </c>
      <c r="F155" s="379" t="s">
        <v>1295</v>
      </c>
      <c r="G155" s="378" t="s">
        <v>846</v>
      </c>
      <c r="H155" s="378" t="s">
        <v>847</v>
      </c>
      <c r="I155" s="380">
        <v>44.54</v>
      </c>
      <c r="J155" s="380">
        <v>60</v>
      </c>
      <c r="K155" s="381">
        <v>2672.37</v>
      </c>
    </row>
    <row r="156" spans="1:11" ht="14.4" customHeight="1" x14ac:dyDescent="0.3">
      <c r="A156" s="376" t="s">
        <v>382</v>
      </c>
      <c r="B156" s="377" t="s">
        <v>540</v>
      </c>
      <c r="C156" s="378" t="s">
        <v>387</v>
      </c>
      <c r="D156" s="379" t="s">
        <v>541</v>
      </c>
      <c r="E156" s="378" t="s">
        <v>1294</v>
      </c>
      <c r="F156" s="379" t="s">
        <v>1295</v>
      </c>
      <c r="G156" s="378" t="s">
        <v>848</v>
      </c>
      <c r="H156" s="378" t="s">
        <v>849</v>
      </c>
      <c r="I156" s="380">
        <v>265.45999999999998</v>
      </c>
      <c r="J156" s="380">
        <v>24</v>
      </c>
      <c r="K156" s="381">
        <v>6371</v>
      </c>
    </row>
    <row r="157" spans="1:11" ht="14.4" customHeight="1" x14ac:dyDescent="0.3">
      <c r="A157" s="376" t="s">
        <v>382</v>
      </c>
      <c r="B157" s="377" t="s">
        <v>540</v>
      </c>
      <c r="C157" s="378" t="s">
        <v>387</v>
      </c>
      <c r="D157" s="379" t="s">
        <v>541</v>
      </c>
      <c r="E157" s="378" t="s">
        <v>1294</v>
      </c>
      <c r="F157" s="379" t="s">
        <v>1295</v>
      </c>
      <c r="G157" s="378" t="s">
        <v>850</v>
      </c>
      <c r="H157" s="378" t="s">
        <v>851</v>
      </c>
      <c r="I157" s="380">
        <v>858.42</v>
      </c>
      <c r="J157" s="380">
        <v>2</v>
      </c>
      <c r="K157" s="381">
        <v>1716.85</v>
      </c>
    </row>
    <row r="158" spans="1:11" ht="14.4" customHeight="1" x14ac:dyDescent="0.3">
      <c r="A158" s="376" t="s">
        <v>382</v>
      </c>
      <c r="B158" s="377" t="s">
        <v>540</v>
      </c>
      <c r="C158" s="378" t="s">
        <v>387</v>
      </c>
      <c r="D158" s="379" t="s">
        <v>541</v>
      </c>
      <c r="E158" s="378" t="s">
        <v>1294</v>
      </c>
      <c r="F158" s="379" t="s">
        <v>1295</v>
      </c>
      <c r="G158" s="378" t="s">
        <v>852</v>
      </c>
      <c r="H158" s="378" t="s">
        <v>853</v>
      </c>
      <c r="I158" s="380">
        <v>5002.32</v>
      </c>
      <c r="J158" s="380">
        <v>2</v>
      </c>
      <c r="K158" s="381">
        <v>10004.65</v>
      </c>
    </row>
    <row r="159" spans="1:11" ht="14.4" customHeight="1" x14ac:dyDescent="0.3">
      <c r="A159" s="376" t="s">
        <v>382</v>
      </c>
      <c r="B159" s="377" t="s">
        <v>540</v>
      </c>
      <c r="C159" s="378" t="s">
        <v>387</v>
      </c>
      <c r="D159" s="379" t="s">
        <v>541</v>
      </c>
      <c r="E159" s="378" t="s">
        <v>1294</v>
      </c>
      <c r="F159" s="379" t="s">
        <v>1295</v>
      </c>
      <c r="G159" s="378" t="s">
        <v>854</v>
      </c>
      <c r="H159" s="378" t="s">
        <v>855</v>
      </c>
      <c r="I159" s="380">
        <v>48.28</v>
      </c>
      <c r="J159" s="380">
        <v>350</v>
      </c>
      <c r="K159" s="381">
        <v>16897.79</v>
      </c>
    </row>
    <row r="160" spans="1:11" ht="14.4" customHeight="1" x14ac:dyDescent="0.3">
      <c r="A160" s="376" t="s">
        <v>382</v>
      </c>
      <c r="B160" s="377" t="s">
        <v>540</v>
      </c>
      <c r="C160" s="378" t="s">
        <v>387</v>
      </c>
      <c r="D160" s="379" t="s">
        <v>541</v>
      </c>
      <c r="E160" s="378" t="s">
        <v>1294</v>
      </c>
      <c r="F160" s="379" t="s">
        <v>1295</v>
      </c>
      <c r="G160" s="378" t="s">
        <v>856</v>
      </c>
      <c r="H160" s="378" t="s">
        <v>857</v>
      </c>
      <c r="I160" s="380">
        <v>48.28</v>
      </c>
      <c r="J160" s="380">
        <v>250</v>
      </c>
      <c r="K160" s="381">
        <v>12069.82</v>
      </c>
    </row>
    <row r="161" spans="1:11" ht="14.4" customHeight="1" x14ac:dyDescent="0.3">
      <c r="A161" s="376" t="s">
        <v>382</v>
      </c>
      <c r="B161" s="377" t="s">
        <v>540</v>
      </c>
      <c r="C161" s="378" t="s">
        <v>387</v>
      </c>
      <c r="D161" s="379" t="s">
        <v>541</v>
      </c>
      <c r="E161" s="378" t="s">
        <v>1294</v>
      </c>
      <c r="F161" s="379" t="s">
        <v>1295</v>
      </c>
      <c r="G161" s="378" t="s">
        <v>858</v>
      </c>
      <c r="H161" s="378" t="s">
        <v>859</v>
      </c>
      <c r="I161" s="380">
        <v>48.28</v>
      </c>
      <c r="J161" s="380">
        <v>200</v>
      </c>
      <c r="K161" s="381">
        <v>9655.869999999999</v>
      </c>
    </row>
    <row r="162" spans="1:11" ht="14.4" customHeight="1" x14ac:dyDescent="0.3">
      <c r="A162" s="376" t="s">
        <v>382</v>
      </c>
      <c r="B162" s="377" t="s">
        <v>540</v>
      </c>
      <c r="C162" s="378" t="s">
        <v>387</v>
      </c>
      <c r="D162" s="379" t="s">
        <v>541</v>
      </c>
      <c r="E162" s="378" t="s">
        <v>1294</v>
      </c>
      <c r="F162" s="379" t="s">
        <v>1295</v>
      </c>
      <c r="G162" s="378" t="s">
        <v>860</v>
      </c>
      <c r="H162" s="378" t="s">
        <v>861</v>
      </c>
      <c r="I162" s="380">
        <v>233.44</v>
      </c>
      <c r="J162" s="380">
        <v>40</v>
      </c>
      <c r="K162" s="381">
        <v>9337.59</v>
      </c>
    </row>
    <row r="163" spans="1:11" ht="14.4" customHeight="1" x14ac:dyDescent="0.3">
      <c r="A163" s="376" t="s">
        <v>382</v>
      </c>
      <c r="B163" s="377" t="s">
        <v>540</v>
      </c>
      <c r="C163" s="378" t="s">
        <v>387</v>
      </c>
      <c r="D163" s="379" t="s">
        <v>541</v>
      </c>
      <c r="E163" s="378" t="s">
        <v>1296</v>
      </c>
      <c r="F163" s="379" t="s">
        <v>1297</v>
      </c>
      <c r="G163" s="378" t="s">
        <v>862</v>
      </c>
      <c r="H163" s="378" t="s">
        <v>863</v>
      </c>
      <c r="I163" s="380">
        <v>689.69</v>
      </c>
      <c r="J163" s="380">
        <v>1</v>
      </c>
      <c r="K163" s="381">
        <v>689.69</v>
      </c>
    </row>
    <row r="164" spans="1:11" ht="14.4" customHeight="1" x14ac:dyDescent="0.3">
      <c r="A164" s="376" t="s">
        <v>382</v>
      </c>
      <c r="B164" s="377" t="s">
        <v>540</v>
      </c>
      <c r="C164" s="378" t="s">
        <v>387</v>
      </c>
      <c r="D164" s="379" t="s">
        <v>541</v>
      </c>
      <c r="E164" s="378" t="s">
        <v>1298</v>
      </c>
      <c r="F164" s="379" t="s">
        <v>1299</v>
      </c>
      <c r="G164" s="378" t="s">
        <v>864</v>
      </c>
      <c r="H164" s="378" t="s">
        <v>865</v>
      </c>
      <c r="I164" s="380">
        <v>992.30499999999995</v>
      </c>
      <c r="J164" s="380">
        <v>192</v>
      </c>
      <c r="K164" s="381">
        <v>190522.73000000004</v>
      </c>
    </row>
    <row r="165" spans="1:11" ht="14.4" customHeight="1" x14ac:dyDescent="0.3">
      <c r="A165" s="376" t="s">
        <v>382</v>
      </c>
      <c r="B165" s="377" t="s">
        <v>540</v>
      </c>
      <c r="C165" s="378" t="s">
        <v>387</v>
      </c>
      <c r="D165" s="379" t="s">
        <v>541</v>
      </c>
      <c r="E165" s="378" t="s">
        <v>1298</v>
      </c>
      <c r="F165" s="379" t="s">
        <v>1299</v>
      </c>
      <c r="G165" s="378" t="s">
        <v>866</v>
      </c>
      <c r="H165" s="378" t="s">
        <v>867</v>
      </c>
      <c r="I165" s="380">
        <v>1794.1781818181821</v>
      </c>
      <c r="J165" s="380">
        <v>660</v>
      </c>
      <c r="K165" s="381">
        <v>1184156.81</v>
      </c>
    </row>
    <row r="166" spans="1:11" ht="14.4" customHeight="1" x14ac:dyDescent="0.3">
      <c r="A166" s="376" t="s">
        <v>382</v>
      </c>
      <c r="B166" s="377" t="s">
        <v>540</v>
      </c>
      <c r="C166" s="378" t="s">
        <v>387</v>
      </c>
      <c r="D166" s="379" t="s">
        <v>541</v>
      </c>
      <c r="E166" s="378" t="s">
        <v>1298</v>
      </c>
      <c r="F166" s="379" t="s">
        <v>1299</v>
      </c>
      <c r="G166" s="378" t="s">
        <v>868</v>
      </c>
      <c r="H166" s="378" t="s">
        <v>869</v>
      </c>
      <c r="I166" s="380">
        <v>87654.338000000003</v>
      </c>
      <c r="J166" s="380">
        <v>19</v>
      </c>
      <c r="K166" s="381">
        <v>1665304.6400000001</v>
      </c>
    </row>
    <row r="167" spans="1:11" ht="14.4" customHeight="1" x14ac:dyDescent="0.3">
      <c r="A167" s="376" t="s">
        <v>382</v>
      </c>
      <c r="B167" s="377" t="s">
        <v>540</v>
      </c>
      <c r="C167" s="378" t="s">
        <v>387</v>
      </c>
      <c r="D167" s="379" t="s">
        <v>541</v>
      </c>
      <c r="E167" s="378" t="s">
        <v>1298</v>
      </c>
      <c r="F167" s="379" t="s">
        <v>1299</v>
      </c>
      <c r="G167" s="378" t="s">
        <v>870</v>
      </c>
      <c r="H167" s="378" t="s">
        <v>871</v>
      </c>
      <c r="I167" s="380">
        <v>87673.500000000015</v>
      </c>
      <c r="J167" s="380">
        <v>19</v>
      </c>
      <c r="K167" s="381">
        <v>1665687.9300000002</v>
      </c>
    </row>
    <row r="168" spans="1:11" ht="14.4" customHeight="1" x14ac:dyDescent="0.3">
      <c r="A168" s="376" t="s">
        <v>382</v>
      </c>
      <c r="B168" s="377" t="s">
        <v>540</v>
      </c>
      <c r="C168" s="378" t="s">
        <v>387</v>
      </c>
      <c r="D168" s="379" t="s">
        <v>541</v>
      </c>
      <c r="E168" s="378" t="s">
        <v>1298</v>
      </c>
      <c r="F168" s="379" t="s">
        <v>1299</v>
      </c>
      <c r="G168" s="378" t="s">
        <v>872</v>
      </c>
      <c r="H168" s="378" t="s">
        <v>873</v>
      </c>
      <c r="I168" s="380">
        <v>796.89</v>
      </c>
      <c r="J168" s="380">
        <v>200</v>
      </c>
      <c r="K168" s="381">
        <v>159451.38</v>
      </c>
    </row>
    <row r="169" spans="1:11" ht="14.4" customHeight="1" x14ac:dyDescent="0.3">
      <c r="A169" s="376" t="s">
        <v>382</v>
      </c>
      <c r="B169" s="377" t="s">
        <v>540</v>
      </c>
      <c r="C169" s="378" t="s">
        <v>387</v>
      </c>
      <c r="D169" s="379" t="s">
        <v>541</v>
      </c>
      <c r="E169" s="378" t="s">
        <v>1298</v>
      </c>
      <c r="F169" s="379" t="s">
        <v>1299</v>
      </c>
      <c r="G169" s="378" t="s">
        <v>874</v>
      </c>
      <c r="H169" s="378" t="s">
        <v>875</v>
      </c>
      <c r="I169" s="380">
        <v>995.22416666666686</v>
      </c>
      <c r="J169" s="380">
        <v>240</v>
      </c>
      <c r="K169" s="381">
        <v>238854</v>
      </c>
    </row>
    <row r="170" spans="1:11" ht="14.4" customHeight="1" x14ac:dyDescent="0.3">
      <c r="A170" s="376" t="s">
        <v>382</v>
      </c>
      <c r="B170" s="377" t="s">
        <v>540</v>
      </c>
      <c r="C170" s="378" t="s">
        <v>387</v>
      </c>
      <c r="D170" s="379" t="s">
        <v>541</v>
      </c>
      <c r="E170" s="378" t="s">
        <v>1298</v>
      </c>
      <c r="F170" s="379" t="s">
        <v>1299</v>
      </c>
      <c r="G170" s="378" t="s">
        <v>876</v>
      </c>
      <c r="H170" s="378" t="s">
        <v>877</v>
      </c>
      <c r="I170" s="380">
        <v>1176.5241666666668</v>
      </c>
      <c r="J170" s="380">
        <v>240</v>
      </c>
      <c r="K170" s="381">
        <v>282366.01999999996</v>
      </c>
    </row>
    <row r="171" spans="1:11" ht="14.4" customHeight="1" x14ac:dyDescent="0.3">
      <c r="A171" s="376" t="s">
        <v>382</v>
      </c>
      <c r="B171" s="377" t="s">
        <v>540</v>
      </c>
      <c r="C171" s="378" t="s">
        <v>387</v>
      </c>
      <c r="D171" s="379" t="s">
        <v>541</v>
      </c>
      <c r="E171" s="378" t="s">
        <v>1298</v>
      </c>
      <c r="F171" s="379" t="s">
        <v>1299</v>
      </c>
      <c r="G171" s="378" t="s">
        <v>878</v>
      </c>
      <c r="H171" s="378" t="s">
        <v>879</v>
      </c>
      <c r="I171" s="380">
        <v>127497.21333333333</v>
      </c>
      <c r="J171" s="380">
        <v>21</v>
      </c>
      <c r="K171" s="381">
        <v>2677348.6100000003</v>
      </c>
    </row>
    <row r="172" spans="1:11" ht="14.4" customHeight="1" x14ac:dyDescent="0.3">
      <c r="A172" s="376" t="s">
        <v>382</v>
      </c>
      <c r="B172" s="377" t="s">
        <v>540</v>
      </c>
      <c r="C172" s="378" t="s">
        <v>387</v>
      </c>
      <c r="D172" s="379" t="s">
        <v>541</v>
      </c>
      <c r="E172" s="378" t="s">
        <v>1298</v>
      </c>
      <c r="F172" s="379" t="s">
        <v>1299</v>
      </c>
      <c r="G172" s="378" t="s">
        <v>880</v>
      </c>
      <c r="H172" s="378" t="s">
        <v>881</v>
      </c>
      <c r="I172" s="380">
        <v>107924.692</v>
      </c>
      <c r="J172" s="380">
        <v>17</v>
      </c>
      <c r="K172" s="381">
        <v>1835688.0900000003</v>
      </c>
    </row>
    <row r="173" spans="1:11" ht="14.4" customHeight="1" x14ac:dyDescent="0.3">
      <c r="A173" s="376" t="s">
        <v>382</v>
      </c>
      <c r="B173" s="377" t="s">
        <v>540</v>
      </c>
      <c r="C173" s="378" t="s">
        <v>387</v>
      </c>
      <c r="D173" s="379" t="s">
        <v>541</v>
      </c>
      <c r="E173" s="378" t="s">
        <v>1298</v>
      </c>
      <c r="F173" s="379" t="s">
        <v>1299</v>
      </c>
      <c r="G173" s="378" t="s">
        <v>880</v>
      </c>
      <c r="H173" s="378" t="s">
        <v>882</v>
      </c>
      <c r="I173" s="380">
        <v>106007.62</v>
      </c>
      <c r="J173" s="380">
        <v>4</v>
      </c>
      <c r="K173" s="381">
        <v>424030.46</v>
      </c>
    </row>
    <row r="174" spans="1:11" ht="14.4" customHeight="1" x14ac:dyDescent="0.3">
      <c r="A174" s="376" t="s">
        <v>382</v>
      </c>
      <c r="B174" s="377" t="s">
        <v>540</v>
      </c>
      <c r="C174" s="378" t="s">
        <v>387</v>
      </c>
      <c r="D174" s="379" t="s">
        <v>541</v>
      </c>
      <c r="E174" s="378" t="s">
        <v>1298</v>
      </c>
      <c r="F174" s="379" t="s">
        <v>1299</v>
      </c>
      <c r="G174" s="378" t="s">
        <v>883</v>
      </c>
      <c r="H174" s="378" t="s">
        <v>884</v>
      </c>
      <c r="I174" s="380">
        <v>14028.74</v>
      </c>
      <c r="J174" s="380">
        <v>4</v>
      </c>
      <c r="K174" s="381">
        <v>56114.96</v>
      </c>
    </row>
    <row r="175" spans="1:11" ht="14.4" customHeight="1" x14ac:dyDescent="0.3">
      <c r="A175" s="376" t="s">
        <v>382</v>
      </c>
      <c r="B175" s="377" t="s">
        <v>540</v>
      </c>
      <c r="C175" s="378" t="s">
        <v>387</v>
      </c>
      <c r="D175" s="379" t="s">
        <v>541</v>
      </c>
      <c r="E175" s="378" t="s">
        <v>1298</v>
      </c>
      <c r="F175" s="379" t="s">
        <v>1299</v>
      </c>
      <c r="G175" s="378" t="s">
        <v>885</v>
      </c>
      <c r="H175" s="378" t="s">
        <v>886</v>
      </c>
      <c r="I175" s="380">
        <v>602.87</v>
      </c>
      <c r="J175" s="380">
        <v>20</v>
      </c>
      <c r="K175" s="381">
        <v>12057.41</v>
      </c>
    </row>
    <row r="176" spans="1:11" ht="14.4" customHeight="1" x14ac:dyDescent="0.3">
      <c r="A176" s="376" t="s">
        <v>382</v>
      </c>
      <c r="B176" s="377" t="s">
        <v>540</v>
      </c>
      <c r="C176" s="378" t="s">
        <v>387</v>
      </c>
      <c r="D176" s="379" t="s">
        <v>541</v>
      </c>
      <c r="E176" s="378" t="s">
        <v>1298</v>
      </c>
      <c r="F176" s="379" t="s">
        <v>1299</v>
      </c>
      <c r="G176" s="378" t="s">
        <v>887</v>
      </c>
      <c r="H176" s="378" t="s">
        <v>888</v>
      </c>
      <c r="I176" s="380">
        <v>598.95000000000005</v>
      </c>
      <c r="J176" s="380">
        <v>20</v>
      </c>
      <c r="K176" s="381">
        <v>11979</v>
      </c>
    </row>
    <row r="177" spans="1:11" ht="14.4" customHeight="1" x14ac:dyDescent="0.3">
      <c r="A177" s="376" t="s">
        <v>382</v>
      </c>
      <c r="B177" s="377" t="s">
        <v>540</v>
      </c>
      <c r="C177" s="378" t="s">
        <v>387</v>
      </c>
      <c r="D177" s="379" t="s">
        <v>541</v>
      </c>
      <c r="E177" s="378" t="s">
        <v>1298</v>
      </c>
      <c r="F177" s="379" t="s">
        <v>1299</v>
      </c>
      <c r="G177" s="378" t="s">
        <v>889</v>
      </c>
      <c r="H177" s="378" t="s">
        <v>890</v>
      </c>
      <c r="I177" s="380">
        <v>425.31</v>
      </c>
      <c r="J177" s="380">
        <v>10</v>
      </c>
      <c r="K177" s="381">
        <v>4253.1499999999996</v>
      </c>
    </row>
    <row r="178" spans="1:11" ht="14.4" customHeight="1" x14ac:dyDescent="0.3">
      <c r="A178" s="376" t="s">
        <v>382</v>
      </c>
      <c r="B178" s="377" t="s">
        <v>540</v>
      </c>
      <c r="C178" s="378" t="s">
        <v>387</v>
      </c>
      <c r="D178" s="379" t="s">
        <v>541</v>
      </c>
      <c r="E178" s="378" t="s">
        <v>1298</v>
      </c>
      <c r="F178" s="379" t="s">
        <v>1299</v>
      </c>
      <c r="G178" s="378" t="s">
        <v>891</v>
      </c>
      <c r="H178" s="378" t="s">
        <v>892</v>
      </c>
      <c r="I178" s="380">
        <v>5315.53</v>
      </c>
      <c r="J178" s="380">
        <v>2</v>
      </c>
      <c r="K178" s="381">
        <v>10631.06</v>
      </c>
    </row>
    <row r="179" spans="1:11" ht="14.4" customHeight="1" x14ac:dyDescent="0.3">
      <c r="A179" s="376" t="s">
        <v>382</v>
      </c>
      <c r="B179" s="377" t="s">
        <v>540</v>
      </c>
      <c r="C179" s="378" t="s">
        <v>387</v>
      </c>
      <c r="D179" s="379" t="s">
        <v>541</v>
      </c>
      <c r="E179" s="378" t="s">
        <v>1298</v>
      </c>
      <c r="F179" s="379" t="s">
        <v>1299</v>
      </c>
      <c r="G179" s="378" t="s">
        <v>893</v>
      </c>
      <c r="H179" s="378" t="s">
        <v>894</v>
      </c>
      <c r="I179" s="380">
        <v>590.91999999999996</v>
      </c>
      <c r="J179" s="380">
        <v>90</v>
      </c>
      <c r="K179" s="381">
        <v>53182.51</v>
      </c>
    </row>
    <row r="180" spans="1:11" ht="14.4" customHeight="1" x14ac:dyDescent="0.3">
      <c r="A180" s="376" t="s">
        <v>382</v>
      </c>
      <c r="B180" s="377" t="s">
        <v>540</v>
      </c>
      <c r="C180" s="378" t="s">
        <v>387</v>
      </c>
      <c r="D180" s="379" t="s">
        <v>541</v>
      </c>
      <c r="E180" s="378" t="s">
        <v>1298</v>
      </c>
      <c r="F180" s="379" t="s">
        <v>1299</v>
      </c>
      <c r="G180" s="378" t="s">
        <v>895</v>
      </c>
      <c r="H180" s="378" t="s">
        <v>896</v>
      </c>
      <c r="I180" s="380">
        <v>358.77</v>
      </c>
      <c r="J180" s="380">
        <v>90</v>
      </c>
      <c r="K180" s="381">
        <v>32289.38</v>
      </c>
    </row>
    <row r="181" spans="1:11" ht="14.4" customHeight="1" x14ac:dyDescent="0.3">
      <c r="A181" s="376" t="s">
        <v>382</v>
      </c>
      <c r="B181" s="377" t="s">
        <v>540</v>
      </c>
      <c r="C181" s="378" t="s">
        <v>387</v>
      </c>
      <c r="D181" s="379" t="s">
        <v>541</v>
      </c>
      <c r="E181" s="378" t="s">
        <v>1298</v>
      </c>
      <c r="F181" s="379" t="s">
        <v>1299</v>
      </c>
      <c r="G181" s="378" t="s">
        <v>897</v>
      </c>
      <c r="H181" s="378" t="s">
        <v>898</v>
      </c>
      <c r="I181" s="380">
        <v>87622.39</v>
      </c>
      <c r="J181" s="380">
        <v>2</v>
      </c>
      <c r="K181" s="381">
        <v>175244.78</v>
      </c>
    </row>
    <row r="182" spans="1:11" ht="14.4" customHeight="1" x14ac:dyDescent="0.3">
      <c r="A182" s="376" t="s">
        <v>382</v>
      </c>
      <c r="B182" s="377" t="s">
        <v>540</v>
      </c>
      <c r="C182" s="378" t="s">
        <v>387</v>
      </c>
      <c r="D182" s="379" t="s">
        <v>541</v>
      </c>
      <c r="E182" s="378" t="s">
        <v>1298</v>
      </c>
      <c r="F182" s="379" t="s">
        <v>1299</v>
      </c>
      <c r="G182" s="378" t="s">
        <v>899</v>
      </c>
      <c r="H182" s="378" t="s">
        <v>900</v>
      </c>
      <c r="I182" s="380">
        <v>95588.07</v>
      </c>
      <c r="J182" s="380">
        <v>2</v>
      </c>
      <c r="K182" s="381">
        <v>191176.13</v>
      </c>
    </row>
    <row r="183" spans="1:11" ht="14.4" customHeight="1" x14ac:dyDescent="0.3">
      <c r="A183" s="376" t="s">
        <v>382</v>
      </c>
      <c r="B183" s="377" t="s">
        <v>540</v>
      </c>
      <c r="C183" s="378" t="s">
        <v>387</v>
      </c>
      <c r="D183" s="379" t="s">
        <v>541</v>
      </c>
      <c r="E183" s="378" t="s">
        <v>1300</v>
      </c>
      <c r="F183" s="379" t="s">
        <v>1301</v>
      </c>
      <c r="G183" s="378" t="s">
        <v>901</v>
      </c>
      <c r="H183" s="378" t="s">
        <v>902</v>
      </c>
      <c r="I183" s="380">
        <v>95.72</v>
      </c>
      <c r="J183" s="380">
        <v>30</v>
      </c>
      <c r="K183" s="381">
        <v>2871.65</v>
      </c>
    </row>
    <row r="184" spans="1:11" ht="14.4" customHeight="1" x14ac:dyDescent="0.3">
      <c r="A184" s="376" t="s">
        <v>382</v>
      </c>
      <c r="B184" s="377" t="s">
        <v>540</v>
      </c>
      <c r="C184" s="378" t="s">
        <v>387</v>
      </c>
      <c r="D184" s="379" t="s">
        <v>541</v>
      </c>
      <c r="E184" s="378" t="s">
        <v>1302</v>
      </c>
      <c r="F184" s="379" t="s">
        <v>1303</v>
      </c>
      <c r="G184" s="378" t="s">
        <v>903</v>
      </c>
      <c r="H184" s="378" t="s">
        <v>904</v>
      </c>
      <c r="I184" s="380">
        <v>8.17</v>
      </c>
      <c r="J184" s="380">
        <v>40</v>
      </c>
      <c r="K184" s="381">
        <v>326.8</v>
      </c>
    </row>
    <row r="185" spans="1:11" ht="14.4" customHeight="1" x14ac:dyDescent="0.3">
      <c r="A185" s="376" t="s">
        <v>382</v>
      </c>
      <c r="B185" s="377" t="s">
        <v>540</v>
      </c>
      <c r="C185" s="378" t="s">
        <v>387</v>
      </c>
      <c r="D185" s="379" t="s">
        <v>541</v>
      </c>
      <c r="E185" s="378" t="s">
        <v>1302</v>
      </c>
      <c r="F185" s="379" t="s">
        <v>1303</v>
      </c>
      <c r="G185" s="378" t="s">
        <v>905</v>
      </c>
      <c r="H185" s="378" t="s">
        <v>906</v>
      </c>
      <c r="I185" s="380">
        <v>46.59</v>
      </c>
      <c r="J185" s="380">
        <v>280</v>
      </c>
      <c r="K185" s="381">
        <v>13043.8</v>
      </c>
    </row>
    <row r="186" spans="1:11" ht="14.4" customHeight="1" x14ac:dyDescent="0.3">
      <c r="A186" s="376" t="s">
        <v>382</v>
      </c>
      <c r="B186" s="377" t="s">
        <v>540</v>
      </c>
      <c r="C186" s="378" t="s">
        <v>387</v>
      </c>
      <c r="D186" s="379" t="s">
        <v>541</v>
      </c>
      <c r="E186" s="378" t="s">
        <v>1302</v>
      </c>
      <c r="F186" s="379" t="s">
        <v>1303</v>
      </c>
      <c r="G186" s="378" t="s">
        <v>907</v>
      </c>
      <c r="H186" s="378" t="s">
        <v>908</v>
      </c>
      <c r="I186" s="380">
        <v>6125.13</v>
      </c>
      <c r="J186" s="380">
        <v>4</v>
      </c>
      <c r="K186" s="381">
        <v>24500.52</v>
      </c>
    </row>
    <row r="187" spans="1:11" ht="14.4" customHeight="1" x14ac:dyDescent="0.3">
      <c r="A187" s="376" t="s">
        <v>382</v>
      </c>
      <c r="B187" s="377" t="s">
        <v>540</v>
      </c>
      <c r="C187" s="378" t="s">
        <v>387</v>
      </c>
      <c r="D187" s="379" t="s">
        <v>541</v>
      </c>
      <c r="E187" s="378" t="s">
        <v>1304</v>
      </c>
      <c r="F187" s="379" t="s">
        <v>1305</v>
      </c>
      <c r="G187" s="378" t="s">
        <v>909</v>
      </c>
      <c r="H187" s="378" t="s">
        <v>910</v>
      </c>
      <c r="I187" s="380">
        <v>131.47</v>
      </c>
      <c r="J187" s="380">
        <v>204</v>
      </c>
      <c r="K187" s="381">
        <v>26820.65</v>
      </c>
    </row>
    <row r="188" spans="1:11" ht="14.4" customHeight="1" x14ac:dyDescent="0.3">
      <c r="A188" s="376" t="s">
        <v>382</v>
      </c>
      <c r="B188" s="377" t="s">
        <v>540</v>
      </c>
      <c r="C188" s="378" t="s">
        <v>387</v>
      </c>
      <c r="D188" s="379" t="s">
        <v>541</v>
      </c>
      <c r="E188" s="378" t="s">
        <v>1304</v>
      </c>
      <c r="F188" s="379" t="s">
        <v>1305</v>
      </c>
      <c r="G188" s="378" t="s">
        <v>911</v>
      </c>
      <c r="H188" s="378" t="s">
        <v>912</v>
      </c>
      <c r="I188" s="380">
        <v>234.44000000000003</v>
      </c>
      <c r="J188" s="380">
        <v>492</v>
      </c>
      <c r="K188" s="381">
        <v>115343.2</v>
      </c>
    </row>
    <row r="189" spans="1:11" ht="14.4" customHeight="1" x14ac:dyDescent="0.3">
      <c r="A189" s="376" t="s">
        <v>382</v>
      </c>
      <c r="B189" s="377" t="s">
        <v>540</v>
      </c>
      <c r="C189" s="378" t="s">
        <v>387</v>
      </c>
      <c r="D189" s="379" t="s">
        <v>541</v>
      </c>
      <c r="E189" s="378" t="s">
        <v>1304</v>
      </c>
      <c r="F189" s="379" t="s">
        <v>1305</v>
      </c>
      <c r="G189" s="378" t="s">
        <v>913</v>
      </c>
      <c r="H189" s="378" t="s">
        <v>914</v>
      </c>
      <c r="I189" s="380">
        <v>59.77</v>
      </c>
      <c r="J189" s="380">
        <v>360</v>
      </c>
      <c r="K189" s="381">
        <v>21518.48</v>
      </c>
    </row>
    <row r="190" spans="1:11" ht="14.4" customHeight="1" x14ac:dyDescent="0.3">
      <c r="A190" s="376" t="s">
        <v>382</v>
      </c>
      <c r="B190" s="377" t="s">
        <v>540</v>
      </c>
      <c r="C190" s="378" t="s">
        <v>387</v>
      </c>
      <c r="D190" s="379" t="s">
        <v>541</v>
      </c>
      <c r="E190" s="378" t="s">
        <v>1304</v>
      </c>
      <c r="F190" s="379" t="s">
        <v>1305</v>
      </c>
      <c r="G190" s="378" t="s">
        <v>915</v>
      </c>
      <c r="H190" s="378" t="s">
        <v>916</v>
      </c>
      <c r="I190" s="380">
        <v>32.660000000000004</v>
      </c>
      <c r="J190" s="380">
        <v>1656</v>
      </c>
      <c r="K190" s="381">
        <v>54581.760000000002</v>
      </c>
    </row>
    <row r="191" spans="1:11" ht="14.4" customHeight="1" x14ac:dyDescent="0.3">
      <c r="A191" s="376" t="s">
        <v>382</v>
      </c>
      <c r="B191" s="377" t="s">
        <v>540</v>
      </c>
      <c r="C191" s="378" t="s">
        <v>387</v>
      </c>
      <c r="D191" s="379" t="s">
        <v>541</v>
      </c>
      <c r="E191" s="378" t="s">
        <v>1304</v>
      </c>
      <c r="F191" s="379" t="s">
        <v>1305</v>
      </c>
      <c r="G191" s="378" t="s">
        <v>917</v>
      </c>
      <c r="H191" s="378" t="s">
        <v>918</v>
      </c>
      <c r="I191" s="380">
        <v>28.099999999999998</v>
      </c>
      <c r="J191" s="380">
        <v>144</v>
      </c>
      <c r="K191" s="381">
        <v>4046.44</v>
      </c>
    </row>
    <row r="192" spans="1:11" ht="14.4" customHeight="1" x14ac:dyDescent="0.3">
      <c r="A192" s="376" t="s">
        <v>382</v>
      </c>
      <c r="B192" s="377" t="s">
        <v>540</v>
      </c>
      <c r="C192" s="378" t="s">
        <v>387</v>
      </c>
      <c r="D192" s="379" t="s">
        <v>541</v>
      </c>
      <c r="E192" s="378" t="s">
        <v>1304</v>
      </c>
      <c r="F192" s="379" t="s">
        <v>1305</v>
      </c>
      <c r="G192" s="378" t="s">
        <v>919</v>
      </c>
      <c r="H192" s="378" t="s">
        <v>920</v>
      </c>
      <c r="I192" s="380">
        <v>414.29</v>
      </c>
      <c r="J192" s="380">
        <v>24</v>
      </c>
      <c r="K192" s="381">
        <v>9942.9</v>
      </c>
    </row>
    <row r="193" spans="1:11" ht="14.4" customHeight="1" x14ac:dyDescent="0.3">
      <c r="A193" s="376" t="s">
        <v>382</v>
      </c>
      <c r="B193" s="377" t="s">
        <v>540</v>
      </c>
      <c r="C193" s="378" t="s">
        <v>387</v>
      </c>
      <c r="D193" s="379" t="s">
        <v>541</v>
      </c>
      <c r="E193" s="378" t="s">
        <v>1304</v>
      </c>
      <c r="F193" s="379" t="s">
        <v>1305</v>
      </c>
      <c r="G193" s="378" t="s">
        <v>921</v>
      </c>
      <c r="H193" s="378" t="s">
        <v>922</v>
      </c>
      <c r="I193" s="380">
        <v>47.40857142857142</v>
      </c>
      <c r="J193" s="380">
        <v>1764</v>
      </c>
      <c r="K193" s="381">
        <v>84311.900000000009</v>
      </c>
    </row>
    <row r="194" spans="1:11" ht="14.4" customHeight="1" x14ac:dyDescent="0.3">
      <c r="A194" s="376" t="s">
        <v>382</v>
      </c>
      <c r="B194" s="377" t="s">
        <v>540</v>
      </c>
      <c r="C194" s="378" t="s">
        <v>387</v>
      </c>
      <c r="D194" s="379" t="s">
        <v>541</v>
      </c>
      <c r="E194" s="378" t="s">
        <v>1304</v>
      </c>
      <c r="F194" s="379" t="s">
        <v>1305</v>
      </c>
      <c r="G194" s="378" t="s">
        <v>923</v>
      </c>
      <c r="H194" s="378" t="s">
        <v>924</v>
      </c>
      <c r="I194" s="380">
        <v>47.46</v>
      </c>
      <c r="J194" s="380">
        <v>1188</v>
      </c>
      <c r="K194" s="381">
        <v>53794.479999999996</v>
      </c>
    </row>
    <row r="195" spans="1:11" ht="14.4" customHeight="1" x14ac:dyDescent="0.3">
      <c r="A195" s="376" t="s">
        <v>382</v>
      </c>
      <c r="B195" s="377" t="s">
        <v>540</v>
      </c>
      <c r="C195" s="378" t="s">
        <v>387</v>
      </c>
      <c r="D195" s="379" t="s">
        <v>541</v>
      </c>
      <c r="E195" s="378" t="s">
        <v>1304</v>
      </c>
      <c r="F195" s="379" t="s">
        <v>1305</v>
      </c>
      <c r="G195" s="378" t="s">
        <v>925</v>
      </c>
      <c r="H195" s="378" t="s">
        <v>926</v>
      </c>
      <c r="I195" s="380">
        <v>47.744</v>
      </c>
      <c r="J195" s="380">
        <v>720</v>
      </c>
      <c r="K195" s="381">
        <v>34802.99</v>
      </c>
    </row>
    <row r="196" spans="1:11" ht="14.4" customHeight="1" x14ac:dyDescent="0.3">
      <c r="A196" s="376" t="s">
        <v>382</v>
      </c>
      <c r="B196" s="377" t="s">
        <v>540</v>
      </c>
      <c r="C196" s="378" t="s">
        <v>387</v>
      </c>
      <c r="D196" s="379" t="s">
        <v>541</v>
      </c>
      <c r="E196" s="378" t="s">
        <v>1304</v>
      </c>
      <c r="F196" s="379" t="s">
        <v>1305</v>
      </c>
      <c r="G196" s="378" t="s">
        <v>927</v>
      </c>
      <c r="H196" s="378" t="s">
        <v>928</v>
      </c>
      <c r="I196" s="380">
        <v>32.973749999999995</v>
      </c>
      <c r="J196" s="380">
        <v>2520</v>
      </c>
      <c r="K196" s="381">
        <v>84055.390000000014</v>
      </c>
    </row>
    <row r="197" spans="1:11" ht="14.4" customHeight="1" x14ac:dyDescent="0.3">
      <c r="A197" s="376" t="s">
        <v>382</v>
      </c>
      <c r="B197" s="377" t="s">
        <v>540</v>
      </c>
      <c r="C197" s="378" t="s">
        <v>387</v>
      </c>
      <c r="D197" s="379" t="s">
        <v>541</v>
      </c>
      <c r="E197" s="378" t="s">
        <v>1304</v>
      </c>
      <c r="F197" s="379" t="s">
        <v>1305</v>
      </c>
      <c r="G197" s="378" t="s">
        <v>929</v>
      </c>
      <c r="H197" s="378" t="s">
        <v>930</v>
      </c>
      <c r="I197" s="380">
        <v>47.35</v>
      </c>
      <c r="J197" s="380">
        <v>1188</v>
      </c>
      <c r="K197" s="381">
        <v>55351.709999999992</v>
      </c>
    </row>
    <row r="198" spans="1:11" ht="14.4" customHeight="1" x14ac:dyDescent="0.3">
      <c r="A198" s="376" t="s">
        <v>382</v>
      </c>
      <c r="B198" s="377" t="s">
        <v>540</v>
      </c>
      <c r="C198" s="378" t="s">
        <v>387</v>
      </c>
      <c r="D198" s="379" t="s">
        <v>541</v>
      </c>
      <c r="E198" s="378" t="s">
        <v>1304</v>
      </c>
      <c r="F198" s="379" t="s">
        <v>1305</v>
      </c>
      <c r="G198" s="378" t="s">
        <v>931</v>
      </c>
      <c r="H198" s="378" t="s">
        <v>932</v>
      </c>
      <c r="I198" s="380">
        <v>44.082000000000001</v>
      </c>
      <c r="J198" s="380">
        <v>444</v>
      </c>
      <c r="K198" s="381">
        <v>18909.669999999998</v>
      </c>
    </row>
    <row r="199" spans="1:11" ht="14.4" customHeight="1" x14ac:dyDescent="0.3">
      <c r="A199" s="376" t="s">
        <v>382</v>
      </c>
      <c r="B199" s="377" t="s">
        <v>540</v>
      </c>
      <c r="C199" s="378" t="s">
        <v>387</v>
      </c>
      <c r="D199" s="379" t="s">
        <v>541</v>
      </c>
      <c r="E199" s="378" t="s">
        <v>1304</v>
      </c>
      <c r="F199" s="379" t="s">
        <v>1305</v>
      </c>
      <c r="G199" s="378" t="s">
        <v>933</v>
      </c>
      <c r="H199" s="378" t="s">
        <v>934</v>
      </c>
      <c r="I199" s="380">
        <v>33.582000000000008</v>
      </c>
      <c r="J199" s="380">
        <v>1512</v>
      </c>
      <c r="K199" s="381">
        <v>51006.12</v>
      </c>
    </row>
    <row r="200" spans="1:11" ht="14.4" customHeight="1" x14ac:dyDescent="0.3">
      <c r="A200" s="376" t="s">
        <v>382</v>
      </c>
      <c r="B200" s="377" t="s">
        <v>540</v>
      </c>
      <c r="C200" s="378" t="s">
        <v>387</v>
      </c>
      <c r="D200" s="379" t="s">
        <v>541</v>
      </c>
      <c r="E200" s="378" t="s">
        <v>1304</v>
      </c>
      <c r="F200" s="379" t="s">
        <v>1305</v>
      </c>
      <c r="G200" s="378" t="s">
        <v>935</v>
      </c>
      <c r="H200" s="378" t="s">
        <v>936</v>
      </c>
      <c r="I200" s="380">
        <v>45.61</v>
      </c>
      <c r="J200" s="380">
        <v>360</v>
      </c>
      <c r="K200" s="381">
        <v>16418.55</v>
      </c>
    </row>
    <row r="201" spans="1:11" ht="14.4" customHeight="1" x14ac:dyDescent="0.3">
      <c r="A201" s="376" t="s">
        <v>382</v>
      </c>
      <c r="B201" s="377" t="s">
        <v>540</v>
      </c>
      <c r="C201" s="378" t="s">
        <v>387</v>
      </c>
      <c r="D201" s="379" t="s">
        <v>541</v>
      </c>
      <c r="E201" s="378" t="s">
        <v>1304</v>
      </c>
      <c r="F201" s="379" t="s">
        <v>1305</v>
      </c>
      <c r="G201" s="378" t="s">
        <v>937</v>
      </c>
      <c r="H201" s="378" t="s">
        <v>938</v>
      </c>
      <c r="I201" s="380">
        <v>34.119999999999997</v>
      </c>
      <c r="J201" s="380">
        <v>216</v>
      </c>
      <c r="K201" s="381">
        <v>7369.9599999999991</v>
      </c>
    </row>
    <row r="202" spans="1:11" ht="14.4" customHeight="1" x14ac:dyDescent="0.3">
      <c r="A202" s="376" t="s">
        <v>382</v>
      </c>
      <c r="B202" s="377" t="s">
        <v>540</v>
      </c>
      <c r="C202" s="378" t="s">
        <v>387</v>
      </c>
      <c r="D202" s="379" t="s">
        <v>541</v>
      </c>
      <c r="E202" s="378" t="s">
        <v>1304</v>
      </c>
      <c r="F202" s="379" t="s">
        <v>1305</v>
      </c>
      <c r="G202" s="378" t="s">
        <v>939</v>
      </c>
      <c r="H202" s="378" t="s">
        <v>940</v>
      </c>
      <c r="I202" s="380">
        <v>190.53</v>
      </c>
      <c r="J202" s="380">
        <v>240</v>
      </c>
      <c r="K202" s="381">
        <v>45727.46</v>
      </c>
    </row>
    <row r="203" spans="1:11" ht="14.4" customHeight="1" x14ac:dyDescent="0.3">
      <c r="A203" s="376" t="s">
        <v>382</v>
      </c>
      <c r="B203" s="377" t="s">
        <v>540</v>
      </c>
      <c r="C203" s="378" t="s">
        <v>387</v>
      </c>
      <c r="D203" s="379" t="s">
        <v>541</v>
      </c>
      <c r="E203" s="378" t="s">
        <v>1304</v>
      </c>
      <c r="F203" s="379" t="s">
        <v>1305</v>
      </c>
      <c r="G203" s="378" t="s">
        <v>941</v>
      </c>
      <c r="H203" s="378" t="s">
        <v>942</v>
      </c>
      <c r="I203" s="380">
        <v>31.360000000000003</v>
      </c>
      <c r="J203" s="380">
        <v>3000</v>
      </c>
      <c r="K203" s="381">
        <v>94084.88</v>
      </c>
    </row>
    <row r="204" spans="1:11" ht="14.4" customHeight="1" x14ac:dyDescent="0.3">
      <c r="A204" s="376" t="s">
        <v>382</v>
      </c>
      <c r="B204" s="377" t="s">
        <v>540</v>
      </c>
      <c r="C204" s="378" t="s">
        <v>387</v>
      </c>
      <c r="D204" s="379" t="s">
        <v>541</v>
      </c>
      <c r="E204" s="378" t="s">
        <v>1304</v>
      </c>
      <c r="F204" s="379" t="s">
        <v>1305</v>
      </c>
      <c r="G204" s="378" t="s">
        <v>943</v>
      </c>
      <c r="H204" s="378" t="s">
        <v>944</v>
      </c>
      <c r="I204" s="380">
        <v>30.318571428571428</v>
      </c>
      <c r="J204" s="380">
        <v>3972</v>
      </c>
      <c r="K204" s="381">
        <v>120419.76</v>
      </c>
    </row>
    <row r="205" spans="1:11" ht="14.4" customHeight="1" x14ac:dyDescent="0.3">
      <c r="A205" s="376" t="s">
        <v>382</v>
      </c>
      <c r="B205" s="377" t="s">
        <v>540</v>
      </c>
      <c r="C205" s="378" t="s">
        <v>387</v>
      </c>
      <c r="D205" s="379" t="s">
        <v>541</v>
      </c>
      <c r="E205" s="378" t="s">
        <v>1304</v>
      </c>
      <c r="F205" s="379" t="s">
        <v>1305</v>
      </c>
      <c r="G205" s="378" t="s">
        <v>945</v>
      </c>
      <c r="H205" s="378" t="s">
        <v>946</v>
      </c>
      <c r="I205" s="380">
        <v>32.409999999999997</v>
      </c>
      <c r="J205" s="380">
        <v>720</v>
      </c>
      <c r="K205" s="381">
        <v>23334.42</v>
      </c>
    </row>
    <row r="206" spans="1:11" ht="14.4" customHeight="1" x14ac:dyDescent="0.3">
      <c r="A206" s="376" t="s">
        <v>382</v>
      </c>
      <c r="B206" s="377" t="s">
        <v>540</v>
      </c>
      <c r="C206" s="378" t="s">
        <v>387</v>
      </c>
      <c r="D206" s="379" t="s">
        <v>541</v>
      </c>
      <c r="E206" s="378" t="s">
        <v>1304</v>
      </c>
      <c r="F206" s="379" t="s">
        <v>1305</v>
      </c>
      <c r="G206" s="378" t="s">
        <v>947</v>
      </c>
      <c r="H206" s="378" t="s">
        <v>948</v>
      </c>
      <c r="I206" s="380">
        <v>133.27000000000001</v>
      </c>
      <c r="J206" s="380">
        <v>288</v>
      </c>
      <c r="K206" s="381">
        <v>38380.559999999998</v>
      </c>
    </row>
    <row r="207" spans="1:11" ht="14.4" customHeight="1" x14ac:dyDescent="0.3">
      <c r="A207" s="376" t="s">
        <v>382</v>
      </c>
      <c r="B207" s="377" t="s">
        <v>540</v>
      </c>
      <c r="C207" s="378" t="s">
        <v>387</v>
      </c>
      <c r="D207" s="379" t="s">
        <v>541</v>
      </c>
      <c r="E207" s="378" t="s">
        <v>1304</v>
      </c>
      <c r="F207" s="379" t="s">
        <v>1305</v>
      </c>
      <c r="G207" s="378" t="s">
        <v>949</v>
      </c>
      <c r="H207" s="378" t="s">
        <v>950</v>
      </c>
      <c r="I207" s="380">
        <v>45.38</v>
      </c>
      <c r="J207" s="380">
        <v>360</v>
      </c>
      <c r="K207" s="381">
        <v>16336.44</v>
      </c>
    </row>
    <row r="208" spans="1:11" ht="14.4" customHeight="1" x14ac:dyDescent="0.3">
      <c r="A208" s="376" t="s">
        <v>382</v>
      </c>
      <c r="B208" s="377" t="s">
        <v>540</v>
      </c>
      <c r="C208" s="378" t="s">
        <v>387</v>
      </c>
      <c r="D208" s="379" t="s">
        <v>541</v>
      </c>
      <c r="E208" s="378" t="s">
        <v>1304</v>
      </c>
      <c r="F208" s="379" t="s">
        <v>1305</v>
      </c>
      <c r="G208" s="378" t="s">
        <v>951</v>
      </c>
      <c r="H208" s="378" t="s">
        <v>952</v>
      </c>
      <c r="I208" s="380">
        <v>50.12</v>
      </c>
      <c r="J208" s="380">
        <v>540</v>
      </c>
      <c r="K208" s="381">
        <v>27063.18</v>
      </c>
    </row>
    <row r="209" spans="1:11" ht="14.4" customHeight="1" x14ac:dyDescent="0.3">
      <c r="A209" s="376" t="s">
        <v>382</v>
      </c>
      <c r="B209" s="377" t="s">
        <v>540</v>
      </c>
      <c r="C209" s="378" t="s">
        <v>387</v>
      </c>
      <c r="D209" s="379" t="s">
        <v>541</v>
      </c>
      <c r="E209" s="378" t="s">
        <v>1304</v>
      </c>
      <c r="F209" s="379" t="s">
        <v>1305</v>
      </c>
      <c r="G209" s="378" t="s">
        <v>953</v>
      </c>
      <c r="H209" s="378" t="s">
        <v>954</v>
      </c>
      <c r="I209" s="380">
        <v>54.109999999999992</v>
      </c>
      <c r="J209" s="380">
        <v>180</v>
      </c>
      <c r="K209" s="381">
        <v>9739.3499999999985</v>
      </c>
    </row>
    <row r="210" spans="1:11" ht="14.4" customHeight="1" x14ac:dyDescent="0.3">
      <c r="A210" s="376" t="s">
        <v>382</v>
      </c>
      <c r="B210" s="377" t="s">
        <v>540</v>
      </c>
      <c r="C210" s="378" t="s">
        <v>387</v>
      </c>
      <c r="D210" s="379" t="s">
        <v>541</v>
      </c>
      <c r="E210" s="378" t="s">
        <v>1304</v>
      </c>
      <c r="F210" s="379" t="s">
        <v>1305</v>
      </c>
      <c r="G210" s="378" t="s">
        <v>955</v>
      </c>
      <c r="H210" s="378" t="s">
        <v>956</v>
      </c>
      <c r="I210" s="380">
        <v>315.33</v>
      </c>
      <c r="J210" s="380">
        <v>264</v>
      </c>
      <c r="K210" s="381">
        <v>83245.86</v>
      </c>
    </row>
    <row r="211" spans="1:11" ht="14.4" customHeight="1" x14ac:dyDescent="0.3">
      <c r="A211" s="376" t="s">
        <v>382</v>
      </c>
      <c r="B211" s="377" t="s">
        <v>540</v>
      </c>
      <c r="C211" s="378" t="s">
        <v>387</v>
      </c>
      <c r="D211" s="379" t="s">
        <v>541</v>
      </c>
      <c r="E211" s="378" t="s">
        <v>1304</v>
      </c>
      <c r="F211" s="379" t="s">
        <v>1305</v>
      </c>
      <c r="G211" s="378" t="s">
        <v>955</v>
      </c>
      <c r="H211" s="378" t="s">
        <v>957</v>
      </c>
      <c r="I211" s="380">
        <v>315.33</v>
      </c>
      <c r="J211" s="380">
        <v>288</v>
      </c>
      <c r="K211" s="381">
        <v>90813.659999999989</v>
      </c>
    </row>
    <row r="212" spans="1:11" ht="14.4" customHeight="1" x14ac:dyDescent="0.3">
      <c r="A212" s="376" t="s">
        <v>382</v>
      </c>
      <c r="B212" s="377" t="s">
        <v>540</v>
      </c>
      <c r="C212" s="378" t="s">
        <v>387</v>
      </c>
      <c r="D212" s="379" t="s">
        <v>541</v>
      </c>
      <c r="E212" s="378" t="s">
        <v>1304</v>
      </c>
      <c r="F212" s="379" t="s">
        <v>1305</v>
      </c>
      <c r="G212" s="378" t="s">
        <v>958</v>
      </c>
      <c r="H212" s="378" t="s">
        <v>959</v>
      </c>
      <c r="I212" s="380">
        <v>360.29</v>
      </c>
      <c r="J212" s="380">
        <v>48</v>
      </c>
      <c r="K212" s="381">
        <v>17293.939999999999</v>
      </c>
    </row>
    <row r="213" spans="1:11" ht="14.4" customHeight="1" x14ac:dyDescent="0.3">
      <c r="A213" s="376" t="s">
        <v>382</v>
      </c>
      <c r="B213" s="377" t="s">
        <v>540</v>
      </c>
      <c r="C213" s="378" t="s">
        <v>387</v>
      </c>
      <c r="D213" s="379" t="s">
        <v>541</v>
      </c>
      <c r="E213" s="378" t="s">
        <v>1304</v>
      </c>
      <c r="F213" s="379" t="s">
        <v>1305</v>
      </c>
      <c r="G213" s="378" t="s">
        <v>960</v>
      </c>
      <c r="H213" s="378" t="s">
        <v>961</v>
      </c>
      <c r="I213" s="380">
        <v>108.18</v>
      </c>
      <c r="J213" s="380">
        <v>144</v>
      </c>
      <c r="K213" s="381">
        <v>15577.44</v>
      </c>
    </row>
    <row r="214" spans="1:11" ht="14.4" customHeight="1" x14ac:dyDescent="0.3">
      <c r="A214" s="376" t="s">
        <v>382</v>
      </c>
      <c r="B214" s="377" t="s">
        <v>540</v>
      </c>
      <c r="C214" s="378" t="s">
        <v>387</v>
      </c>
      <c r="D214" s="379" t="s">
        <v>541</v>
      </c>
      <c r="E214" s="378" t="s">
        <v>1304</v>
      </c>
      <c r="F214" s="379" t="s">
        <v>1305</v>
      </c>
      <c r="G214" s="378" t="s">
        <v>962</v>
      </c>
      <c r="H214" s="378" t="s">
        <v>963</v>
      </c>
      <c r="I214" s="380">
        <v>232.16</v>
      </c>
      <c r="J214" s="380">
        <v>72</v>
      </c>
      <c r="K214" s="381">
        <v>16715.25</v>
      </c>
    </row>
    <row r="215" spans="1:11" ht="14.4" customHeight="1" x14ac:dyDescent="0.3">
      <c r="A215" s="376" t="s">
        <v>382</v>
      </c>
      <c r="B215" s="377" t="s">
        <v>540</v>
      </c>
      <c r="C215" s="378" t="s">
        <v>387</v>
      </c>
      <c r="D215" s="379" t="s">
        <v>541</v>
      </c>
      <c r="E215" s="378" t="s">
        <v>1304</v>
      </c>
      <c r="F215" s="379" t="s">
        <v>1305</v>
      </c>
      <c r="G215" s="378" t="s">
        <v>962</v>
      </c>
      <c r="H215" s="378" t="s">
        <v>964</v>
      </c>
      <c r="I215" s="380">
        <v>232.16</v>
      </c>
      <c r="J215" s="380">
        <v>108</v>
      </c>
      <c r="K215" s="381">
        <v>25072.880000000001</v>
      </c>
    </row>
    <row r="216" spans="1:11" ht="14.4" customHeight="1" x14ac:dyDescent="0.3">
      <c r="A216" s="376" t="s">
        <v>382</v>
      </c>
      <c r="B216" s="377" t="s">
        <v>540</v>
      </c>
      <c r="C216" s="378" t="s">
        <v>387</v>
      </c>
      <c r="D216" s="379" t="s">
        <v>541</v>
      </c>
      <c r="E216" s="378" t="s">
        <v>1304</v>
      </c>
      <c r="F216" s="379" t="s">
        <v>1305</v>
      </c>
      <c r="G216" s="378" t="s">
        <v>965</v>
      </c>
      <c r="H216" s="378" t="s">
        <v>966</v>
      </c>
      <c r="I216" s="380">
        <v>73.942499999999995</v>
      </c>
      <c r="J216" s="380">
        <v>360</v>
      </c>
      <c r="K216" s="381">
        <v>25953.58</v>
      </c>
    </row>
    <row r="217" spans="1:11" ht="14.4" customHeight="1" x14ac:dyDescent="0.3">
      <c r="A217" s="376" t="s">
        <v>382</v>
      </c>
      <c r="B217" s="377" t="s">
        <v>540</v>
      </c>
      <c r="C217" s="378" t="s">
        <v>387</v>
      </c>
      <c r="D217" s="379" t="s">
        <v>541</v>
      </c>
      <c r="E217" s="378" t="s">
        <v>1304</v>
      </c>
      <c r="F217" s="379" t="s">
        <v>1305</v>
      </c>
      <c r="G217" s="378" t="s">
        <v>967</v>
      </c>
      <c r="H217" s="378" t="s">
        <v>968</v>
      </c>
      <c r="I217" s="380">
        <v>457.6</v>
      </c>
      <c r="J217" s="380">
        <v>24</v>
      </c>
      <c r="K217" s="381">
        <v>10982.5</v>
      </c>
    </row>
    <row r="218" spans="1:11" ht="14.4" customHeight="1" x14ac:dyDescent="0.3">
      <c r="A218" s="376" t="s">
        <v>382</v>
      </c>
      <c r="B218" s="377" t="s">
        <v>540</v>
      </c>
      <c r="C218" s="378" t="s">
        <v>387</v>
      </c>
      <c r="D218" s="379" t="s">
        <v>541</v>
      </c>
      <c r="E218" s="378" t="s">
        <v>1304</v>
      </c>
      <c r="F218" s="379" t="s">
        <v>1305</v>
      </c>
      <c r="G218" s="378" t="s">
        <v>969</v>
      </c>
      <c r="H218" s="378" t="s">
        <v>970</v>
      </c>
      <c r="I218" s="380">
        <v>50.12</v>
      </c>
      <c r="J218" s="380">
        <v>324</v>
      </c>
      <c r="K218" s="381">
        <v>16237.91</v>
      </c>
    </row>
    <row r="219" spans="1:11" ht="14.4" customHeight="1" x14ac:dyDescent="0.3">
      <c r="A219" s="376" t="s">
        <v>382</v>
      </c>
      <c r="B219" s="377" t="s">
        <v>540</v>
      </c>
      <c r="C219" s="378" t="s">
        <v>387</v>
      </c>
      <c r="D219" s="379" t="s">
        <v>541</v>
      </c>
      <c r="E219" s="378" t="s">
        <v>1304</v>
      </c>
      <c r="F219" s="379" t="s">
        <v>1305</v>
      </c>
      <c r="G219" s="378" t="s">
        <v>971</v>
      </c>
      <c r="H219" s="378" t="s">
        <v>972</v>
      </c>
      <c r="I219" s="380">
        <v>31.36</v>
      </c>
      <c r="J219" s="380">
        <v>1080</v>
      </c>
      <c r="K219" s="381">
        <v>33868.42</v>
      </c>
    </row>
    <row r="220" spans="1:11" ht="14.4" customHeight="1" x14ac:dyDescent="0.3">
      <c r="A220" s="376" t="s">
        <v>382</v>
      </c>
      <c r="B220" s="377" t="s">
        <v>540</v>
      </c>
      <c r="C220" s="378" t="s">
        <v>387</v>
      </c>
      <c r="D220" s="379" t="s">
        <v>541</v>
      </c>
      <c r="E220" s="378" t="s">
        <v>1304</v>
      </c>
      <c r="F220" s="379" t="s">
        <v>1305</v>
      </c>
      <c r="G220" s="378" t="s">
        <v>973</v>
      </c>
      <c r="H220" s="378" t="s">
        <v>974</v>
      </c>
      <c r="I220" s="380">
        <v>79.760000000000005</v>
      </c>
      <c r="J220" s="380">
        <v>72</v>
      </c>
      <c r="K220" s="381">
        <v>5743.01</v>
      </c>
    </row>
    <row r="221" spans="1:11" ht="14.4" customHeight="1" x14ac:dyDescent="0.3">
      <c r="A221" s="376" t="s">
        <v>382</v>
      </c>
      <c r="B221" s="377" t="s">
        <v>540</v>
      </c>
      <c r="C221" s="378" t="s">
        <v>387</v>
      </c>
      <c r="D221" s="379" t="s">
        <v>541</v>
      </c>
      <c r="E221" s="378" t="s">
        <v>1304</v>
      </c>
      <c r="F221" s="379" t="s">
        <v>1305</v>
      </c>
      <c r="G221" s="378" t="s">
        <v>975</v>
      </c>
      <c r="H221" s="378" t="s">
        <v>976</v>
      </c>
      <c r="I221" s="380">
        <v>143.51833333333335</v>
      </c>
      <c r="J221" s="380">
        <v>744</v>
      </c>
      <c r="K221" s="381">
        <v>100847.91</v>
      </c>
    </row>
    <row r="222" spans="1:11" ht="14.4" customHeight="1" x14ac:dyDescent="0.3">
      <c r="A222" s="376" t="s">
        <v>382</v>
      </c>
      <c r="B222" s="377" t="s">
        <v>540</v>
      </c>
      <c r="C222" s="378" t="s">
        <v>387</v>
      </c>
      <c r="D222" s="379" t="s">
        <v>541</v>
      </c>
      <c r="E222" s="378" t="s">
        <v>1304</v>
      </c>
      <c r="F222" s="379" t="s">
        <v>1305</v>
      </c>
      <c r="G222" s="378" t="s">
        <v>977</v>
      </c>
      <c r="H222" s="378" t="s">
        <v>978</v>
      </c>
      <c r="I222" s="380">
        <v>114.2</v>
      </c>
      <c r="J222" s="380">
        <v>396</v>
      </c>
      <c r="K222" s="381">
        <v>45225.020000000004</v>
      </c>
    </row>
    <row r="223" spans="1:11" ht="14.4" customHeight="1" x14ac:dyDescent="0.3">
      <c r="A223" s="376" t="s">
        <v>382</v>
      </c>
      <c r="B223" s="377" t="s">
        <v>540</v>
      </c>
      <c r="C223" s="378" t="s">
        <v>387</v>
      </c>
      <c r="D223" s="379" t="s">
        <v>541</v>
      </c>
      <c r="E223" s="378" t="s">
        <v>1304</v>
      </c>
      <c r="F223" s="379" t="s">
        <v>1305</v>
      </c>
      <c r="G223" s="378" t="s">
        <v>979</v>
      </c>
      <c r="H223" s="378" t="s">
        <v>980</v>
      </c>
      <c r="I223" s="380">
        <v>126.904</v>
      </c>
      <c r="J223" s="380">
        <v>396</v>
      </c>
      <c r="K223" s="381">
        <v>49667.18</v>
      </c>
    </row>
    <row r="224" spans="1:11" ht="14.4" customHeight="1" x14ac:dyDescent="0.3">
      <c r="A224" s="376" t="s">
        <v>382</v>
      </c>
      <c r="B224" s="377" t="s">
        <v>540</v>
      </c>
      <c r="C224" s="378" t="s">
        <v>387</v>
      </c>
      <c r="D224" s="379" t="s">
        <v>541</v>
      </c>
      <c r="E224" s="378" t="s">
        <v>1304</v>
      </c>
      <c r="F224" s="379" t="s">
        <v>1305</v>
      </c>
      <c r="G224" s="378" t="s">
        <v>981</v>
      </c>
      <c r="H224" s="378" t="s">
        <v>982</v>
      </c>
      <c r="I224" s="380">
        <v>43.023333333333333</v>
      </c>
      <c r="J224" s="380">
        <v>432</v>
      </c>
      <c r="K224" s="381">
        <v>18585.100000000002</v>
      </c>
    </row>
    <row r="225" spans="1:11" ht="14.4" customHeight="1" x14ac:dyDescent="0.3">
      <c r="A225" s="376" t="s">
        <v>382</v>
      </c>
      <c r="B225" s="377" t="s">
        <v>540</v>
      </c>
      <c r="C225" s="378" t="s">
        <v>387</v>
      </c>
      <c r="D225" s="379" t="s">
        <v>541</v>
      </c>
      <c r="E225" s="378" t="s">
        <v>1304</v>
      </c>
      <c r="F225" s="379" t="s">
        <v>1305</v>
      </c>
      <c r="G225" s="378" t="s">
        <v>983</v>
      </c>
      <c r="H225" s="378" t="s">
        <v>984</v>
      </c>
      <c r="I225" s="380">
        <v>120.35</v>
      </c>
      <c r="J225" s="380">
        <v>96</v>
      </c>
      <c r="K225" s="381">
        <v>11554.05</v>
      </c>
    </row>
    <row r="226" spans="1:11" ht="14.4" customHeight="1" x14ac:dyDescent="0.3">
      <c r="A226" s="376" t="s">
        <v>382</v>
      </c>
      <c r="B226" s="377" t="s">
        <v>540</v>
      </c>
      <c r="C226" s="378" t="s">
        <v>387</v>
      </c>
      <c r="D226" s="379" t="s">
        <v>541</v>
      </c>
      <c r="E226" s="378" t="s">
        <v>1304</v>
      </c>
      <c r="F226" s="379" t="s">
        <v>1305</v>
      </c>
      <c r="G226" s="378" t="s">
        <v>985</v>
      </c>
      <c r="H226" s="378" t="s">
        <v>986</v>
      </c>
      <c r="I226" s="380">
        <v>374.38</v>
      </c>
      <c r="J226" s="380">
        <v>24</v>
      </c>
      <c r="K226" s="381">
        <v>8985.18</v>
      </c>
    </row>
    <row r="227" spans="1:11" ht="14.4" customHeight="1" x14ac:dyDescent="0.3">
      <c r="A227" s="376" t="s">
        <v>382</v>
      </c>
      <c r="B227" s="377" t="s">
        <v>540</v>
      </c>
      <c r="C227" s="378" t="s">
        <v>387</v>
      </c>
      <c r="D227" s="379" t="s">
        <v>541</v>
      </c>
      <c r="E227" s="378" t="s">
        <v>1304</v>
      </c>
      <c r="F227" s="379" t="s">
        <v>1305</v>
      </c>
      <c r="G227" s="378" t="s">
        <v>987</v>
      </c>
      <c r="H227" s="378" t="s">
        <v>988</v>
      </c>
      <c r="I227" s="380">
        <v>65.940000000000012</v>
      </c>
      <c r="J227" s="380">
        <v>396</v>
      </c>
      <c r="K227" s="381">
        <v>25784.880000000001</v>
      </c>
    </row>
    <row r="228" spans="1:11" ht="14.4" customHeight="1" x14ac:dyDescent="0.3">
      <c r="A228" s="376" t="s">
        <v>382</v>
      </c>
      <c r="B228" s="377" t="s">
        <v>540</v>
      </c>
      <c r="C228" s="378" t="s">
        <v>387</v>
      </c>
      <c r="D228" s="379" t="s">
        <v>541</v>
      </c>
      <c r="E228" s="378" t="s">
        <v>1304</v>
      </c>
      <c r="F228" s="379" t="s">
        <v>1305</v>
      </c>
      <c r="G228" s="378" t="s">
        <v>989</v>
      </c>
      <c r="H228" s="378" t="s">
        <v>990</v>
      </c>
      <c r="I228" s="380">
        <v>346.44</v>
      </c>
      <c r="J228" s="380">
        <v>48</v>
      </c>
      <c r="K228" s="381">
        <v>16629.23</v>
      </c>
    </row>
    <row r="229" spans="1:11" ht="14.4" customHeight="1" x14ac:dyDescent="0.3">
      <c r="A229" s="376" t="s">
        <v>382</v>
      </c>
      <c r="B229" s="377" t="s">
        <v>540</v>
      </c>
      <c r="C229" s="378" t="s">
        <v>387</v>
      </c>
      <c r="D229" s="379" t="s">
        <v>541</v>
      </c>
      <c r="E229" s="378" t="s">
        <v>1304</v>
      </c>
      <c r="F229" s="379" t="s">
        <v>1305</v>
      </c>
      <c r="G229" s="378" t="s">
        <v>991</v>
      </c>
      <c r="H229" s="378" t="s">
        <v>992</v>
      </c>
      <c r="I229" s="380">
        <v>60.28</v>
      </c>
      <c r="J229" s="380">
        <v>192</v>
      </c>
      <c r="K229" s="381">
        <v>12420.23</v>
      </c>
    </row>
    <row r="230" spans="1:11" ht="14.4" customHeight="1" x14ac:dyDescent="0.3">
      <c r="A230" s="376" t="s">
        <v>382</v>
      </c>
      <c r="B230" s="377" t="s">
        <v>540</v>
      </c>
      <c r="C230" s="378" t="s">
        <v>387</v>
      </c>
      <c r="D230" s="379" t="s">
        <v>541</v>
      </c>
      <c r="E230" s="378" t="s">
        <v>1304</v>
      </c>
      <c r="F230" s="379" t="s">
        <v>1305</v>
      </c>
      <c r="G230" s="378" t="s">
        <v>993</v>
      </c>
      <c r="H230" s="378" t="s">
        <v>994</v>
      </c>
      <c r="I230" s="380">
        <v>48.5</v>
      </c>
      <c r="J230" s="380">
        <v>36</v>
      </c>
      <c r="K230" s="381">
        <v>1745.84</v>
      </c>
    </row>
    <row r="231" spans="1:11" ht="14.4" customHeight="1" x14ac:dyDescent="0.3">
      <c r="A231" s="376" t="s">
        <v>382</v>
      </c>
      <c r="B231" s="377" t="s">
        <v>540</v>
      </c>
      <c r="C231" s="378" t="s">
        <v>387</v>
      </c>
      <c r="D231" s="379" t="s">
        <v>541</v>
      </c>
      <c r="E231" s="378" t="s">
        <v>1304</v>
      </c>
      <c r="F231" s="379" t="s">
        <v>1305</v>
      </c>
      <c r="G231" s="378" t="s">
        <v>995</v>
      </c>
      <c r="H231" s="378" t="s">
        <v>996</v>
      </c>
      <c r="I231" s="380">
        <v>60.43</v>
      </c>
      <c r="J231" s="380">
        <v>216</v>
      </c>
      <c r="K231" s="381">
        <v>13053.420000000002</v>
      </c>
    </row>
    <row r="232" spans="1:11" ht="14.4" customHeight="1" x14ac:dyDescent="0.3">
      <c r="A232" s="376" t="s">
        <v>382</v>
      </c>
      <c r="B232" s="377" t="s">
        <v>540</v>
      </c>
      <c r="C232" s="378" t="s">
        <v>387</v>
      </c>
      <c r="D232" s="379" t="s">
        <v>541</v>
      </c>
      <c r="E232" s="378" t="s">
        <v>1304</v>
      </c>
      <c r="F232" s="379" t="s">
        <v>1305</v>
      </c>
      <c r="G232" s="378" t="s">
        <v>997</v>
      </c>
      <c r="H232" s="378" t="s">
        <v>998</v>
      </c>
      <c r="I232" s="380">
        <v>154.77000000000001</v>
      </c>
      <c r="J232" s="380">
        <v>48</v>
      </c>
      <c r="K232" s="381">
        <v>7429</v>
      </c>
    </row>
    <row r="233" spans="1:11" ht="14.4" customHeight="1" x14ac:dyDescent="0.3">
      <c r="A233" s="376" t="s">
        <v>382</v>
      </c>
      <c r="B233" s="377" t="s">
        <v>540</v>
      </c>
      <c r="C233" s="378" t="s">
        <v>387</v>
      </c>
      <c r="D233" s="379" t="s">
        <v>541</v>
      </c>
      <c r="E233" s="378" t="s">
        <v>1304</v>
      </c>
      <c r="F233" s="379" t="s">
        <v>1305</v>
      </c>
      <c r="G233" s="378" t="s">
        <v>997</v>
      </c>
      <c r="H233" s="378" t="s">
        <v>999</v>
      </c>
      <c r="I233" s="380">
        <v>154.77000000000001</v>
      </c>
      <c r="J233" s="380">
        <v>120</v>
      </c>
      <c r="K233" s="381">
        <v>18572.5</v>
      </c>
    </row>
    <row r="234" spans="1:11" ht="14.4" customHeight="1" x14ac:dyDescent="0.3">
      <c r="A234" s="376" t="s">
        <v>382</v>
      </c>
      <c r="B234" s="377" t="s">
        <v>540</v>
      </c>
      <c r="C234" s="378" t="s">
        <v>387</v>
      </c>
      <c r="D234" s="379" t="s">
        <v>541</v>
      </c>
      <c r="E234" s="378" t="s">
        <v>1304</v>
      </c>
      <c r="F234" s="379" t="s">
        <v>1305</v>
      </c>
      <c r="G234" s="378" t="s">
        <v>1000</v>
      </c>
      <c r="H234" s="378" t="s">
        <v>1001</v>
      </c>
      <c r="I234" s="380">
        <v>176.19</v>
      </c>
      <c r="J234" s="380">
        <v>96</v>
      </c>
      <c r="K234" s="381">
        <v>16914.66</v>
      </c>
    </row>
    <row r="235" spans="1:11" ht="14.4" customHeight="1" x14ac:dyDescent="0.3">
      <c r="A235" s="376" t="s">
        <v>382</v>
      </c>
      <c r="B235" s="377" t="s">
        <v>540</v>
      </c>
      <c r="C235" s="378" t="s">
        <v>387</v>
      </c>
      <c r="D235" s="379" t="s">
        <v>541</v>
      </c>
      <c r="E235" s="378" t="s">
        <v>1304</v>
      </c>
      <c r="F235" s="379" t="s">
        <v>1305</v>
      </c>
      <c r="G235" s="378" t="s">
        <v>1002</v>
      </c>
      <c r="H235" s="378" t="s">
        <v>1003</v>
      </c>
      <c r="I235" s="380">
        <v>46.06</v>
      </c>
      <c r="J235" s="380">
        <v>720</v>
      </c>
      <c r="K235" s="381">
        <v>33165.990000000005</v>
      </c>
    </row>
    <row r="236" spans="1:11" ht="14.4" customHeight="1" x14ac:dyDescent="0.3">
      <c r="A236" s="376" t="s">
        <v>382</v>
      </c>
      <c r="B236" s="377" t="s">
        <v>540</v>
      </c>
      <c r="C236" s="378" t="s">
        <v>387</v>
      </c>
      <c r="D236" s="379" t="s">
        <v>541</v>
      </c>
      <c r="E236" s="378" t="s">
        <v>1304</v>
      </c>
      <c r="F236" s="379" t="s">
        <v>1305</v>
      </c>
      <c r="G236" s="378" t="s">
        <v>1004</v>
      </c>
      <c r="H236" s="378" t="s">
        <v>1005</v>
      </c>
      <c r="I236" s="380">
        <v>153.66999999999999</v>
      </c>
      <c r="J236" s="380">
        <v>396</v>
      </c>
      <c r="K236" s="381">
        <v>60852.819999999992</v>
      </c>
    </row>
    <row r="237" spans="1:11" ht="14.4" customHeight="1" x14ac:dyDescent="0.3">
      <c r="A237" s="376" t="s">
        <v>382</v>
      </c>
      <c r="B237" s="377" t="s">
        <v>540</v>
      </c>
      <c r="C237" s="378" t="s">
        <v>387</v>
      </c>
      <c r="D237" s="379" t="s">
        <v>541</v>
      </c>
      <c r="E237" s="378" t="s">
        <v>1304</v>
      </c>
      <c r="F237" s="379" t="s">
        <v>1305</v>
      </c>
      <c r="G237" s="378" t="s">
        <v>1006</v>
      </c>
      <c r="H237" s="378" t="s">
        <v>1007</v>
      </c>
      <c r="I237" s="380">
        <v>103.4</v>
      </c>
      <c r="J237" s="380">
        <v>72</v>
      </c>
      <c r="K237" s="381">
        <v>7444.73</v>
      </c>
    </row>
    <row r="238" spans="1:11" ht="14.4" customHeight="1" x14ac:dyDescent="0.3">
      <c r="A238" s="376" t="s">
        <v>382</v>
      </c>
      <c r="B238" s="377" t="s">
        <v>540</v>
      </c>
      <c r="C238" s="378" t="s">
        <v>387</v>
      </c>
      <c r="D238" s="379" t="s">
        <v>541</v>
      </c>
      <c r="E238" s="378" t="s">
        <v>1304</v>
      </c>
      <c r="F238" s="379" t="s">
        <v>1305</v>
      </c>
      <c r="G238" s="378" t="s">
        <v>1008</v>
      </c>
      <c r="H238" s="378" t="s">
        <v>1009</v>
      </c>
      <c r="I238" s="380">
        <v>41.9</v>
      </c>
      <c r="J238" s="380">
        <v>720</v>
      </c>
      <c r="K238" s="381">
        <v>30167.49</v>
      </c>
    </row>
    <row r="239" spans="1:11" ht="14.4" customHeight="1" x14ac:dyDescent="0.3">
      <c r="A239" s="376" t="s">
        <v>382</v>
      </c>
      <c r="B239" s="377" t="s">
        <v>540</v>
      </c>
      <c r="C239" s="378" t="s">
        <v>387</v>
      </c>
      <c r="D239" s="379" t="s">
        <v>541</v>
      </c>
      <c r="E239" s="378" t="s">
        <v>1304</v>
      </c>
      <c r="F239" s="379" t="s">
        <v>1305</v>
      </c>
      <c r="G239" s="378" t="s">
        <v>1010</v>
      </c>
      <c r="H239" s="378" t="s">
        <v>1011</v>
      </c>
      <c r="I239" s="380">
        <v>62.844999999999999</v>
      </c>
      <c r="J239" s="380">
        <v>108</v>
      </c>
      <c r="K239" s="381">
        <v>7021.99</v>
      </c>
    </row>
    <row r="240" spans="1:11" ht="14.4" customHeight="1" x14ac:dyDescent="0.3">
      <c r="A240" s="376" t="s">
        <v>382</v>
      </c>
      <c r="B240" s="377" t="s">
        <v>540</v>
      </c>
      <c r="C240" s="378" t="s">
        <v>387</v>
      </c>
      <c r="D240" s="379" t="s">
        <v>541</v>
      </c>
      <c r="E240" s="378" t="s">
        <v>1304</v>
      </c>
      <c r="F240" s="379" t="s">
        <v>1305</v>
      </c>
      <c r="G240" s="378" t="s">
        <v>1012</v>
      </c>
      <c r="H240" s="378" t="s">
        <v>1013</v>
      </c>
      <c r="I240" s="380">
        <v>216.68</v>
      </c>
      <c r="J240" s="380">
        <v>96</v>
      </c>
      <c r="K240" s="381">
        <v>20801.2</v>
      </c>
    </row>
    <row r="241" spans="1:11" ht="14.4" customHeight="1" x14ac:dyDescent="0.3">
      <c r="A241" s="376" t="s">
        <v>382</v>
      </c>
      <c r="B241" s="377" t="s">
        <v>540</v>
      </c>
      <c r="C241" s="378" t="s">
        <v>387</v>
      </c>
      <c r="D241" s="379" t="s">
        <v>541</v>
      </c>
      <c r="E241" s="378" t="s">
        <v>1304</v>
      </c>
      <c r="F241" s="379" t="s">
        <v>1305</v>
      </c>
      <c r="G241" s="378" t="s">
        <v>1014</v>
      </c>
      <c r="H241" s="378" t="s">
        <v>1015</v>
      </c>
      <c r="I241" s="380">
        <v>44.12</v>
      </c>
      <c r="J241" s="380">
        <v>216</v>
      </c>
      <c r="K241" s="381">
        <v>9530.9699999999993</v>
      </c>
    </row>
    <row r="242" spans="1:11" ht="14.4" customHeight="1" x14ac:dyDescent="0.3">
      <c r="A242" s="376" t="s">
        <v>382</v>
      </c>
      <c r="B242" s="377" t="s">
        <v>540</v>
      </c>
      <c r="C242" s="378" t="s">
        <v>387</v>
      </c>
      <c r="D242" s="379" t="s">
        <v>541</v>
      </c>
      <c r="E242" s="378" t="s">
        <v>1304</v>
      </c>
      <c r="F242" s="379" t="s">
        <v>1305</v>
      </c>
      <c r="G242" s="378" t="s">
        <v>1016</v>
      </c>
      <c r="H242" s="378" t="s">
        <v>1017</v>
      </c>
      <c r="I242" s="380">
        <v>52.93</v>
      </c>
      <c r="J242" s="380">
        <v>144</v>
      </c>
      <c r="K242" s="381">
        <v>7622.57</v>
      </c>
    </row>
    <row r="243" spans="1:11" ht="14.4" customHeight="1" x14ac:dyDescent="0.3">
      <c r="A243" s="376" t="s">
        <v>382</v>
      </c>
      <c r="B243" s="377" t="s">
        <v>540</v>
      </c>
      <c r="C243" s="378" t="s">
        <v>387</v>
      </c>
      <c r="D243" s="379" t="s">
        <v>541</v>
      </c>
      <c r="E243" s="378" t="s">
        <v>1304</v>
      </c>
      <c r="F243" s="379" t="s">
        <v>1305</v>
      </c>
      <c r="G243" s="378" t="s">
        <v>1018</v>
      </c>
      <c r="H243" s="378" t="s">
        <v>1019</v>
      </c>
      <c r="I243" s="380">
        <v>110.77</v>
      </c>
      <c r="J243" s="380">
        <v>504</v>
      </c>
      <c r="K243" s="381">
        <v>55828.78</v>
      </c>
    </row>
    <row r="244" spans="1:11" ht="14.4" customHeight="1" x14ac:dyDescent="0.3">
      <c r="A244" s="376" t="s">
        <v>382</v>
      </c>
      <c r="B244" s="377" t="s">
        <v>540</v>
      </c>
      <c r="C244" s="378" t="s">
        <v>387</v>
      </c>
      <c r="D244" s="379" t="s">
        <v>541</v>
      </c>
      <c r="E244" s="378" t="s">
        <v>1304</v>
      </c>
      <c r="F244" s="379" t="s">
        <v>1305</v>
      </c>
      <c r="G244" s="378" t="s">
        <v>1020</v>
      </c>
      <c r="H244" s="378" t="s">
        <v>1021</v>
      </c>
      <c r="I244" s="380">
        <v>228.88000000000002</v>
      </c>
      <c r="J244" s="380">
        <v>684</v>
      </c>
      <c r="K244" s="381">
        <v>156555.65000000002</v>
      </c>
    </row>
    <row r="245" spans="1:11" ht="14.4" customHeight="1" x14ac:dyDescent="0.3">
      <c r="A245" s="376" t="s">
        <v>382</v>
      </c>
      <c r="B245" s="377" t="s">
        <v>540</v>
      </c>
      <c r="C245" s="378" t="s">
        <v>387</v>
      </c>
      <c r="D245" s="379" t="s">
        <v>541</v>
      </c>
      <c r="E245" s="378" t="s">
        <v>1304</v>
      </c>
      <c r="F245" s="379" t="s">
        <v>1305</v>
      </c>
      <c r="G245" s="378" t="s">
        <v>1022</v>
      </c>
      <c r="H245" s="378" t="s">
        <v>1023</v>
      </c>
      <c r="I245" s="380">
        <v>268.22000000000003</v>
      </c>
      <c r="J245" s="380">
        <v>48</v>
      </c>
      <c r="K245" s="381">
        <v>12874.78</v>
      </c>
    </row>
    <row r="246" spans="1:11" ht="14.4" customHeight="1" x14ac:dyDescent="0.3">
      <c r="A246" s="376" t="s">
        <v>382</v>
      </c>
      <c r="B246" s="377" t="s">
        <v>540</v>
      </c>
      <c r="C246" s="378" t="s">
        <v>387</v>
      </c>
      <c r="D246" s="379" t="s">
        <v>541</v>
      </c>
      <c r="E246" s="378" t="s">
        <v>1304</v>
      </c>
      <c r="F246" s="379" t="s">
        <v>1305</v>
      </c>
      <c r="G246" s="378" t="s">
        <v>1024</v>
      </c>
      <c r="H246" s="378" t="s">
        <v>1025</v>
      </c>
      <c r="I246" s="380">
        <v>180.92</v>
      </c>
      <c r="J246" s="380">
        <v>192</v>
      </c>
      <c r="K246" s="381">
        <v>34736.449999999997</v>
      </c>
    </row>
    <row r="247" spans="1:11" ht="14.4" customHeight="1" x14ac:dyDescent="0.3">
      <c r="A247" s="376" t="s">
        <v>382</v>
      </c>
      <c r="B247" s="377" t="s">
        <v>540</v>
      </c>
      <c r="C247" s="378" t="s">
        <v>387</v>
      </c>
      <c r="D247" s="379" t="s">
        <v>541</v>
      </c>
      <c r="E247" s="378" t="s">
        <v>1304</v>
      </c>
      <c r="F247" s="379" t="s">
        <v>1305</v>
      </c>
      <c r="G247" s="378" t="s">
        <v>1026</v>
      </c>
      <c r="H247" s="378" t="s">
        <v>1027</v>
      </c>
      <c r="I247" s="380">
        <v>80.5</v>
      </c>
      <c r="J247" s="380">
        <v>36</v>
      </c>
      <c r="K247" s="381">
        <v>2898</v>
      </c>
    </row>
    <row r="248" spans="1:11" ht="14.4" customHeight="1" x14ac:dyDescent="0.3">
      <c r="A248" s="376" t="s">
        <v>382</v>
      </c>
      <c r="B248" s="377" t="s">
        <v>540</v>
      </c>
      <c r="C248" s="378" t="s">
        <v>387</v>
      </c>
      <c r="D248" s="379" t="s">
        <v>541</v>
      </c>
      <c r="E248" s="378" t="s">
        <v>1304</v>
      </c>
      <c r="F248" s="379" t="s">
        <v>1305</v>
      </c>
      <c r="G248" s="378" t="s">
        <v>1028</v>
      </c>
      <c r="H248" s="378" t="s">
        <v>1029</v>
      </c>
      <c r="I248" s="380">
        <v>86.25</v>
      </c>
      <c r="J248" s="380">
        <v>528</v>
      </c>
      <c r="K248" s="381">
        <v>45540</v>
      </c>
    </row>
    <row r="249" spans="1:11" ht="14.4" customHeight="1" x14ac:dyDescent="0.3">
      <c r="A249" s="376" t="s">
        <v>382</v>
      </c>
      <c r="B249" s="377" t="s">
        <v>540</v>
      </c>
      <c r="C249" s="378" t="s">
        <v>387</v>
      </c>
      <c r="D249" s="379" t="s">
        <v>541</v>
      </c>
      <c r="E249" s="378" t="s">
        <v>1304</v>
      </c>
      <c r="F249" s="379" t="s">
        <v>1305</v>
      </c>
      <c r="G249" s="378" t="s">
        <v>1030</v>
      </c>
      <c r="H249" s="378" t="s">
        <v>1031</v>
      </c>
      <c r="I249" s="380">
        <v>50.12</v>
      </c>
      <c r="J249" s="380">
        <v>144</v>
      </c>
      <c r="K249" s="381">
        <v>7216.85</v>
      </c>
    </row>
    <row r="250" spans="1:11" ht="14.4" customHeight="1" x14ac:dyDescent="0.3">
      <c r="A250" s="376" t="s">
        <v>382</v>
      </c>
      <c r="B250" s="377" t="s">
        <v>540</v>
      </c>
      <c r="C250" s="378" t="s">
        <v>387</v>
      </c>
      <c r="D250" s="379" t="s">
        <v>541</v>
      </c>
      <c r="E250" s="378" t="s">
        <v>1304</v>
      </c>
      <c r="F250" s="379" t="s">
        <v>1305</v>
      </c>
      <c r="G250" s="378" t="s">
        <v>1032</v>
      </c>
      <c r="H250" s="378" t="s">
        <v>1033</v>
      </c>
      <c r="I250" s="380">
        <v>513.51</v>
      </c>
      <c r="J250" s="380">
        <v>24</v>
      </c>
      <c r="K250" s="381">
        <v>12324.32</v>
      </c>
    </row>
    <row r="251" spans="1:11" ht="14.4" customHeight="1" x14ac:dyDescent="0.3">
      <c r="A251" s="376" t="s">
        <v>382</v>
      </c>
      <c r="B251" s="377" t="s">
        <v>540</v>
      </c>
      <c r="C251" s="378" t="s">
        <v>387</v>
      </c>
      <c r="D251" s="379" t="s">
        <v>541</v>
      </c>
      <c r="E251" s="378" t="s">
        <v>1304</v>
      </c>
      <c r="F251" s="379" t="s">
        <v>1305</v>
      </c>
      <c r="G251" s="378" t="s">
        <v>1034</v>
      </c>
      <c r="H251" s="378" t="s">
        <v>1035</v>
      </c>
      <c r="I251" s="380">
        <v>192.46</v>
      </c>
      <c r="J251" s="380">
        <v>324</v>
      </c>
      <c r="K251" s="381">
        <v>62356.69</v>
      </c>
    </row>
    <row r="252" spans="1:11" ht="14.4" customHeight="1" x14ac:dyDescent="0.3">
      <c r="A252" s="376" t="s">
        <v>382</v>
      </c>
      <c r="B252" s="377" t="s">
        <v>540</v>
      </c>
      <c r="C252" s="378" t="s">
        <v>387</v>
      </c>
      <c r="D252" s="379" t="s">
        <v>541</v>
      </c>
      <c r="E252" s="378" t="s">
        <v>1304</v>
      </c>
      <c r="F252" s="379" t="s">
        <v>1305</v>
      </c>
      <c r="G252" s="378" t="s">
        <v>1036</v>
      </c>
      <c r="H252" s="378" t="s">
        <v>1037</v>
      </c>
      <c r="I252" s="380">
        <v>261.39999999999998</v>
      </c>
      <c r="J252" s="380">
        <v>48</v>
      </c>
      <c r="K252" s="381">
        <v>12547.19</v>
      </c>
    </row>
    <row r="253" spans="1:11" ht="14.4" customHeight="1" x14ac:dyDescent="0.3">
      <c r="A253" s="376" t="s">
        <v>382</v>
      </c>
      <c r="B253" s="377" t="s">
        <v>540</v>
      </c>
      <c r="C253" s="378" t="s">
        <v>387</v>
      </c>
      <c r="D253" s="379" t="s">
        <v>541</v>
      </c>
      <c r="E253" s="378" t="s">
        <v>1304</v>
      </c>
      <c r="F253" s="379" t="s">
        <v>1305</v>
      </c>
      <c r="G253" s="378" t="s">
        <v>1038</v>
      </c>
      <c r="H253" s="378" t="s">
        <v>1039</v>
      </c>
      <c r="I253" s="380">
        <v>176.93</v>
      </c>
      <c r="J253" s="380">
        <v>120</v>
      </c>
      <c r="K253" s="381">
        <v>21231.3</v>
      </c>
    </row>
    <row r="254" spans="1:11" ht="14.4" customHeight="1" x14ac:dyDescent="0.3">
      <c r="A254" s="376" t="s">
        <v>382</v>
      </c>
      <c r="B254" s="377" t="s">
        <v>540</v>
      </c>
      <c r="C254" s="378" t="s">
        <v>387</v>
      </c>
      <c r="D254" s="379" t="s">
        <v>541</v>
      </c>
      <c r="E254" s="378" t="s">
        <v>1304</v>
      </c>
      <c r="F254" s="379" t="s">
        <v>1305</v>
      </c>
      <c r="G254" s="378" t="s">
        <v>1040</v>
      </c>
      <c r="H254" s="378" t="s">
        <v>1041</v>
      </c>
      <c r="I254" s="380">
        <v>74.16</v>
      </c>
      <c r="J254" s="380">
        <v>72</v>
      </c>
      <c r="K254" s="381">
        <v>5339.22</v>
      </c>
    </row>
    <row r="255" spans="1:11" ht="14.4" customHeight="1" x14ac:dyDescent="0.3">
      <c r="A255" s="376" t="s">
        <v>382</v>
      </c>
      <c r="B255" s="377" t="s">
        <v>540</v>
      </c>
      <c r="C255" s="378" t="s">
        <v>387</v>
      </c>
      <c r="D255" s="379" t="s">
        <v>541</v>
      </c>
      <c r="E255" s="378" t="s">
        <v>1304</v>
      </c>
      <c r="F255" s="379" t="s">
        <v>1305</v>
      </c>
      <c r="G255" s="378" t="s">
        <v>1042</v>
      </c>
      <c r="H255" s="378" t="s">
        <v>1043</v>
      </c>
      <c r="I255" s="380">
        <v>60.66</v>
      </c>
      <c r="J255" s="380">
        <v>180</v>
      </c>
      <c r="K255" s="381">
        <v>10919.25</v>
      </c>
    </row>
    <row r="256" spans="1:11" ht="14.4" customHeight="1" x14ac:dyDescent="0.3">
      <c r="A256" s="376" t="s">
        <v>382</v>
      </c>
      <c r="B256" s="377" t="s">
        <v>540</v>
      </c>
      <c r="C256" s="378" t="s">
        <v>387</v>
      </c>
      <c r="D256" s="379" t="s">
        <v>541</v>
      </c>
      <c r="E256" s="378" t="s">
        <v>1304</v>
      </c>
      <c r="F256" s="379" t="s">
        <v>1305</v>
      </c>
      <c r="G256" s="378" t="s">
        <v>1044</v>
      </c>
      <c r="H256" s="378" t="s">
        <v>1045</v>
      </c>
      <c r="I256" s="380">
        <v>335.45</v>
      </c>
      <c r="J256" s="380">
        <v>24</v>
      </c>
      <c r="K256" s="381">
        <v>8050.69</v>
      </c>
    </row>
    <row r="257" spans="1:11" ht="14.4" customHeight="1" x14ac:dyDescent="0.3">
      <c r="A257" s="376" t="s">
        <v>382</v>
      </c>
      <c r="B257" s="377" t="s">
        <v>540</v>
      </c>
      <c r="C257" s="378" t="s">
        <v>387</v>
      </c>
      <c r="D257" s="379" t="s">
        <v>541</v>
      </c>
      <c r="E257" s="378" t="s">
        <v>1304</v>
      </c>
      <c r="F257" s="379" t="s">
        <v>1305</v>
      </c>
      <c r="G257" s="378" t="s">
        <v>1046</v>
      </c>
      <c r="H257" s="378" t="s">
        <v>1047</v>
      </c>
      <c r="I257" s="380">
        <v>299.52</v>
      </c>
      <c r="J257" s="380">
        <v>24</v>
      </c>
      <c r="K257" s="381">
        <v>7188.54</v>
      </c>
    </row>
    <row r="258" spans="1:11" ht="14.4" customHeight="1" x14ac:dyDescent="0.3">
      <c r="A258" s="376" t="s">
        <v>382</v>
      </c>
      <c r="B258" s="377" t="s">
        <v>540</v>
      </c>
      <c r="C258" s="378" t="s">
        <v>387</v>
      </c>
      <c r="D258" s="379" t="s">
        <v>541</v>
      </c>
      <c r="E258" s="378" t="s">
        <v>1304</v>
      </c>
      <c r="F258" s="379" t="s">
        <v>1305</v>
      </c>
      <c r="G258" s="378" t="s">
        <v>1048</v>
      </c>
      <c r="H258" s="378" t="s">
        <v>1049</v>
      </c>
      <c r="I258" s="380">
        <v>389.37</v>
      </c>
      <c r="J258" s="380">
        <v>24</v>
      </c>
      <c r="K258" s="381">
        <v>9344.9</v>
      </c>
    </row>
    <row r="259" spans="1:11" ht="14.4" customHeight="1" x14ac:dyDescent="0.3">
      <c r="A259" s="376" t="s">
        <v>382</v>
      </c>
      <c r="B259" s="377" t="s">
        <v>540</v>
      </c>
      <c r="C259" s="378" t="s">
        <v>387</v>
      </c>
      <c r="D259" s="379" t="s">
        <v>541</v>
      </c>
      <c r="E259" s="378" t="s">
        <v>1304</v>
      </c>
      <c r="F259" s="379" t="s">
        <v>1305</v>
      </c>
      <c r="G259" s="378" t="s">
        <v>1050</v>
      </c>
      <c r="H259" s="378" t="s">
        <v>1051</v>
      </c>
      <c r="I259" s="380">
        <v>31.43</v>
      </c>
      <c r="J259" s="380">
        <v>60</v>
      </c>
      <c r="K259" s="381">
        <v>1885.6</v>
      </c>
    </row>
    <row r="260" spans="1:11" ht="14.4" customHeight="1" x14ac:dyDescent="0.3">
      <c r="A260" s="376" t="s">
        <v>382</v>
      </c>
      <c r="B260" s="377" t="s">
        <v>540</v>
      </c>
      <c r="C260" s="378" t="s">
        <v>387</v>
      </c>
      <c r="D260" s="379" t="s">
        <v>541</v>
      </c>
      <c r="E260" s="378" t="s">
        <v>1306</v>
      </c>
      <c r="F260" s="379" t="s">
        <v>1307</v>
      </c>
      <c r="G260" s="378" t="s">
        <v>1052</v>
      </c>
      <c r="H260" s="378" t="s">
        <v>1053</v>
      </c>
      <c r="I260" s="380">
        <v>0.3</v>
      </c>
      <c r="J260" s="380">
        <v>200</v>
      </c>
      <c r="K260" s="381">
        <v>60</v>
      </c>
    </row>
    <row r="261" spans="1:11" ht="14.4" customHeight="1" x14ac:dyDescent="0.3">
      <c r="A261" s="376" t="s">
        <v>382</v>
      </c>
      <c r="B261" s="377" t="s">
        <v>540</v>
      </c>
      <c r="C261" s="378" t="s">
        <v>387</v>
      </c>
      <c r="D261" s="379" t="s">
        <v>541</v>
      </c>
      <c r="E261" s="378" t="s">
        <v>1306</v>
      </c>
      <c r="F261" s="379" t="s">
        <v>1307</v>
      </c>
      <c r="G261" s="378" t="s">
        <v>1054</v>
      </c>
      <c r="H261" s="378" t="s">
        <v>1055</v>
      </c>
      <c r="I261" s="380">
        <v>0.31</v>
      </c>
      <c r="J261" s="380">
        <v>300</v>
      </c>
      <c r="K261" s="381">
        <v>93</v>
      </c>
    </row>
    <row r="262" spans="1:11" ht="14.4" customHeight="1" x14ac:dyDescent="0.3">
      <c r="A262" s="376" t="s">
        <v>382</v>
      </c>
      <c r="B262" s="377" t="s">
        <v>540</v>
      </c>
      <c r="C262" s="378" t="s">
        <v>387</v>
      </c>
      <c r="D262" s="379" t="s">
        <v>541</v>
      </c>
      <c r="E262" s="378" t="s">
        <v>1306</v>
      </c>
      <c r="F262" s="379" t="s">
        <v>1307</v>
      </c>
      <c r="G262" s="378" t="s">
        <v>1056</v>
      </c>
      <c r="H262" s="378" t="s">
        <v>1057</v>
      </c>
      <c r="I262" s="380">
        <v>0.3</v>
      </c>
      <c r="J262" s="380">
        <v>500</v>
      </c>
      <c r="K262" s="381">
        <v>150</v>
      </c>
    </row>
    <row r="263" spans="1:11" ht="14.4" customHeight="1" x14ac:dyDescent="0.3">
      <c r="A263" s="376" t="s">
        <v>382</v>
      </c>
      <c r="B263" s="377" t="s">
        <v>540</v>
      </c>
      <c r="C263" s="378" t="s">
        <v>387</v>
      </c>
      <c r="D263" s="379" t="s">
        <v>541</v>
      </c>
      <c r="E263" s="378" t="s">
        <v>1306</v>
      </c>
      <c r="F263" s="379" t="s">
        <v>1307</v>
      </c>
      <c r="G263" s="378" t="s">
        <v>1058</v>
      </c>
      <c r="H263" s="378" t="s">
        <v>1059</v>
      </c>
      <c r="I263" s="380">
        <v>0.3</v>
      </c>
      <c r="J263" s="380">
        <v>200</v>
      </c>
      <c r="K263" s="381">
        <v>60</v>
      </c>
    </row>
    <row r="264" spans="1:11" ht="14.4" customHeight="1" x14ac:dyDescent="0.3">
      <c r="A264" s="376" t="s">
        <v>382</v>
      </c>
      <c r="B264" s="377" t="s">
        <v>540</v>
      </c>
      <c r="C264" s="378" t="s">
        <v>387</v>
      </c>
      <c r="D264" s="379" t="s">
        <v>541</v>
      </c>
      <c r="E264" s="378" t="s">
        <v>1306</v>
      </c>
      <c r="F264" s="379" t="s">
        <v>1307</v>
      </c>
      <c r="G264" s="378" t="s">
        <v>1060</v>
      </c>
      <c r="H264" s="378" t="s">
        <v>1061</v>
      </c>
      <c r="I264" s="380">
        <v>10.987500000000001</v>
      </c>
      <c r="J264" s="380">
        <v>200</v>
      </c>
      <c r="K264" s="381">
        <v>2197.1999999999998</v>
      </c>
    </row>
    <row r="265" spans="1:11" ht="14.4" customHeight="1" x14ac:dyDescent="0.3">
      <c r="A265" s="376" t="s">
        <v>382</v>
      </c>
      <c r="B265" s="377" t="s">
        <v>540</v>
      </c>
      <c r="C265" s="378" t="s">
        <v>387</v>
      </c>
      <c r="D265" s="379" t="s">
        <v>541</v>
      </c>
      <c r="E265" s="378" t="s">
        <v>1306</v>
      </c>
      <c r="F265" s="379" t="s">
        <v>1307</v>
      </c>
      <c r="G265" s="378" t="s">
        <v>1062</v>
      </c>
      <c r="H265" s="378" t="s">
        <v>1063</v>
      </c>
      <c r="I265" s="380">
        <v>10.455</v>
      </c>
      <c r="J265" s="380">
        <v>200</v>
      </c>
      <c r="K265" s="381">
        <v>2091.7599999999998</v>
      </c>
    </row>
    <row r="266" spans="1:11" ht="14.4" customHeight="1" x14ac:dyDescent="0.3">
      <c r="A266" s="376" t="s">
        <v>382</v>
      </c>
      <c r="B266" s="377" t="s">
        <v>540</v>
      </c>
      <c r="C266" s="378" t="s">
        <v>387</v>
      </c>
      <c r="D266" s="379" t="s">
        <v>541</v>
      </c>
      <c r="E266" s="378" t="s">
        <v>1306</v>
      </c>
      <c r="F266" s="379" t="s">
        <v>1307</v>
      </c>
      <c r="G266" s="378" t="s">
        <v>1064</v>
      </c>
      <c r="H266" s="378" t="s">
        <v>1065</v>
      </c>
      <c r="I266" s="380">
        <v>10.99</v>
      </c>
      <c r="J266" s="380">
        <v>50</v>
      </c>
      <c r="K266" s="381">
        <v>549.34</v>
      </c>
    </row>
    <row r="267" spans="1:11" ht="14.4" customHeight="1" x14ac:dyDescent="0.3">
      <c r="A267" s="376" t="s">
        <v>382</v>
      </c>
      <c r="B267" s="377" t="s">
        <v>540</v>
      </c>
      <c r="C267" s="378" t="s">
        <v>387</v>
      </c>
      <c r="D267" s="379" t="s">
        <v>541</v>
      </c>
      <c r="E267" s="378" t="s">
        <v>1306</v>
      </c>
      <c r="F267" s="379" t="s">
        <v>1307</v>
      </c>
      <c r="G267" s="378" t="s">
        <v>1066</v>
      </c>
      <c r="H267" s="378" t="s">
        <v>1067</v>
      </c>
      <c r="I267" s="380">
        <v>10.986666666666666</v>
      </c>
      <c r="J267" s="380">
        <v>150</v>
      </c>
      <c r="K267" s="381">
        <v>1647.8600000000001</v>
      </c>
    </row>
    <row r="268" spans="1:11" ht="14.4" customHeight="1" x14ac:dyDescent="0.3">
      <c r="A268" s="376" t="s">
        <v>382</v>
      </c>
      <c r="B268" s="377" t="s">
        <v>540</v>
      </c>
      <c r="C268" s="378" t="s">
        <v>387</v>
      </c>
      <c r="D268" s="379" t="s">
        <v>541</v>
      </c>
      <c r="E268" s="378" t="s">
        <v>1306</v>
      </c>
      <c r="F268" s="379" t="s">
        <v>1307</v>
      </c>
      <c r="G268" s="378" t="s">
        <v>1068</v>
      </c>
      <c r="H268" s="378" t="s">
        <v>1069</v>
      </c>
      <c r="I268" s="380">
        <v>10.455</v>
      </c>
      <c r="J268" s="380">
        <v>100</v>
      </c>
      <c r="K268" s="381">
        <v>1045.6600000000001</v>
      </c>
    </row>
    <row r="269" spans="1:11" ht="14.4" customHeight="1" x14ac:dyDescent="0.3">
      <c r="A269" s="376" t="s">
        <v>382</v>
      </c>
      <c r="B269" s="377" t="s">
        <v>540</v>
      </c>
      <c r="C269" s="378" t="s">
        <v>387</v>
      </c>
      <c r="D269" s="379" t="s">
        <v>541</v>
      </c>
      <c r="E269" s="378" t="s">
        <v>1306</v>
      </c>
      <c r="F269" s="379" t="s">
        <v>1307</v>
      </c>
      <c r="G269" s="378" t="s">
        <v>1070</v>
      </c>
      <c r="H269" s="378" t="s">
        <v>1071</v>
      </c>
      <c r="I269" s="380">
        <v>10.98</v>
      </c>
      <c r="J269" s="380">
        <v>100</v>
      </c>
      <c r="K269" s="381">
        <v>1098.07</v>
      </c>
    </row>
    <row r="270" spans="1:11" ht="14.4" customHeight="1" x14ac:dyDescent="0.3">
      <c r="A270" s="376" t="s">
        <v>382</v>
      </c>
      <c r="B270" s="377" t="s">
        <v>540</v>
      </c>
      <c r="C270" s="378" t="s">
        <v>387</v>
      </c>
      <c r="D270" s="379" t="s">
        <v>541</v>
      </c>
      <c r="E270" s="378" t="s">
        <v>1306</v>
      </c>
      <c r="F270" s="379" t="s">
        <v>1307</v>
      </c>
      <c r="G270" s="378" t="s">
        <v>1072</v>
      </c>
      <c r="H270" s="378" t="s">
        <v>1073</v>
      </c>
      <c r="I270" s="380">
        <v>0.48333333333333334</v>
      </c>
      <c r="J270" s="380">
        <v>800</v>
      </c>
      <c r="K270" s="381">
        <v>387</v>
      </c>
    </row>
    <row r="271" spans="1:11" ht="14.4" customHeight="1" x14ac:dyDescent="0.3">
      <c r="A271" s="376" t="s">
        <v>382</v>
      </c>
      <c r="B271" s="377" t="s">
        <v>540</v>
      </c>
      <c r="C271" s="378" t="s">
        <v>387</v>
      </c>
      <c r="D271" s="379" t="s">
        <v>541</v>
      </c>
      <c r="E271" s="378" t="s">
        <v>1306</v>
      </c>
      <c r="F271" s="379" t="s">
        <v>1307</v>
      </c>
      <c r="G271" s="378" t="s">
        <v>1074</v>
      </c>
      <c r="H271" s="378" t="s">
        <v>1075</v>
      </c>
      <c r="I271" s="380">
        <v>25.51</v>
      </c>
      <c r="J271" s="380">
        <v>72</v>
      </c>
      <c r="K271" s="381">
        <v>1836.8999999999999</v>
      </c>
    </row>
    <row r="272" spans="1:11" ht="14.4" customHeight="1" x14ac:dyDescent="0.3">
      <c r="A272" s="376" t="s">
        <v>382</v>
      </c>
      <c r="B272" s="377" t="s">
        <v>540</v>
      </c>
      <c r="C272" s="378" t="s">
        <v>387</v>
      </c>
      <c r="D272" s="379" t="s">
        <v>541</v>
      </c>
      <c r="E272" s="378" t="s">
        <v>1306</v>
      </c>
      <c r="F272" s="379" t="s">
        <v>1307</v>
      </c>
      <c r="G272" s="378" t="s">
        <v>1076</v>
      </c>
      <c r="H272" s="378" t="s">
        <v>1077</v>
      </c>
      <c r="I272" s="380">
        <v>21.679999999999996</v>
      </c>
      <c r="J272" s="380">
        <v>72</v>
      </c>
      <c r="K272" s="381">
        <v>1560.8999999999999</v>
      </c>
    </row>
    <row r="273" spans="1:11" ht="14.4" customHeight="1" x14ac:dyDescent="0.3">
      <c r="A273" s="376" t="s">
        <v>382</v>
      </c>
      <c r="B273" s="377" t="s">
        <v>540</v>
      </c>
      <c r="C273" s="378" t="s">
        <v>387</v>
      </c>
      <c r="D273" s="379" t="s">
        <v>541</v>
      </c>
      <c r="E273" s="378" t="s">
        <v>1306</v>
      </c>
      <c r="F273" s="379" t="s">
        <v>1307</v>
      </c>
      <c r="G273" s="378" t="s">
        <v>1078</v>
      </c>
      <c r="H273" s="378" t="s">
        <v>1079</v>
      </c>
      <c r="I273" s="380">
        <v>13.21</v>
      </c>
      <c r="J273" s="380">
        <v>150</v>
      </c>
      <c r="K273" s="381">
        <v>1981.98</v>
      </c>
    </row>
    <row r="274" spans="1:11" ht="14.4" customHeight="1" x14ac:dyDescent="0.3">
      <c r="A274" s="376" t="s">
        <v>382</v>
      </c>
      <c r="B274" s="377" t="s">
        <v>540</v>
      </c>
      <c r="C274" s="378" t="s">
        <v>387</v>
      </c>
      <c r="D274" s="379" t="s">
        <v>541</v>
      </c>
      <c r="E274" s="378" t="s">
        <v>1306</v>
      </c>
      <c r="F274" s="379" t="s">
        <v>1307</v>
      </c>
      <c r="G274" s="378" t="s">
        <v>1080</v>
      </c>
      <c r="H274" s="378" t="s">
        <v>1081</v>
      </c>
      <c r="I274" s="380">
        <v>10.987500000000001</v>
      </c>
      <c r="J274" s="380">
        <v>340</v>
      </c>
      <c r="K274" s="381">
        <v>3734.8600000000006</v>
      </c>
    </row>
    <row r="275" spans="1:11" ht="14.4" customHeight="1" x14ac:dyDescent="0.3">
      <c r="A275" s="376" t="s">
        <v>382</v>
      </c>
      <c r="B275" s="377" t="s">
        <v>540</v>
      </c>
      <c r="C275" s="378" t="s">
        <v>387</v>
      </c>
      <c r="D275" s="379" t="s">
        <v>541</v>
      </c>
      <c r="E275" s="378" t="s">
        <v>1306</v>
      </c>
      <c r="F275" s="379" t="s">
        <v>1307</v>
      </c>
      <c r="G275" s="378" t="s">
        <v>1082</v>
      </c>
      <c r="H275" s="378" t="s">
        <v>1083</v>
      </c>
      <c r="I275" s="380">
        <v>25.51</v>
      </c>
      <c r="J275" s="380">
        <v>72</v>
      </c>
      <c r="K275" s="381">
        <v>1836.8999999999999</v>
      </c>
    </row>
    <row r="276" spans="1:11" ht="14.4" customHeight="1" x14ac:dyDescent="0.3">
      <c r="A276" s="376" t="s">
        <v>382</v>
      </c>
      <c r="B276" s="377" t="s">
        <v>540</v>
      </c>
      <c r="C276" s="378" t="s">
        <v>387</v>
      </c>
      <c r="D276" s="379" t="s">
        <v>541</v>
      </c>
      <c r="E276" s="378" t="s">
        <v>1306</v>
      </c>
      <c r="F276" s="379" t="s">
        <v>1307</v>
      </c>
      <c r="G276" s="378" t="s">
        <v>1084</v>
      </c>
      <c r="H276" s="378" t="s">
        <v>1085</v>
      </c>
      <c r="I276" s="380">
        <v>25.51</v>
      </c>
      <c r="J276" s="380">
        <v>72</v>
      </c>
      <c r="K276" s="381">
        <v>1836.8999999999999</v>
      </c>
    </row>
    <row r="277" spans="1:11" ht="14.4" customHeight="1" x14ac:dyDescent="0.3">
      <c r="A277" s="376" t="s">
        <v>382</v>
      </c>
      <c r="B277" s="377" t="s">
        <v>540</v>
      </c>
      <c r="C277" s="378" t="s">
        <v>387</v>
      </c>
      <c r="D277" s="379" t="s">
        <v>541</v>
      </c>
      <c r="E277" s="378" t="s">
        <v>1306</v>
      </c>
      <c r="F277" s="379" t="s">
        <v>1307</v>
      </c>
      <c r="G277" s="378" t="s">
        <v>1086</v>
      </c>
      <c r="H277" s="378" t="s">
        <v>1087</v>
      </c>
      <c r="I277" s="380">
        <v>25.51</v>
      </c>
      <c r="J277" s="380">
        <v>72</v>
      </c>
      <c r="K277" s="381">
        <v>1836.8999999999999</v>
      </c>
    </row>
    <row r="278" spans="1:11" ht="14.4" customHeight="1" x14ac:dyDescent="0.3">
      <c r="A278" s="376" t="s">
        <v>382</v>
      </c>
      <c r="B278" s="377" t="s">
        <v>540</v>
      </c>
      <c r="C278" s="378" t="s">
        <v>387</v>
      </c>
      <c r="D278" s="379" t="s">
        <v>541</v>
      </c>
      <c r="E278" s="378" t="s">
        <v>1306</v>
      </c>
      <c r="F278" s="379" t="s">
        <v>1307</v>
      </c>
      <c r="G278" s="378" t="s">
        <v>1088</v>
      </c>
      <c r="H278" s="378" t="s">
        <v>1089</v>
      </c>
      <c r="I278" s="380">
        <v>786.5</v>
      </c>
      <c r="J278" s="380">
        <v>30</v>
      </c>
      <c r="K278" s="381">
        <v>23595</v>
      </c>
    </row>
    <row r="279" spans="1:11" ht="14.4" customHeight="1" x14ac:dyDescent="0.3">
      <c r="A279" s="376" t="s">
        <v>382</v>
      </c>
      <c r="B279" s="377" t="s">
        <v>540</v>
      </c>
      <c r="C279" s="378" t="s">
        <v>387</v>
      </c>
      <c r="D279" s="379" t="s">
        <v>541</v>
      </c>
      <c r="E279" s="378" t="s">
        <v>1306</v>
      </c>
      <c r="F279" s="379" t="s">
        <v>1307</v>
      </c>
      <c r="G279" s="378" t="s">
        <v>1090</v>
      </c>
      <c r="H279" s="378" t="s">
        <v>1091</v>
      </c>
      <c r="I279" s="380">
        <v>10.45</v>
      </c>
      <c r="J279" s="380">
        <v>150</v>
      </c>
      <c r="K279" s="381">
        <v>1568.16</v>
      </c>
    </row>
    <row r="280" spans="1:11" ht="14.4" customHeight="1" x14ac:dyDescent="0.3">
      <c r="A280" s="376" t="s">
        <v>382</v>
      </c>
      <c r="B280" s="377" t="s">
        <v>540</v>
      </c>
      <c r="C280" s="378" t="s">
        <v>387</v>
      </c>
      <c r="D280" s="379" t="s">
        <v>541</v>
      </c>
      <c r="E280" s="378" t="s">
        <v>1306</v>
      </c>
      <c r="F280" s="379" t="s">
        <v>1307</v>
      </c>
      <c r="G280" s="378" t="s">
        <v>1092</v>
      </c>
      <c r="H280" s="378" t="s">
        <v>1093</v>
      </c>
      <c r="I280" s="380">
        <v>13.21</v>
      </c>
      <c r="J280" s="380">
        <v>150</v>
      </c>
      <c r="K280" s="381">
        <v>1981.98</v>
      </c>
    </row>
    <row r="281" spans="1:11" ht="14.4" customHeight="1" x14ac:dyDescent="0.3">
      <c r="A281" s="376" t="s">
        <v>382</v>
      </c>
      <c r="B281" s="377" t="s">
        <v>540</v>
      </c>
      <c r="C281" s="378" t="s">
        <v>387</v>
      </c>
      <c r="D281" s="379" t="s">
        <v>541</v>
      </c>
      <c r="E281" s="378" t="s">
        <v>1306</v>
      </c>
      <c r="F281" s="379" t="s">
        <v>1307</v>
      </c>
      <c r="G281" s="378" t="s">
        <v>1094</v>
      </c>
      <c r="H281" s="378" t="s">
        <v>1095</v>
      </c>
      <c r="I281" s="380">
        <v>10.99</v>
      </c>
      <c r="J281" s="380">
        <v>50</v>
      </c>
      <c r="K281" s="381">
        <v>549.34</v>
      </c>
    </row>
    <row r="282" spans="1:11" ht="14.4" customHeight="1" x14ac:dyDescent="0.3">
      <c r="A282" s="376" t="s">
        <v>382</v>
      </c>
      <c r="B282" s="377" t="s">
        <v>540</v>
      </c>
      <c r="C282" s="378" t="s">
        <v>387</v>
      </c>
      <c r="D282" s="379" t="s">
        <v>541</v>
      </c>
      <c r="E282" s="378" t="s">
        <v>1308</v>
      </c>
      <c r="F282" s="379" t="s">
        <v>1309</v>
      </c>
      <c r="G282" s="378" t="s">
        <v>1096</v>
      </c>
      <c r="H282" s="378" t="s">
        <v>1097</v>
      </c>
      <c r="I282" s="380">
        <v>10.55</v>
      </c>
      <c r="J282" s="380">
        <v>160</v>
      </c>
      <c r="K282" s="381">
        <v>1688.2</v>
      </c>
    </row>
    <row r="283" spans="1:11" ht="14.4" customHeight="1" x14ac:dyDescent="0.3">
      <c r="A283" s="376" t="s">
        <v>382</v>
      </c>
      <c r="B283" s="377" t="s">
        <v>540</v>
      </c>
      <c r="C283" s="378" t="s">
        <v>387</v>
      </c>
      <c r="D283" s="379" t="s">
        <v>541</v>
      </c>
      <c r="E283" s="378" t="s">
        <v>1308</v>
      </c>
      <c r="F283" s="379" t="s">
        <v>1309</v>
      </c>
      <c r="G283" s="378" t="s">
        <v>1098</v>
      </c>
      <c r="H283" s="378" t="s">
        <v>1099</v>
      </c>
      <c r="I283" s="380">
        <v>20.69</v>
      </c>
      <c r="J283" s="380">
        <v>100</v>
      </c>
      <c r="K283" s="381">
        <v>2069.1</v>
      </c>
    </row>
    <row r="284" spans="1:11" ht="14.4" customHeight="1" x14ac:dyDescent="0.3">
      <c r="A284" s="376" t="s">
        <v>382</v>
      </c>
      <c r="B284" s="377" t="s">
        <v>540</v>
      </c>
      <c r="C284" s="378" t="s">
        <v>387</v>
      </c>
      <c r="D284" s="379" t="s">
        <v>541</v>
      </c>
      <c r="E284" s="378" t="s">
        <v>1308</v>
      </c>
      <c r="F284" s="379" t="s">
        <v>1309</v>
      </c>
      <c r="G284" s="378" t="s">
        <v>1100</v>
      </c>
      <c r="H284" s="378" t="s">
        <v>1101</v>
      </c>
      <c r="I284" s="380">
        <v>16.21</v>
      </c>
      <c r="J284" s="380">
        <v>300</v>
      </c>
      <c r="K284" s="381">
        <v>4864.2</v>
      </c>
    </row>
    <row r="285" spans="1:11" ht="14.4" customHeight="1" x14ac:dyDescent="0.3">
      <c r="A285" s="376" t="s">
        <v>382</v>
      </c>
      <c r="B285" s="377" t="s">
        <v>540</v>
      </c>
      <c r="C285" s="378" t="s">
        <v>387</v>
      </c>
      <c r="D285" s="379" t="s">
        <v>541</v>
      </c>
      <c r="E285" s="378" t="s">
        <v>1308</v>
      </c>
      <c r="F285" s="379" t="s">
        <v>1309</v>
      </c>
      <c r="G285" s="378" t="s">
        <v>1102</v>
      </c>
      <c r="H285" s="378" t="s">
        <v>1103</v>
      </c>
      <c r="I285" s="380">
        <v>20.692499999999999</v>
      </c>
      <c r="J285" s="380">
        <v>400</v>
      </c>
      <c r="K285" s="381">
        <v>8276.4</v>
      </c>
    </row>
    <row r="286" spans="1:11" ht="14.4" customHeight="1" x14ac:dyDescent="0.3">
      <c r="A286" s="376" t="s">
        <v>382</v>
      </c>
      <c r="B286" s="377" t="s">
        <v>540</v>
      </c>
      <c r="C286" s="378" t="s">
        <v>387</v>
      </c>
      <c r="D286" s="379" t="s">
        <v>541</v>
      </c>
      <c r="E286" s="378" t="s">
        <v>1308</v>
      </c>
      <c r="F286" s="379" t="s">
        <v>1309</v>
      </c>
      <c r="G286" s="378" t="s">
        <v>1104</v>
      </c>
      <c r="H286" s="378" t="s">
        <v>1105</v>
      </c>
      <c r="I286" s="380">
        <v>20.691666666666666</v>
      </c>
      <c r="J286" s="380">
        <v>900</v>
      </c>
      <c r="K286" s="381">
        <v>18621.949999999997</v>
      </c>
    </row>
    <row r="287" spans="1:11" ht="14.4" customHeight="1" x14ac:dyDescent="0.3">
      <c r="A287" s="376" t="s">
        <v>382</v>
      </c>
      <c r="B287" s="377" t="s">
        <v>540</v>
      </c>
      <c r="C287" s="378" t="s">
        <v>387</v>
      </c>
      <c r="D287" s="379" t="s">
        <v>541</v>
      </c>
      <c r="E287" s="378" t="s">
        <v>1308</v>
      </c>
      <c r="F287" s="379" t="s">
        <v>1309</v>
      </c>
      <c r="G287" s="378" t="s">
        <v>1106</v>
      </c>
      <c r="H287" s="378" t="s">
        <v>1107</v>
      </c>
      <c r="I287" s="380">
        <v>2.94</v>
      </c>
      <c r="J287" s="380">
        <v>300</v>
      </c>
      <c r="K287" s="381">
        <v>881.8</v>
      </c>
    </row>
    <row r="288" spans="1:11" ht="14.4" customHeight="1" x14ac:dyDescent="0.3">
      <c r="A288" s="376" t="s">
        <v>382</v>
      </c>
      <c r="B288" s="377" t="s">
        <v>540</v>
      </c>
      <c r="C288" s="378" t="s">
        <v>387</v>
      </c>
      <c r="D288" s="379" t="s">
        <v>541</v>
      </c>
      <c r="E288" s="378" t="s">
        <v>1308</v>
      </c>
      <c r="F288" s="379" t="s">
        <v>1309</v>
      </c>
      <c r="G288" s="378" t="s">
        <v>1108</v>
      </c>
      <c r="H288" s="378" t="s">
        <v>1109</v>
      </c>
      <c r="I288" s="380">
        <v>16.21</v>
      </c>
      <c r="J288" s="380">
        <v>775</v>
      </c>
      <c r="K288" s="381">
        <v>12566.050000000001</v>
      </c>
    </row>
    <row r="289" spans="1:11" ht="14.4" customHeight="1" x14ac:dyDescent="0.3">
      <c r="A289" s="376" t="s">
        <v>382</v>
      </c>
      <c r="B289" s="377" t="s">
        <v>540</v>
      </c>
      <c r="C289" s="378" t="s">
        <v>387</v>
      </c>
      <c r="D289" s="379" t="s">
        <v>541</v>
      </c>
      <c r="E289" s="378" t="s">
        <v>1308</v>
      </c>
      <c r="F289" s="379" t="s">
        <v>1309</v>
      </c>
      <c r="G289" s="378" t="s">
        <v>1110</v>
      </c>
      <c r="H289" s="378" t="s">
        <v>1111</v>
      </c>
      <c r="I289" s="380">
        <v>11.015000000000001</v>
      </c>
      <c r="J289" s="380">
        <v>635</v>
      </c>
      <c r="K289" s="381">
        <v>6992.63</v>
      </c>
    </row>
    <row r="290" spans="1:11" ht="14.4" customHeight="1" x14ac:dyDescent="0.3">
      <c r="A290" s="376" t="s">
        <v>382</v>
      </c>
      <c r="B290" s="377" t="s">
        <v>540</v>
      </c>
      <c r="C290" s="378" t="s">
        <v>387</v>
      </c>
      <c r="D290" s="379" t="s">
        <v>541</v>
      </c>
      <c r="E290" s="378" t="s">
        <v>1308</v>
      </c>
      <c r="F290" s="379" t="s">
        <v>1309</v>
      </c>
      <c r="G290" s="378" t="s">
        <v>1112</v>
      </c>
      <c r="H290" s="378" t="s">
        <v>1113</v>
      </c>
      <c r="I290" s="380">
        <v>11.01</v>
      </c>
      <c r="J290" s="380">
        <v>480</v>
      </c>
      <c r="K290" s="381">
        <v>5284.8</v>
      </c>
    </row>
    <row r="291" spans="1:11" ht="14.4" customHeight="1" x14ac:dyDescent="0.3">
      <c r="A291" s="376" t="s">
        <v>382</v>
      </c>
      <c r="B291" s="377" t="s">
        <v>540</v>
      </c>
      <c r="C291" s="378" t="s">
        <v>387</v>
      </c>
      <c r="D291" s="379" t="s">
        <v>541</v>
      </c>
      <c r="E291" s="378" t="s">
        <v>1308</v>
      </c>
      <c r="F291" s="379" t="s">
        <v>1309</v>
      </c>
      <c r="G291" s="378" t="s">
        <v>1114</v>
      </c>
      <c r="H291" s="378" t="s">
        <v>1115</v>
      </c>
      <c r="I291" s="380">
        <v>11.01</v>
      </c>
      <c r="J291" s="380">
        <v>2160</v>
      </c>
      <c r="K291" s="381">
        <v>23781.599999999999</v>
      </c>
    </row>
    <row r="292" spans="1:11" ht="14.4" customHeight="1" x14ac:dyDescent="0.3">
      <c r="A292" s="376" t="s">
        <v>382</v>
      </c>
      <c r="B292" s="377" t="s">
        <v>540</v>
      </c>
      <c r="C292" s="378" t="s">
        <v>387</v>
      </c>
      <c r="D292" s="379" t="s">
        <v>541</v>
      </c>
      <c r="E292" s="378" t="s">
        <v>1308</v>
      </c>
      <c r="F292" s="379" t="s">
        <v>1309</v>
      </c>
      <c r="G292" s="378" t="s">
        <v>1116</v>
      </c>
      <c r="H292" s="378" t="s">
        <v>1117</v>
      </c>
      <c r="I292" s="380">
        <v>11.01</v>
      </c>
      <c r="J292" s="380">
        <v>1920</v>
      </c>
      <c r="K292" s="381">
        <v>21139.200000000001</v>
      </c>
    </row>
    <row r="293" spans="1:11" ht="14.4" customHeight="1" x14ac:dyDescent="0.3">
      <c r="A293" s="376" t="s">
        <v>382</v>
      </c>
      <c r="B293" s="377" t="s">
        <v>540</v>
      </c>
      <c r="C293" s="378" t="s">
        <v>387</v>
      </c>
      <c r="D293" s="379" t="s">
        <v>541</v>
      </c>
      <c r="E293" s="378" t="s">
        <v>1308</v>
      </c>
      <c r="F293" s="379" t="s">
        <v>1309</v>
      </c>
      <c r="G293" s="378" t="s">
        <v>1118</v>
      </c>
      <c r="H293" s="378" t="s">
        <v>1119</v>
      </c>
      <c r="I293" s="380">
        <v>11.01</v>
      </c>
      <c r="J293" s="380">
        <v>1440</v>
      </c>
      <c r="K293" s="381">
        <v>15854.4</v>
      </c>
    </row>
    <row r="294" spans="1:11" ht="14.4" customHeight="1" x14ac:dyDescent="0.3">
      <c r="A294" s="376" t="s">
        <v>382</v>
      </c>
      <c r="B294" s="377" t="s">
        <v>540</v>
      </c>
      <c r="C294" s="378" t="s">
        <v>387</v>
      </c>
      <c r="D294" s="379" t="s">
        <v>541</v>
      </c>
      <c r="E294" s="378" t="s">
        <v>1308</v>
      </c>
      <c r="F294" s="379" t="s">
        <v>1309</v>
      </c>
      <c r="G294" s="378" t="s">
        <v>1120</v>
      </c>
      <c r="H294" s="378" t="s">
        <v>1121</v>
      </c>
      <c r="I294" s="380">
        <v>10.55</v>
      </c>
      <c r="J294" s="380">
        <v>160</v>
      </c>
      <c r="K294" s="381">
        <v>1688.2</v>
      </c>
    </row>
    <row r="295" spans="1:11" ht="14.4" customHeight="1" x14ac:dyDescent="0.3">
      <c r="A295" s="376" t="s">
        <v>382</v>
      </c>
      <c r="B295" s="377" t="s">
        <v>540</v>
      </c>
      <c r="C295" s="378" t="s">
        <v>387</v>
      </c>
      <c r="D295" s="379" t="s">
        <v>541</v>
      </c>
      <c r="E295" s="378" t="s">
        <v>1308</v>
      </c>
      <c r="F295" s="379" t="s">
        <v>1309</v>
      </c>
      <c r="G295" s="378" t="s">
        <v>1122</v>
      </c>
      <c r="H295" s="378" t="s">
        <v>1123</v>
      </c>
      <c r="I295" s="380">
        <v>10.549999999999999</v>
      </c>
      <c r="J295" s="380">
        <v>1600</v>
      </c>
      <c r="K295" s="381">
        <v>16882.02</v>
      </c>
    </row>
    <row r="296" spans="1:11" ht="14.4" customHeight="1" x14ac:dyDescent="0.3">
      <c r="A296" s="376" t="s">
        <v>382</v>
      </c>
      <c r="B296" s="377" t="s">
        <v>540</v>
      </c>
      <c r="C296" s="378" t="s">
        <v>387</v>
      </c>
      <c r="D296" s="379" t="s">
        <v>541</v>
      </c>
      <c r="E296" s="378" t="s">
        <v>1308</v>
      </c>
      <c r="F296" s="379" t="s">
        <v>1309</v>
      </c>
      <c r="G296" s="378" t="s">
        <v>1124</v>
      </c>
      <c r="H296" s="378" t="s">
        <v>1125</v>
      </c>
      <c r="I296" s="380">
        <v>10.55</v>
      </c>
      <c r="J296" s="380">
        <v>480</v>
      </c>
      <c r="K296" s="381">
        <v>5064.29</v>
      </c>
    </row>
    <row r="297" spans="1:11" ht="14.4" customHeight="1" x14ac:dyDescent="0.3">
      <c r="A297" s="376" t="s">
        <v>382</v>
      </c>
      <c r="B297" s="377" t="s">
        <v>540</v>
      </c>
      <c r="C297" s="378" t="s">
        <v>387</v>
      </c>
      <c r="D297" s="379" t="s">
        <v>541</v>
      </c>
      <c r="E297" s="378" t="s">
        <v>1308</v>
      </c>
      <c r="F297" s="379" t="s">
        <v>1309</v>
      </c>
      <c r="G297" s="378" t="s">
        <v>1126</v>
      </c>
      <c r="H297" s="378" t="s">
        <v>1127</v>
      </c>
      <c r="I297" s="380">
        <v>16.21</v>
      </c>
      <c r="J297" s="380">
        <v>525</v>
      </c>
      <c r="K297" s="381">
        <v>8512.34</v>
      </c>
    </row>
    <row r="298" spans="1:11" ht="14.4" customHeight="1" x14ac:dyDescent="0.3">
      <c r="A298" s="376" t="s">
        <v>382</v>
      </c>
      <c r="B298" s="377" t="s">
        <v>540</v>
      </c>
      <c r="C298" s="378" t="s">
        <v>387</v>
      </c>
      <c r="D298" s="379" t="s">
        <v>541</v>
      </c>
      <c r="E298" s="378" t="s">
        <v>1308</v>
      </c>
      <c r="F298" s="379" t="s">
        <v>1309</v>
      </c>
      <c r="G298" s="378" t="s">
        <v>1128</v>
      </c>
      <c r="H298" s="378" t="s">
        <v>1129</v>
      </c>
      <c r="I298" s="380">
        <v>16.21</v>
      </c>
      <c r="J298" s="380">
        <v>525</v>
      </c>
      <c r="K298" s="381">
        <v>8512.35</v>
      </c>
    </row>
    <row r="299" spans="1:11" ht="14.4" customHeight="1" x14ac:dyDescent="0.3">
      <c r="A299" s="376" t="s">
        <v>382</v>
      </c>
      <c r="B299" s="377" t="s">
        <v>540</v>
      </c>
      <c r="C299" s="378" t="s">
        <v>387</v>
      </c>
      <c r="D299" s="379" t="s">
        <v>541</v>
      </c>
      <c r="E299" s="378" t="s">
        <v>1308</v>
      </c>
      <c r="F299" s="379" t="s">
        <v>1309</v>
      </c>
      <c r="G299" s="378" t="s">
        <v>1130</v>
      </c>
      <c r="H299" s="378" t="s">
        <v>1131</v>
      </c>
      <c r="I299" s="380">
        <v>10.55</v>
      </c>
      <c r="J299" s="380">
        <v>240</v>
      </c>
      <c r="K299" s="381">
        <v>2532.3000000000002</v>
      </c>
    </row>
    <row r="300" spans="1:11" ht="14.4" customHeight="1" x14ac:dyDescent="0.3">
      <c r="A300" s="376" t="s">
        <v>382</v>
      </c>
      <c r="B300" s="377" t="s">
        <v>540</v>
      </c>
      <c r="C300" s="378" t="s">
        <v>387</v>
      </c>
      <c r="D300" s="379" t="s">
        <v>541</v>
      </c>
      <c r="E300" s="378" t="s">
        <v>1308</v>
      </c>
      <c r="F300" s="379" t="s">
        <v>1309</v>
      </c>
      <c r="G300" s="378" t="s">
        <v>1132</v>
      </c>
      <c r="H300" s="378" t="s">
        <v>1133</v>
      </c>
      <c r="I300" s="380">
        <v>13.89</v>
      </c>
      <c r="J300" s="380">
        <v>50</v>
      </c>
      <c r="K300" s="381">
        <v>694.3</v>
      </c>
    </row>
    <row r="301" spans="1:11" ht="14.4" customHeight="1" x14ac:dyDescent="0.3">
      <c r="A301" s="376" t="s">
        <v>382</v>
      </c>
      <c r="B301" s="377" t="s">
        <v>540</v>
      </c>
      <c r="C301" s="378" t="s">
        <v>387</v>
      </c>
      <c r="D301" s="379" t="s">
        <v>541</v>
      </c>
      <c r="E301" s="378" t="s">
        <v>1308</v>
      </c>
      <c r="F301" s="379" t="s">
        <v>1309</v>
      </c>
      <c r="G301" s="378" t="s">
        <v>1134</v>
      </c>
      <c r="H301" s="378" t="s">
        <v>1135</v>
      </c>
      <c r="I301" s="380">
        <v>0.71</v>
      </c>
      <c r="J301" s="380">
        <v>14000</v>
      </c>
      <c r="K301" s="381">
        <v>9940</v>
      </c>
    </row>
    <row r="302" spans="1:11" ht="14.4" customHeight="1" x14ac:dyDescent="0.3">
      <c r="A302" s="376" t="s">
        <v>382</v>
      </c>
      <c r="B302" s="377" t="s">
        <v>540</v>
      </c>
      <c r="C302" s="378" t="s">
        <v>387</v>
      </c>
      <c r="D302" s="379" t="s">
        <v>541</v>
      </c>
      <c r="E302" s="378" t="s">
        <v>1308</v>
      </c>
      <c r="F302" s="379" t="s">
        <v>1309</v>
      </c>
      <c r="G302" s="378" t="s">
        <v>1136</v>
      </c>
      <c r="H302" s="378" t="s">
        <v>1137</v>
      </c>
      <c r="I302" s="380">
        <v>0.71</v>
      </c>
      <c r="J302" s="380">
        <v>40400</v>
      </c>
      <c r="K302" s="381">
        <v>28684</v>
      </c>
    </row>
    <row r="303" spans="1:11" ht="14.4" customHeight="1" x14ac:dyDescent="0.3">
      <c r="A303" s="376" t="s">
        <v>382</v>
      </c>
      <c r="B303" s="377" t="s">
        <v>540</v>
      </c>
      <c r="C303" s="378" t="s">
        <v>387</v>
      </c>
      <c r="D303" s="379" t="s">
        <v>541</v>
      </c>
      <c r="E303" s="378" t="s">
        <v>1308</v>
      </c>
      <c r="F303" s="379" t="s">
        <v>1309</v>
      </c>
      <c r="G303" s="378" t="s">
        <v>1138</v>
      </c>
      <c r="H303" s="378" t="s">
        <v>1139</v>
      </c>
      <c r="I303" s="380">
        <v>12.288333333333334</v>
      </c>
      <c r="J303" s="380">
        <v>2660</v>
      </c>
      <c r="K303" s="381">
        <v>32618.46</v>
      </c>
    </row>
    <row r="304" spans="1:11" ht="14.4" customHeight="1" x14ac:dyDescent="0.3">
      <c r="A304" s="376" t="s">
        <v>382</v>
      </c>
      <c r="B304" s="377" t="s">
        <v>540</v>
      </c>
      <c r="C304" s="378" t="s">
        <v>387</v>
      </c>
      <c r="D304" s="379" t="s">
        <v>541</v>
      </c>
      <c r="E304" s="378" t="s">
        <v>1308</v>
      </c>
      <c r="F304" s="379" t="s">
        <v>1309</v>
      </c>
      <c r="G304" s="378" t="s">
        <v>1140</v>
      </c>
      <c r="H304" s="378" t="s">
        <v>1141</v>
      </c>
      <c r="I304" s="380">
        <v>12.5825</v>
      </c>
      <c r="J304" s="380">
        <v>2640</v>
      </c>
      <c r="K304" s="381">
        <v>33218.399999999994</v>
      </c>
    </row>
    <row r="305" spans="1:11" ht="14.4" customHeight="1" x14ac:dyDescent="0.3">
      <c r="A305" s="376" t="s">
        <v>382</v>
      </c>
      <c r="B305" s="377" t="s">
        <v>540</v>
      </c>
      <c r="C305" s="378" t="s">
        <v>387</v>
      </c>
      <c r="D305" s="379" t="s">
        <v>541</v>
      </c>
      <c r="E305" s="378" t="s">
        <v>1308</v>
      </c>
      <c r="F305" s="379" t="s">
        <v>1309</v>
      </c>
      <c r="G305" s="378" t="s">
        <v>1142</v>
      </c>
      <c r="H305" s="378" t="s">
        <v>1143</v>
      </c>
      <c r="I305" s="380">
        <v>12.585000000000001</v>
      </c>
      <c r="J305" s="380">
        <v>1865</v>
      </c>
      <c r="K305" s="381">
        <v>23468.36</v>
      </c>
    </row>
    <row r="306" spans="1:11" ht="14.4" customHeight="1" x14ac:dyDescent="0.3">
      <c r="A306" s="376" t="s">
        <v>382</v>
      </c>
      <c r="B306" s="377" t="s">
        <v>540</v>
      </c>
      <c r="C306" s="378" t="s">
        <v>387</v>
      </c>
      <c r="D306" s="379" t="s">
        <v>541</v>
      </c>
      <c r="E306" s="378" t="s">
        <v>1308</v>
      </c>
      <c r="F306" s="379" t="s">
        <v>1309</v>
      </c>
      <c r="G306" s="378" t="s">
        <v>1144</v>
      </c>
      <c r="H306" s="378" t="s">
        <v>1145</v>
      </c>
      <c r="I306" s="380">
        <v>12.583333333333334</v>
      </c>
      <c r="J306" s="380">
        <v>960</v>
      </c>
      <c r="K306" s="381">
        <v>12079.199999999999</v>
      </c>
    </row>
    <row r="307" spans="1:11" ht="14.4" customHeight="1" x14ac:dyDescent="0.3">
      <c r="A307" s="376" t="s">
        <v>382</v>
      </c>
      <c r="B307" s="377" t="s">
        <v>540</v>
      </c>
      <c r="C307" s="378" t="s">
        <v>387</v>
      </c>
      <c r="D307" s="379" t="s">
        <v>541</v>
      </c>
      <c r="E307" s="378" t="s">
        <v>1308</v>
      </c>
      <c r="F307" s="379" t="s">
        <v>1309</v>
      </c>
      <c r="G307" s="378" t="s">
        <v>1146</v>
      </c>
      <c r="H307" s="378" t="s">
        <v>1147</v>
      </c>
      <c r="I307" s="380">
        <v>12.58</v>
      </c>
      <c r="J307" s="380">
        <v>480</v>
      </c>
      <c r="K307" s="381">
        <v>6038.4</v>
      </c>
    </row>
    <row r="308" spans="1:11" ht="14.4" customHeight="1" x14ac:dyDescent="0.3">
      <c r="A308" s="376" t="s">
        <v>382</v>
      </c>
      <c r="B308" s="377" t="s">
        <v>540</v>
      </c>
      <c r="C308" s="378" t="s">
        <v>387</v>
      </c>
      <c r="D308" s="379" t="s">
        <v>541</v>
      </c>
      <c r="E308" s="378" t="s">
        <v>1308</v>
      </c>
      <c r="F308" s="379" t="s">
        <v>1309</v>
      </c>
      <c r="G308" s="378" t="s">
        <v>1148</v>
      </c>
      <c r="H308" s="378" t="s">
        <v>1149</v>
      </c>
      <c r="I308" s="380">
        <v>2.94</v>
      </c>
      <c r="J308" s="380">
        <v>100</v>
      </c>
      <c r="K308" s="381">
        <v>293.93</v>
      </c>
    </row>
    <row r="309" spans="1:11" ht="14.4" customHeight="1" x14ac:dyDescent="0.3">
      <c r="A309" s="376" t="s">
        <v>382</v>
      </c>
      <c r="B309" s="377" t="s">
        <v>540</v>
      </c>
      <c r="C309" s="378" t="s">
        <v>387</v>
      </c>
      <c r="D309" s="379" t="s">
        <v>541</v>
      </c>
      <c r="E309" s="378" t="s">
        <v>1308</v>
      </c>
      <c r="F309" s="379" t="s">
        <v>1309</v>
      </c>
      <c r="G309" s="378" t="s">
        <v>1150</v>
      </c>
      <c r="H309" s="378" t="s">
        <v>1151</v>
      </c>
      <c r="I309" s="380">
        <v>12.08</v>
      </c>
      <c r="J309" s="380">
        <v>480</v>
      </c>
      <c r="K309" s="381">
        <v>5798.4</v>
      </c>
    </row>
    <row r="310" spans="1:11" ht="14.4" customHeight="1" x14ac:dyDescent="0.3">
      <c r="A310" s="376" t="s">
        <v>382</v>
      </c>
      <c r="B310" s="377" t="s">
        <v>540</v>
      </c>
      <c r="C310" s="378" t="s">
        <v>387</v>
      </c>
      <c r="D310" s="379" t="s">
        <v>541</v>
      </c>
      <c r="E310" s="378" t="s">
        <v>1310</v>
      </c>
      <c r="F310" s="379" t="s">
        <v>1311</v>
      </c>
      <c r="G310" s="378" t="s">
        <v>1152</v>
      </c>
      <c r="H310" s="378" t="s">
        <v>1153</v>
      </c>
      <c r="I310" s="380">
        <v>631.35</v>
      </c>
      <c r="J310" s="380">
        <v>12</v>
      </c>
      <c r="K310" s="381">
        <v>7576.2</v>
      </c>
    </row>
    <row r="311" spans="1:11" ht="14.4" customHeight="1" x14ac:dyDescent="0.3">
      <c r="A311" s="376" t="s">
        <v>382</v>
      </c>
      <c r="B311" s="377" t="s">
        <v>540</v>
      </c>
      <c r="C311" s="378" t="s">
        <v>387</v>
      </c>
      <c r="D311" s="379" t="s">
        <v>541</v>
      </c>
      <c r="E311" s="378" t="s">
        <v>1310</v>
      </c>
      <c r="F311" s="379" t="s">
        <v>1311</v>
      </c>
      <c r="G311" s="378" t="s">
        <v>1154</v>
      </c>
      <c r="H311" s="378" t="s">
        <v>1155</v>
      </c>
      <c r="I311" s="380">
        <v>631.35</v>
      </c>
      <c r="J311" s="380">
        <v>12</v>
      </c>
      <c r="K311" s="381">
        <v>7576.2</v>
      </c>
    </row>
    <row r="312" spans="1:11" ht="14.4" customHeight="1" x14ac:dyDescent="0.3">
      <c r="A312" s="376" t="s">
        <v>382</v>
      </c>
      <c r="B312" s="377" t="s">
        <v>540</v>
      </c>
      <c r="C312" s="378" t="s">
        <v>387</v>
      </c>
      <c r="D312" s="379" t="s">
        <v>541</v>
      </c>
      <c r="E312" s="378" t="s">
        <v>1310</v>
      </c>
      <c r="F312" s="379" t="s">
        <v>1311</v>
      </c>
      <c r="G312" s="378" t="s">
        <v>1156</v>
      </c>
      <c r="H312" s="378" t="s">
        <v>1157</v>
      </c>
      <c r="I312" s="380">
        <v>104.19</v>
      </c>
      <c r="J312" s="380">
        <v>72</v>
      </c>
      <c r="K312" s="381">
        <v>7501.34</v>
      </c>
    </row>
    <row r="313" spans="1:11" ht="14.4" customHeight="1" x14ac:dyDescent="0.3">
      <c r="A313" s="376" t="s">
        <v>382</v>
      </c>
      <c r="B313" s="377" t="s">
        <v>540</v>
      </c>
      <c r="C313" s="378" t="s">
        <v>387</v>
      </c>
      <c r="D313" s="379" t="s">
        <v>541</v>
      </c>
      <c r="E313" s="378" t="s">
        <v>1312</v>
      </c>
      <c r="F313" s="379" t="s">
        <v>1313</v>
      </c>
      <c r="G313" s="378" t="s">
        <v>1158</v>
      </c>
      <c r="H313" s="378" t="s">
        <v>1159</v>
      </c>
      <c r="I313" s="380">
        <v>53.1</v>
      </c>
      <c r="J313" s="380">
        <v>260</v>
      </c>
      <c r="K313" s="381">
        <v>13582.8</v>
      </c>
    </row>
    <row r="314" spans="1:11" ht="14.4" customHeight="1" x14ac:dyDescent="0.3">
      <c r="A314" s="376" t="s">
        <v>382</v>
      </c>
      <c r="B314" s="377" t="s">
        <v>540</v>
      </c>
      <c r="C314" s="378" t="s">
        <v>387</v>
      </c>
      <c r="D314" s="379" t="s">
        <v>541</v>
      </c>
      <c r="E314" s="378" t="s">
        <v>1312</v>
      </c>
      <c r="F314" s="379" t="s">
        <v>1313</v>
      </c>
      <c r="G314" s="378" t="s">
        <v>1160</v>
      </c>
      <c r="H314" s="378" t="s">
        <v>1161</v>
      </c>
      <c r="I314" s="380">
        <v>56.389999999999993</v>
      </c>
      <c r="J314" s="380">
        <v>1200</v>
      </c>
      <c r="K314" s="381">
        <v>67663.199999999997</v>
      </c>
    </row>
    <row r="315" spans="1:11" ht="14.4" customHeight="1" x14ac:dyDescent="0.3">
      <c r="A315" s="376" t="s">
        <v>382</v>
      </c>
      <c r="B315" s="377" t="s">
        <v>540</v>
      </c>
      <c r="C315" s="378" t="s">
        <v>387</v>
      </c>
      <c r="D315" s="379" t="s">
        <v>541</v>
      </c>
      <c r="E315" s="378" t="s">
        <v>1312</v>
      </c>
      <c r="F315" s="379" t="s">
        <v>1313</v>
      </c>
      <c r="G315" s="378" t="s">
        <v>1162</v>
      </c>
      <c r="H315" s="378" t="s">
        <v>1163</v>
      </c>
      <c r="I315" s="380">
        <v>13.79</v>
      </c>
      <c r="J315" s="380">
        <v>200</v>
      </c>
      <c r="K315" s="381">
        <v>2758.8</v>
      </c>
    </row>
    <row r="316" spans="1:11" ht="14.4" customHeight="1" x14ac:dyDescent="0.3">
      <c r="A316" s="376" t="s">
        <v>382</v>
      </c>
      <c r="B316" s="377" t="s">
        <v>540</v>
      </c>
      <c r="C316" s="378" t="s">
        <v>387</v>
      </c>
      <c r="D316" s="379" t="s">
        <v>541</v>
      </c>
      <c r="E316" s="378" t="s">
        <v>1312</v>
      </c>
      <c r="F316" s="379" t="s">
        <v>1313</v>
      </c>
      <c r="G316" s="378" t="s">
        <v>1164</v>
      </c>
      <c r="H316" s="378" t="s">
        <v>1165</v>
      </c>
      <c r="I316" s="380">
        <v>31.34</v>
      </c>
      <c r="J316" s="380">
        <v>160</v>
      </c>
      <c r="K316" s="381">
        <v>5014.2</v>
      </c>
    </row>
    <row r="317" spans="1:11" ht="14.4" customHeight="1" x14ac:dyDescent="0.3">
      <c r="A317" s="376" t="s">
        <v>382</v>
      </c>
      <c r="B317" s="377" t="s">
        <v>540</v>
      </c>
      <c r="C317" s="378" t="s">
        <v>387</v>
      </c>
      <c r="D317" s="379" t="s">
        <v>541</v>
      </c>
      <c r="E317" s="378" t="s">
        <v>1312</v>
      </c>
      <c r="F317" s="379" t="s">
        <v>1313</v>
      </c>
      <c r="G317" s="378" t="s">
        <v>800</v>
      </c>
      <c r="H317" s="378" t="s">
        <v>801</v>
      </c>
      <c r="I317" s="380">
        <v>50.65</v>
      </c>
      <c r="J317" s="380">
        <v>1400</v>
      </c>
      <c r="K317" s="381">
        <v>70911.14</v>
      </c>
    </row>
    <row r="318" spans="1:11" ht="14.4" customHeight="1" x14ac:dyDescent="0.3">
      <c r="A318" s="376" t="s">
        <v>382</v>
      </c>
      <c r="B318" s="377" t="s">
        <v>540</v>
      </c>
      <c r="C318" s="378" t="s">
        <v>387</v>
      </c>
      <c r="D318" s="379" t="s">
        <v>541</v>
      </c>
      <c r="E318" s="378" t="s">
        <v>1312</v>
      </c>
      <c r="F318" s="379" t="s">
        <v>1313</v>
      </c>
      <c r="G318" s="378" t="s">
        <v>1166</v>
      </c>
      <c r="H318" s="378" t="s">
        <v>1167</v>
      </c>
      <c r="I318" s="380">
        <v>10.739999999999998</v>
      </c>
      <c r="J318" s="380">
        <v>625</v>
      </c>
      <c r="K318" s="381">
        <v>6715.5</v>
      </c>
    </row>
    <row r="319" spans="1:11" ht="14.4" customHeight="1" x14ac:dyDescent="0.3">
      <c r="A319" s="376" t="s">
        <v>382</v>
      </c>
      <c r="B319" s="377" t="s">
        <v>540</v>
      </c>
      <c r="C319" s="378" t="s">
        <v>387</v>
      </c>
      <c r="D319" s="379" t="s">
        <v>541</v>
      </c>
      <c r="E319" s="378" t="s">
        <v>1312</v>
      </c>
      <c r="F319" s="379" t="s">
        <v>1313</v>
      </c>
      <c r="G319" s="378" t="s">
        <v>1168</v>
      </c>
      <c r="H319" s="378" t="s">
        <v>1169</v>
      </c>
      <c r="I319" s="380">
        <v>91.84</v>
      </c>
      <c r="J319" s="380">
        <v>210</v>
      </c>
      <c r="K319" s="381">
        <v>19286.16</v>
      </c>
    </row>
    <row r="320" spans="1:11" ht="14.4" customHeight="1" x14ac:dyDescent="0.3">
      <c r="A320" s="376" t="s">
        <v>382</v>
      </c>
      <c r="B320" s="377" t="s">
        <v>540</v>
      </c>
      <c r="C320" s="378" t="s">
        <v>392</v>
      </c>
      <c r="D320" s="379" t="s">
        <v>542</v>
      </c>
      <c r="E320" s="378" t="s">
        <v>1292</v>
      </c>
      <c r="F320" s="379" t="s">
        <v>1293</v>
      </c>
      <c r="G320" s="378" t="s">
        <v>1170</v>
      </c>
      <c r="H320" s="378" t="s">
        <v>1171</v>
      </c>
      <c r="I320" s="380">
        <v>156.1</v>
      </c>
      <c r="J320" s="380">
        <v>2</v>
      </c>
      <c r="K320" s="381">
        <v>312.2</v>
      </c>
    </row>
    <row r="321" spans="1:11" ht="14.4" customHeight="1" x14ac:dyDescent="0.3">
      <c r="A321" s="376" t="s">
        <v>382</v>
      </c>
      <c r="B321" s="377" t="s">
        <v>540</v>
      </c>
      <c r="C321" s="378" t="s">
        <v>392</v>
      </c>
      <c r="D321" s="379" t="s">
        <v>542</v>
      </c>
      <c r="E321" s="378" t="s">
        <v>1292</v>
      </c>
      <c r="F321" s="379" t="s">
        <v>1293</v>
      </c>
      <c r="G321" s="378" t="s">
        <v>1172</v>
      </c>
      <c r="H321" s="378" t="s">
        <v>1173</v>
      </c>
      <c r="I321" s="380">
        <v>183.09</v>
      </c>
      <c r="J321" s="380">
        <v>5</v>
      </c>
      <c r="K321" s="381">
        <v>915.45</v>
      </c>
    </row>
    <row r="322" spans="1:11" ht="14.4" customHeight="1" x14ac:dyDescent="0.3">
      <c r="A322" s="376" t="s">
        <v>382</v>
      </c>
      <c r="B322" s="377" t="s">
        <v>540</v>
      </c>
      <c r="C322" s="378" t="s">
        <v>392</v>
      </c>
      <c r="D322" s="379" t="s">
        <v>542</v>
      </c>
      <c r="E322" s="378" t="s">
        <v>1292</v>
      </c>
      <c r="F322" s="379" t="s">
        <v>1293</v>
      </c>
      <c r="G322" s="378" t="s">
        <v>552</v>
      </c>
      <c r="H322" s="378" t="s">
        <v>553</v>
      </c>
      <c r="I322" s="380">
        <v>129.26</v>
      </c>
      <c r="J322" s="380">
        <v>2</v>
      </c>
      <c r="K322" s="381">
        <v>258.52</v>
      </c>
    </row>
    <row r="323" spans="1:11" ht="14.4" customHeight="1" x14ac:dyDescent="0.3">
      <c r="A323" s="376" t="s">
        <v>382</v>
      </c>
      <c r="B323" s="377" t="s">
        <v>540</v>
      </c>
      <c r="C323" s="378" t="s">
        <v>392</v>
      </c>
      <c r="D323" s="379" t="s">
        <v>542</v>
      </c>
      <c r="E323" s="378" t="s">
        <v>1292</v>
      </c>
      <c r="F323" s="379" t="s">
        <v>1293</v>
      </c>
      <c r="G323" s="378" t="s">
        <v>1174</v>
      </c>
      <c r="H323" s="378" t="s">
        <v>1175</v>
      </c>
      <c r="I323" s="380">
        <v>260.3</v>
      </c>
      <c r="J323" s="380">
        <v>1</v>
      </c>
      <c r="K323" s="381">
        <v>260.3</v>
      </c>
    </row>
    <row r="324" spans="1:11" ht="14.4" customHeight="1" x14ac:dyDescent="0.3">
      <c r="A324" s="376" t="s">
        <v>382</v>
      </c>
      <c r="B324" s="377" t="s">
        <v>540</v>
      </c>
      <c r="C324" s="378" t="s">
        <v>392</v>
      </c>
      <c r="D324" s="379" t="s">
        <v>542</v>
      </c>
      <c r="E324" s="378" t="s">
        <v>1292</v>
      </c>
      <c r="F324" s="379" t="s">
        <v>1293</v>
      </c>
      <c r="G324" s="378" t="s">
        <v>554</v>
      </c>
      <c r="H324" s="378" t="s">
        <v>555</v>
      </c>
      <c r="I324" s="380">
        <v>2.4</v>
      </c>
      <c r="J324" s="380">
        <v>120</v>
      </c>
      <c r="K324" s="381">
        <v>288</v>
      </c>
    </row>
    <row r="325" spans="1:11" ht="14.4" customHeight="1" x14ac:dyDescent="0.3">
      <c r="A325" s="376" t="s">
        <v>382</v>
      </c>
      <c r="B325" s="377" t="s">
        <v>540</v>
      </c>
      <c r="C325" s="378" t="s">
        <v>392</v>
      </c>
      <c r="D325" s="379" t="s">
        <v>542</v>
      </c>
      <c r="E325" s="378" t="s">
        <v>1292</v>
      </c>
      <c r="F325" s="379" t="s">
        <v>1293</v>
      </c>
      <c r="G325" s="378" t="s">
        <v>568</v>
      </c>
      <c r="H325" s="378" t="s">
        <v>569</v>
      </c>
      <c r="I325" s="380">
        <v>8.19</v>
      </c>
      <c r="J325" s="380">
        <v>15</v>
      </c>
      <c r="K325" s="381">
        <v>122.85</v>
      </c>
    </row>
    <row r="326" spans="1:11" ht="14.4" customHeight="1" x14ac:dyDescent="0.3">
      <c r="A326" s="376" t="s">
        <v>382</v>
      </c>
      <c r="B326" s="377" t="s">
        <v>540</v>
      </c>
      <c r="C326" s="378" t="s">
        <v>392</v>
      </c>
      <c r="D326" s="379" t="s">
        <v>542</v>
      </c>
      <c r="E326" s="378" t="s">
        <v>1292</v>
      </c>
      <c r="F326" s="379" t="s">
        <v>1293</v>
      </c>
      <c r="G326" s="378" t="s">
        <v>1176</v>
      </c>
      <c r="H326" s="378" t="s">
        <v>1177</v>
      </c>
      <c r="I326" s="380">
        <v>0.4</v>
      </c>
      <c r="J326" s="380">
        <v>24000</v>
      </c>
      <c r="K326" s="381">
        <v>9600</v>
      </c>
    </row>
    <row r="327" spans="1:11" ht="14.4" customHeight="1" x14ac:dyDescent="0.3">
      <c r="A327" s="376" t="s">
        <v>382</v>
      </c>
      <c r="B327" s="377" t="s">
        <v>540</v>
      </c>
      <c r="C327" s="378" t="s">
        <v>392</v>
      </c>
      <c r="D327" s="379" t="s">
        <v>542</v>
      </c>
      <c r="E327" s="378" t="s">
        <v>1292</v>
      </c>
      <c r="F327" s="379" t="s">
        <v>1293</v>
      </c>
      <c r="G327" s="378" t="s">
        <v>570</v>
      </c>
      <c r="H327" s="378" t="s">
        <v>571</v>
      </c>
      <c r="I327" s="380">
        <v>28.03</v>
      </c>
      <c r="J327" s="380">
        <v>34</v>
      </c>
      <c r="K327" s="381">
        <v>962.26</v>
      </c>
    </row>
    <row r="328" spans="1:11" ht="14.4" customHeight="1" x14ac:dyDescent="0.3">
      <c r="A328" s="376" t="s">
        <v>382</v>
      </c>
      <c r="B328" s="377" t="s">
        <v>540</v>
      </c>
      <c r="C328" s="378" t="s">
        <v>392</v>
      </c>
      <c r="D328" s="379" t="s">
        <v>542</v>
      </c>
      <c r="E328" s="378" t="s">
        <v>1292</v>
      </c>
      <c r="F328" s="379" t="s">
        <v>1293</v>
      </c>
      <c r="G328" s="378" t="s">
        <v>580</v>
      </c>
      <c r="H328" s="378" t="s">
        <v>1178</v>
      </c>
      <c r="I328" s="380">
        <v>65.2</v>
      </c>
      <c r="J328" s="380">
        <v>160</v>
      </c>
      <c r="K328" s="381">
        <v>10431.99</v>
      </c>
    </row>
    <row r="329" spans="1:11" ht="14.4" customHeight="1" x14ac:dyDescent="0.3">
      <c r="A329" s="376" t="s">
        <v>382</v>
      </c>
      <c r="B329" s="377" t="s">
        <v>540</v>
      </c>
      <c r="C329" s="378" t="s">
        <v>392</v>
      </c>
      <c r="D329" s="379" t="s">
        <v>542</v>
      </c>
      <c r="E329" s="378" t="s">
        <v>1292</v>
      </c>
      <c r="F329" s="379" t="s">
        <v>1293</v>
      </c>
      <c r="G329" s="378" t="s">
        <v>582</v>
      </c>
      <c r="H329" s="378" t="s">
        <v>583</v>
      </c>
      <c r="I329" s="380">
        <v>0.14000000000000001</v>
      </c>
      <c r="J329" s="380">
        <v>100</v>
      </c>
      <c r="K329" s="381">
        <v>14</v>
      </c>
    </row>
    <row r="330" spans="1:11" ht="14.4" customHeight="1" x14ac:dyDescent="0.3">
      <c r="A330" s="376" t="s">
        <v>382</v>
      </c>
      <c r="B330" s="377" t="s">
        <v>540</v>
      </c>
      <c r="C330" s="378" t="s">
        <v>392</v>
      </c>
      <c r="D330" s="379" t="s">
        <v>542</v>
      </c>
      <c r="E330" s="378" t="s">
        <v>1292</v>
      </c>
      <c r="F330" s="379" t="s">
        <v>1293</v>
      </c>
      <c r="G330" s="378" t="s">
        <v>584</v>
      </c>
      <c r="H330" s="378" t="s">
        <v>585</v>
      </c>
      <c r="I330" s="380">
        <v>15.53</v>
      </c>
      <c r="J330" s="380">
        <v>260</v>
      </c>
      <c r="K330" s="381">
        <v>4037.78</v>
      </c>
    </row>
    <row r="331" spans="1:11" ht="14.4" customHeight="1" x14ac:dyDescent="0.3">
      <c r="A331" s="376" t="s">
        <v>382</v>
      </c>
      <c r="B331" s="377" t="s">
        <v>540</v>
      </c>
      <c r="C331" s="378" t="s">
        <v>392</v>
      </c>
      <c r="D331" s="379" t="s">
        <v>542</v>
      </c>
      <c r="E331" s="378" t="s">
        <v>1292</v>
      </c>
      <c r="F331" s="379" t="s">
        <v>1293</v>
      </c>
      <c r="G331" s="378" t="s">
        <v>588</v>
      </c>
      <c r="H331" s="378" t="s">
        <v>589</v>
      </c>
      <c r="I331" s="380">
        <v>0.43</v>
      </c>
      <c r="J331" s="380">
        <v>5000</v>
      </c>
      <c r="K331" s="381">
        <v>2150</v>
      </c>
    </row>
    <row r="332" spans="1:11" ht="14.4" customHeight="1" x14ac:dyDescent="0.3">
      <c r="A332" s="376" t="s">
        <v>382</v>
      </c>
      <c r="B332" s="377" t="s">
        <v>540</v>
      </c>
      <c r="C332" s="378" t="s">
        <v>392</v>
      </c>
      <c r="D332" s="379" t="s">
        <v>542</v>
      </c>
      <c r="E332" s="378" t="s">
        <v>1292</v>
      </c>
      <c r="F332" s="379" t="s">
        <v>1293</v>
      </c>
      <c r="G332" s="378" t="s">
        <v>590</v>
      </c>
      <c r="H332" s="378" t="s">
        <v>591</v>
      </c>
      <c r="I332" s="380">
        <v>61.21</v>
      </c>
      <c r="J332" s="380">
        <v>2</v>
      </c>
      <c r="K332" s="381">
        <v>122.42</v>
      </c>
    </row>
    <row r="333" spans="1:11" ht="14.4" customHeight="1" x14ac:dyDescent="0.3">
      <c r="A333" s="376" t="s">
        <v>382</v>
      </c>
      <c r="B333" s="377" t="s">
        <v>540</v>
      </c>
      <c r="C333" s="378" t="s">
        <v>392</v>
      </c>
      <c r="D333" s="379" t="s">
        <v>542</v>
      </c>
      <c r="E333" s="378" t="s">
        <v>1292</v>
      </c>
      <c r="F333" s="379" t="s">
        <v>1293</v>
      </c>
      <c r="G333" s="378" t="s">
        <v>592</v>
      </c>
      <c r="H333" s="378" t="s">
        <v>593</v>
      </c>
      <c r="I333" s="380">
        <v>54.86</v>
      </c>
      <c r="J333" s="380">
        <v>260</v>
      </c>
      <c r="K333" s="381">
        <v>14263.59</v>
      </c>
    </row>
    <row r="334" spans="1:11" ht="14.4" customHeight="1" x14ac:dyDescent="0.3">
      <c r="A334" s="376" t="s">
        <v>382</v>
      </c>
      <c r="B334" s="377" t="s">
        <v>540</v>
      </c>
      <c r="C334" s="378" t="s">
        <v>392</v>
      </c>
      <c r="D334" s="379" t="s">
        <v>542</v>
      </c>
      <c r="E334" s="378" t="s">
        <v>1292</v>
      </c>
      <c r="F334" s="379" t="s">
        <v>1293</v>
      </c>
      <c r="G334" s="378" t="s">
        <v>1179</v>
      </c>
      <c r="H334" s="378" t="s">
        <v>1180</v>
      </c>
      <c r="I334" s="380">
        <v>0.44</v>
      </c>
      <c r="J334" s="380">
        <v>1000</v>
      </c>
      <c r="K334" s="381">
        <v>440</v>
      </c>
    </row>
    <row r="335" spans="1:11" ht="14.4" customHeight="1" x14ac:dyDescent="0.3">
      <c r="A335" s="376" t="s">
        <v>382</v>
      </c>
      <c r="B335" s="377" t="s">
        <v>540</v>
      </c>
      <c r="C335" s="378" t="s">
        <v>392</v>
      </c>
      <c r="D335" s="379" t="s">
        <v>542</v>
      </c>
      <c r="E335" s="378" t="s">
        <v>1292</v>
      </c>
      <c r="F335" s="379" t="s">
        <v>1293</v>
      </c>
      <c r="G335" s="378" t="s">
        <v>1181</v>
      </c>
      <c r="H335" s="378" t="s">
        <v>1182</v>
      </c>
      <c r="I335" s="380">
        <v>9.11</v>
      </c>
      <c r="J335" s="380">
        <v>400</v>
      </c>
      <c r="K335" s="381">
        <v>3643.2</v>
      </c>
    </row>
    <row r="336" spans="1:11" ht="14.4" customHeight="1" x14ac:dyDescent="0.3">
      <c r="A336" s="376" t="s">
        <v>382</v>
      </c>
      <c r="B336" s="377" t="s">
        <v>540</v>
      </c>
      <c r="C336" s="378" t="s">
        <v>392</v>
      </c>
      <c r="D336" s="379" t="s">
        <v>542</v>
      </c>
      <c r="E336" s="378" t="s">
        <v>1292</v>
      </c>
      <c r="F336" s="379" t="s">
        <v>1293</v>
      </c>
      <c r="G336" s="378" t="s">
        <v>609</v>
      </c>
      <c r="H336" s="378" t="s">
        <v>610</v>
      </c>
      <c r="I336" s="380">
        <v>355.73333333333329</v>
      </c>
      <c r="J336" s="380">
        <v>348</v>
      </c>
      <c r="K336" s="381">
        <v>123712.34</v>
      </c>
    </row>
    <row r="337" spans="1:11" ht="14.4" customHeight="1" x14ac:dyDescent="0.3">
      <c r="A337" s="376" t="s">
        <v>382</v>
      </c>
      <c r="B337" s="377" t="s">
        <v>540</v>
      </c>
      <c r="C337" s="378" t="s">
        <v>392</v>
      </c>
      <c r="D337" s="379" t="s">
        <v>542</v>
      </c>
      <c r="E337" s="378" t="s">
        <v>1292</v>
      </c>
      <c r="F337" s="379" t="s">
        <v>1293</v>
      </c>
      <c r="G337" s="378" t="s">
        <v>613</v>
      </c>
      <c r="H337" s="378" t="s">
        <v>614</v>
      </c>
      <c r="I337" s="380">
        <v>65.989999999999995</v>
      </c>
      <c r="J337" s="380">
        <v>276</v>
      </c>
      <c r="K337" s="381">
        <v>18303.82</v>
      </c>
    </row>
    <row r="338" spans="1:11" ht="14.4" customHeight="1" x14ac:dyDescent="0.3">
      <c r="A338" s="376" t="s">
        <v>382</v>
      </c>
      <c r="B338" s="377" t="s">
        <v>540</v>
      </c>
      <c r="C338" s="378" t="s">
        <v>392</v>
      </c>
      <c r="D338" s="379" t="s">
        <v>542</v>
      </c>
      <c r="E338" s="378" t="s">
        <v>1292</v>
      </c>
      <c r="F338" s="379" t="s">
        <v>1293</v>
      </c>
      <c r="G338" s="378" t="s">
        <v>1183</v>
      </c>
      <c r="H338" s="378" t="s">
        <v>1184</v>
      </c>
      <c r="I338" s="380">
        <v>0.63</v>
      </c>
      <c r="J338" s="380">
        <v>3000</v>
      </c>
      <c r="K338" s="381">
        <v>1890</v>
      </c>
    </row>
    <row r="339" spans="1:11" ht="14.4" customHeight="1" x14ac:dyDescent="0.3">
      <c r="A339" s="376" t="s">
        <v>382</v>
      </c>
      <c r="B339" s="377" t="s">
        <v>540</v>
      </c>
      <c r="C339" s="378" t="s">
        <v>392</v>
      </c>
      <c r="D339" s="379" t="s">
        <v>542</v>
      </c>
      <c r="E339" s="378" t="s">
        <v>1292</v>
      </c>
      <c r="F339" s="379" t="s">
        <v>1293</v>
      </c>
      <c r="G339" s="378" t="s">
        <v>1185</v>
      </c>
      <c r="H339" s="378" t="s">
        <v>1186</v>
      </c>
      <c r="I339" s="380">
        <v>10.99</v>
      </c>
      <c r="J339" s="380">
        <v>240</v>
      </c>
      <c r="K339" s="381">
        <v>2637.36</v>
      </c>
    </row>
    <row r="340" spans="1:11" ht="14.4" customHeight="1" x14ac:dyDescent="0.3">
      <c r="A340" s="376" t="s">
        <v>382</v>
      </c>
      <c r="B340" s="377" t="s">
        <v>540</v>
      </c>
      <c r="C340" s="378" t="s">
        <v>392</v>
      </c>
      <c r="D340" s="379" t="s">
        <v>542</v>
      </c>
      <c r="E340" s="378" t="s">
        <v>1292</v>
      </c>
      <c r="F340" s="379" t="s">
        <v>1293</v>
      </c>
      <c r="G340" s="378" t="s">
        <v>1187</v>
      </c>
      <c r="H340" s="378" t="s">
        <v>1188</v>
      </c>
      <c r="I340" s="380">
        <v>9.5766666666666662</v>
      </c>
      <c r="J340" s="380">
        <v>480</v>
      </c>
      <c r="K340" s="381">
        <v>4615.08</v>
      </c>
    </row>
    <row r="341" spans="1:11" ht="14.4" customHeight="1" x14ac:dyDescent="0.3">
      <c r="A341" s="376" t="s">
        <v>382</v>
      </c>
      <c r="B341" s="377" t="s">
        <v>540</v>
      </c>
      <c r="C341" s="378" t="s">
        <v>392</v>
      </c>
      <c r="D341" s="379" t="s">
        <v>542</v>
      </c>
      <c r="E341" s="378" t="s">
        <v>1292</v>
      </c>
      <c r="F341" s="379" t="s">
        <v>1293</v>
      </c>
      <c r="G341" s="378" t="s">
        <v>632</v>
      </c>
      <c r="H341" s="378" t="s">
        <v>633</v>
      </c>
      <c r="I341" s="380">
        <v>216.61</v>
      </c>
      <c r="J341" s="380">
        <v>34</v>
      </c>
      <c r="K341" s="381">
        <v>7380.1600000000008</v>
      </c>
    </row>
    <row r="342" spans="1:11" ht="14.4" customHeight="1" x14ac:dyDescent="0.3">
      <c r="A342" s="376" t="s">
        <v>382</v>
      </c>
      <c r="B342" s="377" t="s">
        <v>540</v>
      </c>
      <c r="C342" s="378" t="s">
        <v>392</v>
      </c>
      <c r="D342" s="379" t="s">
        <v>542</v>
      </c>
      <c r="E342" s="378" t="s">
        <v>1292</v>
      </c>
      <c r="F342" s="379" t="s">
        <v>1293</v>
      </c>
      <c r="G342" s="378" t="s">
        <v>1189</v>
      </c>
      <c r="H342" s="378" t="s">
        <v>1190</v>
      </c>
      <c r="I342" s="380">
        <v>0.89</v>
      </c>
      <c r="J342" s="380">
        <v>500</v>
      </c>
      <c r="K342" s="381">
        <v>443.46</v>
      </c>
    </row>
    <row r="343" spans="1:11" ht="14.4" customHeight="1" x14ac:dyDescent="0.3">
      <c r="A343" s="376" t="s">
        <v>382</v>
      </c>
      <c r="B343" s="377" t="s">
        <v>540</v>
      </c>
      <c r="C343" s="378" t="s">
        <v>392</v>
      </c>
      <c r="D343" s="379" t="s">
        <v>542</v>
      </c>
      <c r="E343" s="378" t="s">
        <v>1292</v>
      </c>
      <c r="F343" s="379" t="s">
        <v>1293</v>
      </c>
      <c r="G343" s="378" t="s">
        <v>638</v>
      </c>
      <c r="H343" s="378" t="s">
        <v>639</v>
      </c>
      <c r="I343" s="380">
        <v>0.85666666666666658</v>
      </c>
      <c r="J343" s="380">
        <v>1300</v>
      </c>
      <c r="K343" s="381">
        <v>1114</v>
      </c>
    </row>
    <row r="344" spans="1:11" ht="14.4" customHeight="1" x14ac:dyDescent="0.3">
      <c r="A344" s="376" t="s">
        <v>382</v>
      </c>
      <c r="B344" s="377" t="s">
        <v>540</v>
      </c>
      <c r="C344" s="378" t="s">
        <v>392</v>
      </c>
      <c r="D344" s="379" t="s">
        <v>542</v>
      </c>
      <c r="E344" s="378" t="s">
        <v>1292</v>
      </c>
      <c r="F344" s="379" t="s">
        <v>1293</v>
      </c>
      <c r="G344" s="378" t="s">
        <v>640</v>
      </c>
      <c r="H344" s="378" t="s">
        <v>641</v>
      </c>
      <c r="I344" s="380">
        <v>1.5133333333333334</v>
      </c>
      <c r="J344" s="380">
        <v>1200</v>
      </c>
      <c r="K344" s="381">
        <v>1816</v>
      </c>
    </row>
    <row r="345" spans="1:11" ht="14.4" customHeight="1" x14ac:dyDescent="0.3">
      <c r="A345" s="376" t="s">
        <v>382</v>
      </c>
      <c r="B345" s="377" t="s">
        <v>540</v>
      </c>
      <c r="C345" s="378" t="s">
        <v>392</v>
      </c>
      <c r="D345" s="379" t="s">
        <v>542</v>
      </c>
      <c r="E345" s="378" t="s">
        <v>1292</v>
      </c>
      <c r="F345" s="379" t="s">
        <v>1293</v>
      </c>
      <c r="G345" s="378" t="s">
        <v>1191</v>
      </c>
      <c r="H345" s="378" t="s">
        <v>1192</v>
      </c>
      <c r="I345" s="380">
        <v>2.063333333333333</v>
      </c>
      <c r="J345" s="380">
        <v>1200</v>
      </c>
      <c r="K345" s="381">
        <v>2476</v>
      </c>
    </row>
    <row r="346" spans="1:11" ht="14.4" customHeight="1" x14ac:dyDescent="0.3">
      <c r="A346" s="376" t="s">
        <v>382</v>
      </c>
      <c r="B346" s="377" t="s">
        <v>540</v>
      </c>
      <c r="C346" s="378" t="s">
        <v>392</v>
      </c>
      <c r="D346" s="379" t="s">
        <v>542</v>
      </c>
      <c r="E346" s="378" t="s">
        <v>1292</v>
      </c>
      <c r="F346" s="379" t="s">
        <v>1293</v>
      </c>
      <c r="G346" s="378" t="s">
        <v>1193</v>
      </c>
      <c r="H346" s="378" t="s">
        <v>1194</v>
      </c>
      <c r="I346" s="380">
        <v>3.36</v>
      </c>
      <c r="J346" s="380">
        <v>800</v>
      </c>
      <c r="K346" s="381">
        <v>2688</v>
      </c>
    </row>
    <row r="347" spans="1:11" ht="14.4" customHeight="1" x14ac:dyDescent="0.3">
      <c r="A347" s="376" t="s">
        <v>382</v>
      </c>
      <c r="B347" s="377" t="s">
        <v>540</v>
      </c>
      <c r="C347" s="378" t="s">
        <v>392</v>
      </c>
      <c r="D347" s="379" t="s">
        <v>542</v>
      </c>
      <c r="E347" s="378" t="s">
        <v>1292</v>
      </c>
      <c r="F347" s="379" t="s">
        <v>1293</v>
      </c>
      <c r="G347" s="378" t="s">
        <v>1195</v>
      </c>
      <c r="H347" s="378" t="s">
        <v>1196</v>
      </c>
      <c r="I347" s="380">
        <v>0.29000000000000004</v>
      </c>
      <c r="J347" s="380">
        <v>48000</v>
      </c>
      <c r="K347" s="381">
        <v>13862.1</v>
      </c>
    </row>
    <row r="348" spans="1:11" ht="14.4" customHeight="1" x14ac:dyDescent="0.3">
      <c r="A348" s="376" t="s">
        <v>382</v>
      </c>
      <c r="B348" s="377" t="s">
        <v>540</v>
      </c>
      <c r="C348" s="378" t="s">
        <v>392</v>
      </c>
      <c r="D348" s="379" t="s">
        <v>542</v>
      </c>
      <c r="E348" s="378" t="s">
        <v>1292</v>
      </c>
      <c r="F348" s="379" t="s">
        <v>1293</v>
      </c>
      <c r="G348" s="378" t="s">
        <v>654</v>
      </c>
      <c r="H348" s="378" t="s">
        <v>655</v>
      </c>
      <c r="I348" s="380">
        <v>663.66200000000003</v>
      </c>
      <c r="J348" s="380">
        <v>348</v>
      </c>
      <c r="K348" s="381">
        <v>231000.5</v>
      </c>
    </row>
    <row r="349" spans="1:11" ht="14.4" customHeight="1" x14ac:dyDescent="0.3">
      <c r="A349" s="376" t="s">
        <v>382</v>
      </c>
      <c r="B349" s="377" t="s">
        <v>540</v>
      </c>
      <c r="C349" s="378" t="s">
        <v>392</v>
      </c>
      <c r="D349" s="379" t="s">
        <v>542</v>
      </c>
      <c r="E349" s="378" t="s">
        <v>1292</v>
      </c>
      <c r="F349" s="379" t="s">
        <v>1293</v>
      </c>
      <c r="G349" s="378" t="s">
        <v>656</v>
      </c>
      <c r="H349" s="378" t="s">
        <v>657</v>
      </c>
      <c r="I349" s="380">
        <v>7.17</v>
      </c>
      <c r="J349" s="380">
        <v>4000</v>
      </c>
      <c r="K349" s="381">
        <v>28699.47</v>
      </c>
    </row>
    <row r="350" spans="1:11" ht="14.4" customHeight="1" x14ac:dyDescent="0.3">
      <c r="A350" s="376" t="s">
        <v>382</v>
      </c>
      <c r="B350" s="377" t="s">
        <v>540</v>
      </c>
      <c r="C350" s="378" t="s">
        <v>392</v>
      </c>
      <c r="D350" s="379" t="s">
        <v>542</v>
      </c>
      <c r="E350" s="378" t="s">
        <v>1292</v>
      </c>
      <c r="F350" s="379" t="s">
        <v>1293</v>
      </c>
      <c r="G350" s="378" t="s">
        <v>680</v>
      </c>
      <c r="H350" s="378" t="s">
        <v>681</v>
      </c>
      <c r="I350" s="380">
        <v>167.83</v>
      </c>
      <c r="J350" s="380">
        <v>105</v>
      </c>
      <c r="K350" s="381">
        <v>17622.169999999998</v>
      </c>
    </row>
    <row r="351" spans="1:11" ht="14.4" customHeight="1" x14ac:dyDescent="0.3">
      <c r="A351" s="376" t="s">
        <v>382</v>
      </c>
      <c r="B351" s="377" t="s">
        <v>540</v>
      </c>
      <c r="C351" s="378" t="s">
        <v>392</v>
      </c>
      <c r="D351" s="379" t="s">
        <v>542</v>
      </c>
      <c r="E351" s="378" t="s">
        <v>1292</v>
      </c>
      <c r="F351" s="379" t="s">
        <v>1293</v>
      </c>
      <c r="G351" s="378" t="s">
        <v>682</v>
      </c>
      <c r="H351" s="378" t="s">
        <v>683</v>
      </c>
      <c r="I351" s="380">
        <v>2.62</v>
      </c>
      <c r="J351" s="380">
        <v>600</v>
      </c>
      <c r="K351" s="381">
        <v>1573</v>
      </c>
    </row>
    <row r="352" spans="1:11" ht="14.4" customHeight="1" x14ac:dyDescent="0.3">
      <c r="A352" s="376" t="s">
        <v>382</v>
      </c>
      <c r="B352" s="377" t="s">
        <v>540</v>
      </c>
      <c r="C352" s="378" t="s">
        <v>392</v>
      </c>
      <c r="D352" s="379" t="s">
        <v>542</v>
      </c>
      <c r="E352" s="378" t="s">
        <v>1292</v>
      </c>
      <c r="F352" s="379" t="s">
        <v>1293</v>
      </c>
      <c r="G352" s="378" t="s">
        <v>1197</v>
      </c>
      <c r="H352" s="378" t="s">
        <v>1198</v>
      </c>
      <c r="I352" s="380">
        <v>4.5199999999999996</v>
      </c>
      <c r="J352" s="380">
        <v>1000</v>
      </c>
      <c r="K352" s="381">
        <v>4519.5</v>
      </c>
    </row>
    <row r="353" spans="1:11" ht="14.4" customHeight="1" x14ac:dyDescent="0.3">
      <c r="A353" s="376" t="s">
        <v>382</v>
      </c>
      <c r="B353" s="377" t="s">
        <v>540</v>
      </c>
      <c r="C353" s="378" t="s">
        <v>392</v>
      </c>
      <c r="D353" s="379" t="s">
        <v>542</v>
      </c>
      <c r="E353" s="378" t="s">
        <v>1292</v>
      </c>
      <c r="F353" s="379" t="s">
        <v>1293</v>
      </c>
      <c r="G353" s="378" t="s">
        <v>684</v>
      </c>
      <c r="H353" s="378" t="s">
        <v>685</v>
      </c>
      <c r="I353" s="380">
        <v>138</v>
      </c>
      <c r="J353" s="380">
        <v>15</v>
      </c>
      <c r="K353" s="381">
        <v>2070</v>
      </c>
    </row>
    <row r="354" spans="1:11" ht="14.4" customHeight="1" x14ac:dyDescent="0.3">
      <c r="A354" s="376" t="s">
        <v>382</v>
      </c>
      <c r="B354" s="377" t="s">
        <v>540</v>
      </c>
      <c r="C354" s="378" t="s">
        <v>392</v>
      </c>
      <c r="D354" s="379" t="s">
        <v>542</v>
      </c>
      <c r="E354" s="378" t="s">
        <v>1292</v>
      </c>
      <c r="F354" s="379" t="s">
        <v>1293</v>
      </c>
      <c r="G354" s="378" t="s">
        <v>1199</v>
      </c>
      <c r="H354" s="378" t="s">
        <v>1200</v>
      </c>
      <c r="I354" s="380">
        <v>262.68</v>
      </c>
      <c r="J354" s="380">
        <v>96</v>
      </c>
      <c r="K354" s="381">
        <v>25217.200000000001</v>
      </c>
    </row>
    <row r="355" spans="1:11" ht="14.4" customHeight="1" x14ac:dyDescent="0.3">
      <c r="A355" s="376" t="s">
        <v>382</v>
      </c>
      <c r="B355" s="377" t="s">
        <v>540</v>
      </c>
      <c r="C355" s="378" t="s">
        <v>392</v>
      </c>
      <c r="D355" s="379" t="s">
        <v>542</v>
      </c>
      <c r="E355" s="378" t="s">
        <v>1292</v>
      </c>
      <c r="F355" s="379" t="s">
        <v>1293</v>
      </c>
      <c r="G355" s="378" t="s">
        <v>1201</v>
      </c>
      <c r="H355" s="378" t="s">
        <v>1202</v>
      </c>
      <c r="I355" s="380">
        <v>5478.6</v>
      </c>
      <c r="J355" s="380">
        <v>6</v>
      </c>
      <c r="K355" s="381">
        <v>32871.599999999999</v>
      </c>
    </row>
    <row r="356" spans="1:11" ht="14.4" customHeight="1" x14ac:dyDescent="0.3">
      <c r="A356" s="376" t="s">
        <v>382</v>
      </c>
      <c r="B356" s="377" t="s">
        <v>540</v>
      </c>
      <c r="C356" s="378" t="s">
        <v>392</v>
      </c>
      <c r="D356" s="379" t="s">
        <v>542</v>
      </c>
      <c r="E356" s="378" t="s">
        <v>1292</v>
      </c>
      <c r="F356" s="379" t="s">
        <v>1293</v>
      </c>
      <c r="G356" s="378" t="s">
        <v>690</v>
      </c>
      <c r="H356" s="378" t="s">
        <v>691</v>
      </c>
      <c r="I356" s="380">
        <v>69</v>
      </c>
      <c r="J356" s="380">
        <v>80</v>
      </c>
      <c r="K356" s="381">
        <v>5520</v>
      </c>
    </row>
    <row r="357" spans="1:11" ht="14.4" customHeight="1" x14ac:dyDescent="0.3">
      <c r="A357" s="376" t="s">
        <v>382</v>
      </c>
      <c r="B357" s="377" t="s">
        <v>540</v>
      </c>
      <c r="C357" s="378" t="s">
        <v>392</v>
      </c>
      <c r="D357" s="379" t="s">
        <v>542</v>
      </c>
      <c r="E357" s="378" t="s">
        <v>1292</v>
      </c>
      <c r="F357" s="379" t="s">
        <v>1293</v>
      </c>
      <c r="G357" s="378" t="s">
        <v>1203</v>
      </c>
      <c r="H357" s="378" t="s">
        <v>1204</v>
      </c>
      <c r="I357" s="380">
        <v>123.05</v>
      </c>
      <c r="J357" s="380">
        <v>100</v>
      </c>
      <c r="K357" s="381">
        <v>12305</v>
      </c>
    </row>
    <row r="358" spans="1:11" ht="14.4" customHeight="1" x14ac:dyDescent="0.3">
      <c r="A358" s="376" t="s">
        <v>382</v>
      </c>
      <c r="B358" s="377" t="s">
        <v>540</v>
      </c>
      <c r="C358" s="378" t="s">
        <v>392</v>
      </c>
      <c r="D358" s="379" t="s">
        <v>542</v>
      </c>
      <c r="E358" s="378" t="s">
        <v>1292</v>
      </c>
      <c r="F358" s="379" t="s">
        <v>1293</v>
      </c>
      <c r="G358" s="378" t="s">
        <v>1205</v>
      </c>
      <c r="H358" s="378" t="s">
        <v>1206</v>
      </c>
      <c r="I358" s="380">
        <v>1147.32</v>
      </c>
      <c r="J358" s="380">
        <v>24</v>
      </c>
      <c r="K358" s="381">
        <v>27535.599999999999</v>
      </c>
    </row>
    <row r="359" spans="1:11" ht="14.4" customHeight="1" x14ac:dyDescent="0.3">
      <c r="A359" s="376" t="s">
        <v>382</v>
      </c>
      <c r="B359" s="377" t="s">
        <v>540</v>
      </c>
      <c r="C359" s="378" t="s">
        <v>392</v>
      </c>
      <c r="D359" s="379" t="s">
        <v>542</v>
      </c>
      <c r="E359" s="378" t="s">
        <v>1292</v>
      </c>
      <c r="F359" s="379" t="s">
        <v>1293</v>
      </c>
      <c r="G359" s="378" t="s">
        <v>694</v>
      </c>
      <c r="H359" s="378" t="s">
        <v>695</v>
      </c>
      <c r="I359" s="380">
        <v>517.5</v>
      </c>
      <c r="J359" s="380">
        <v>30</v>
      </c>
      <c r="K359" s="381">
        <v>15525</v>
      </c>
    </row>
    <row r="360" spans="1:11" ht="14.4" customHeight="1" x14ac:dyDescent="0.3">
      <c r="A360" s="376" t="s">
        <v>382</v>
      </c>
      <c r="B360" s="377" t="s">
        <v>540</v>
      </c>
      <c r="C360" s="378" t="s">
        <v>392</v>
      </c>
      <c r="D360" s="379" t="s">
        <v>542</v>
      </c>
      <c r="E360" s="378" t="s">
        <v>1292</v>
      </c>
      <c r="F360" s="379" t="s">
        <v>1293</v>
      </c>
      <c r="G360" s="378" t="s">
        <v>703</v>
      </c>
      <c r="H360" s="378" t="s">
        <v>704</v>
      </c>
      <c r="I360" s="380">
        <v>5.64</v>
      </c>
      <c r="J360" s="380">
        <v>5400</v>
      </c>
      <c r="K360" s="381">
        <v>30456</v>
      </c>
    </row>
    <row r="361" spans="1:11" ht="14.4" customHeight="1" x14ac:dyDescent="0.3">
      <c r="A361" s="376" t="s">
        <v>382</v>
      </c>
      <c r="B361" s="377" t="s">
        <v>540</v>
      </c>
      <c r="C361" s="378" t="s">
        <v>392</v>
      </c>
      <c r="D361" s="379" t="s">
        <v>542</v>
      </c>
      <c r="E361" s="378" t="s">
        <v>1292</v>
      </c>
      <c r="F361" s="379" t="s">
        <v>1293</v>
      </c>
      <c r="G361" s="378" t="s">
        <v>706</v>
      </c>
      <c r="H361" s="378" t="s">
        <v>707</v>
      </c>
      <c r="I361" s="380">
        <v>0.9</v>
      </c>
      <c r="J361" s="380">
        <v>6000</v>
      </c>
      <c r="K361" s="381">
        <v>5400</v>
      </c>
    </row>
    <row r="362" spans="1:11" ht="14.4" customHeight="1" x14ac:dyDescent="0.3">
      <c r="A362" s="376" t="s">
        <v>382</v>
      </c>
      <c r="B362" s="377" t="s">
        <v>540</v>
      </c>
      <c r="C362" s="378" t="s">
        <v>392</v>
      </c>
      <c r="D362" s="379" t="s">
        <v>542</v>
      </c>
      <c r="E362" s="378" t="s">
        <v>1292</v>
      </c>
      <c r="F362" s="379" t="s">
        <v>1293</v>
      </c>
      <c r="G362" s="378" t="s">
        <v>710</v>
      </c>
      <c r="H362" s="378" t="s">
        <v>711</v>
      </c>
      <c r="I362" s="380">
        <v>2.54</v>
      </c>
      <c r="J362" s="380">
        <v>3000</v>
      </c>
      <c r="K362" s="381">
        <v>7617.6</v>
      </c>
    </row>
    <row r="363" spans="1:11" ht="14.4" customHeight="1" x14ac:dyDescent="0.3">
      <c r="A363" s="376" t="s">
        <v>382</v>
      </c>
      <c r="B363" s="377" t="s">
        <v>540</v>
      </c>
      <c r="C363" s="378" t="s">
        <v>392</v>
      </c>
      <c r="D363" s="379" t="s">
        <v>542</v>
      </c>
      <c r="E363" s="378" t="s">
        <v>1292</v>
      </c>
      <c r="F363" s="379" t="s">
        <v>1293</v>
      </c>
      <c r="G363" s="378" t="s">
        <v>712</v>
      </c>
      <c r="H363" s="378" t="s">
        <v>713</v>
      </c>
      <c r="I363" s="380">
        <v>0.53</v>
      </c>
      <c r="J363" s="380">
        <v>6000</v>
      </c>
      <c r="K363" s="381">
        <v>3174</v>
      </c>
    </row>
    <row r="364" spans="1:11" ht="14.4" customHeight="1" x14ac:dyDescent="0.3">
      <c r="A364" s="376" t="s">
        <v>382</v>
      </c>
      <c r="B364" s="377" t="s">
        <v>540</v>
      </c>
      <c r="C364" s="378" t="s">
        <v>392</v>
      </c>
      <c r="D364" s="379" t="s">
        <v>542</v>
      </c>
      <c r="E364" s="378" t="s">
        <v>1292</v>
      </c>
      <c r="F364" s="379" t="s">
        <v>1293</v>
      </c>
      <c r="G364" s="378" t="s">
        <v>1207</v>
      </c>
      <c r="H364" s="378" t="s">
        <v>1208</v>
      </c>
      <c r="I364" s="380">
        <v>8696.2999999999993</v>
      </c>
      <c r="J364" s="380">
        <v>6</v>
      </c>
      <c r="K364" s="381">
        <v>52177.8</v>
      </c>
    </row>
    <row r="365" spans="1:11" ht="14.4" customHeight="1" x14ac:dyDescent="0.3">
      <c r="A365" s="376" t="s">
        <v>382</v>
      </c>
      <c r="B365" s="377" t="s">
        <v>540</v>
      </c>
      <c r="C365" s="378" t="s">
        <v>392</v>
      </c>
      <c r="D365" s="379" t="s">
        <v>542</v>
      </c>
      <c r="E365" s="378" t="s">
        <v>1294</v>
      </c>
      <c r="F365" s="379" t="s">
        <v>1295</v>
      </c>
      <c r="G365" s="378" t="s">
        <v>720</v>
      </c>
      <c r="H365" s="378" t="s">
        <v>721</v>
      </c>
      <c r="I365" s="380">
        <v>11.64</v>
      </c>
      <c r="J365" s="380">
        <v>80</v>
      </c>
      <c r="K365" s="381">
        <v>931.2</v>
      </c>
    </row>
    <row r="366" spans="1:11" ht="14.4" customHeight="1" x14ac:dyDescent="0.3">
      <c r="A366" s="376" t="s">
        <v>382</v>
      </c>
      <c r="B366" s="377" t="s">
        <v>540</v>
      </c>
      <c r="C366" s="378" t="s">
        <v>392</v>
      </c>
      <c r="D366" s="379" t="s">
        <v>542</v>
      </c>
      <c r="E366" s="378" t="s">
        <v>1294</v>
      </c>
      <c r="F366" s="379" t="s">
        <v>1295</v>
      </c>
      <c r="G366" s="378" t="s">
        <v>722</v>
      </c>
      <c r="H366" s="378" t="s">
        <v>723</v>
      </c>
      <c r="I366" s="380">
        <v>16.399999999999999</v>
      </c>
      <c r="J366" s="380">
        <v>80</v>
      </c>
      <c r="K366" s="381">
        <v>1311.64</v>
      </c>
    </row>
    <row r="367" spans="1:11" ht="14.4" customHeight="1" x14ac:dyDescent="0.3">
      <c r="A367" s="376" t="s">
        <v>382</v>
      </c>
      <c r="B367" s="377" t="s">
        <v>540</v>
      </c>
      <c r="C367" s="378" t="s">
        <v>392</v>
      </c>
      <c r="D367" s="379" t="s">
        <v>542</v>
      </c>
      <c r="E367" s="378" t="s">
        <v>1294</v>
      </c>
      <c r="F367" s="379" t="s">
        <v>1295</v>
      </c>
      <c r="G367" s="378" t="s">
        <v>728</v>
      </c>
      <c r="H367" s="378" t="s">
        <v>729</v>
      </c>
      <c r="I367" s="380">
        <v>7.43</v>
      </c>
      <c r="J367" s="380">
        <v>50</v>
      </c>
      <c r="K367" s="381">
        <v>371.5</v>
      </c>
    </row>
    <row r="368" spans="1:11" ht="14.4" customHeight="1" x14ac:dyDescent="0.3">
      <c r="A368" s="376" t="s">
        <v>382</v>
      </c>
      <c r="B368" s="377" t="s">
        <v>540</v>
      </c>
      <c r="C368" s="378" t="s">
        <v>392</v>
      </c>
      <c r="D368" s="379" t="s">
        <v>542</v>
      </c>
      <c r="E368" s="378" t="s">
        <v>1294</v>
      </c>
      <c r="F368" s="379" t="s">
        <v>1295</v>
      </c>
      <c r="G368" s="378" t="s">
        <v>738</v>
      </c>
      <c r="H368" s="378" t="s">
        <v>739</v>
      </c>
      <c r="I368" s="380">
        <v>1.67</v>
      </c>
      <c r="J368" s="380">
        <v>100</v>
      </c>
      <c r="K368" s="381">
        <v>167</v>
      </c>
    </row>
    <row r="369" spans="1:11" ht="14.4" customHeight="1" x14ac:dyDescent="0.3">
      <c r="A369" s="376" t="s">
        <v>382</v>
      </c>
      <c r="B369" s="377" t="s">
        <v>540</v>
      </c>
      <c r="C369" s="378" t="s">
        <v>392</v>
      </c>
      <c r="D369" s="379" t="s">
        <v>542</v>
      </c>
      <c r="E369" s="378" t="s">
        <v>1294</v>
      </c>
      <c r="F369" s="379" t="s">
        <v>1295</v>
      </c>
      <c r="G369" s="378" t="s">
        <v>740</v>
      </c>
      <c r="H369" s="378" t="s">
        <v>741</v>
      </c>
      <c r="I369" s="380">
        <v>0.48</v>
      </c>
      <c r="J369" s="380">
        <v>100</v>
      </c>
      <c r="K369" s="381">
        <v>48</v>
      </c>
    </row>
    <row r="370" spans="1:11" ht="14.4" customHeight="1" x14ac:dyDescent="0.3">
      <c r="A370" s="376" t="s">
        <v>382</v>
      </c>
      <c r="B370" s="377" t="s">
        <v>540</v>
      </c>
      <c r="C370" s="378" t="s">
        <v>392</v>
      </c>
      <c r="D370" s="379" t="s">
        <v>542</v>
      </c>
      <c r="E370" s="378" t="s">
        <v>1294</v>
      </c>
      <c r="F370" s="379" t="s">
        <v>1295</v>
      </c>
      <c r="G370" s="378" t="s">
        <v>744</v>
      </c>
      <c r="H370" s="378" t="s">
        <v>745</v>
      </c>
      <c r="I370" s="380">
        <v>3.13</v>
      </c>
      <c r="J370" s="380">
        <v>62</v>
      </c>
      <c r="K370" s="381">
        <v>194.06</v>
      </c>
    </row>
    <row r="371" spans="1:11" ht="14.4" customHeight="1" x14ac:dyDescent="0.3">
      <c r="A371" s="376" t="s">
        <v>382</v>
      </c>
      <c r="B371" s="377" t="s">
        <v>540</v>
      </c>
      <c r="C371" s="378" t="s">
        <v>392</v>
      </c>
      <c r="D371" s="379" t="s">
        <v>542</v>
      </c>
      <c r="E371" s="378" t="s">
        <v>1294</v>
      </c>
      <c r="F371" s="379" t="s">
        <v>1295</v>
      </c>
      <c r="G371" s="378" t="s">
        <v>1209</v>
      </c>
      <c r="H371" s="378" t="s">
        <v>1210</v>
      </c>
      <c r="I371" s="380">
        <v>1.97</v>
      </c>
      <c r="J371" s="380">
        <v>40</v>
      </c>
      <c r="K371" s="381">
        <v>78.8</v>
      </c>
    </row>
    <row r="372" spans="1:11" ht="14.4" customHeight="1" x14ac:dyDescent="0.3">
      <c r="A372" s="376" t="s">
        <v>382</v>
      </c>
      <c r="B372" s="377" t="s">
        <v>540</v>
      </c>
      <c r="C372" s="378" t="s">
        <v>392</v>
      </c>
      <c r="D372" s="379" t="s">
        <v>542</v>
      </c>
      <c r="E372" s="378" t="s">
        <v>1294</v>
      </c>
      <c r="F372" s="379" t="s">
        <v>1295</v>
      </c>
      <c r="G372" s="378" t="s">
        <v>748</v>
      </c>
      <c r="H372" s="378" t="s">
        <v>749</v>
      </c>
      <c r="I372" s="380">
        <v>80.575999999999993</v>
      </c>
      <c r="J372" s="380">
        <v>760</v>
      </c>
      <c r="K372" s="381">
        <v>61236.799999999996</v>
      </c>
    </row>
    <row r="373" spans="1:11" ht="14.4" customHeight="1" x14ac:dyDescent="0.3">
      <c r="A373" s="376" t="s">
        <v>382</v>
      </c>
      <c r="B373" s="377" t="s">
        <v>540</v>
      </c>
      <c r="C373" s="378" t="s">
        <v>392</v>
      </c>
      <c r="D373" s="379" t="s">
        <v>542</v>
      </c>
      <c r="E373" s="378" t="s">
        <v>1294</v>
      </c>
      <c r="F373" s="379" t="s">
        <v>1295</v>
      </c>
      <c r="G373" s="378" t="s">
        <v>1211</v>
      </c>
      <c r="H373" s="378" t="s">
        <v>1212</v>
      </c>
      <c r="I373" s="380">
        <v>2.0299999999999998</v>
      </c>
      <c r="J373" s="380">
        <v>100</v>
      </c>
      <c r="K373" s="381">
        <v>203</v>
      </c>
    </row>
    <row r="374" spans="1:11" ht="14.4" customHeight="1" x14ac:dyDescent="0.3">
      <c r="A374" s="376" t="s">
        <v>382</v>
      </c>
      <c r="B374" s="377" t="s">
        <v>540</v>
      </c>
      <c r="C374" s="378" t="s">
        <v>392</v>
      </c>
      <c r="D374" s="379" t="s">
        <v>542</v>
      </c>
      <c r="E374" s="378" t="s">
        <v>1294</v>
      </c>
      <c r="F374" s="379" t="s">
        <v>1295</v>
      </c>
      <c r="G374" s="378" t="s">
        <v>1213</v>
      </c>
      <c r="H374" s="378" t="s">
        <v>1214</v>
      </c>
      <c r="I374" s="380">
        <v>37.15</v>
      </c>
      <c r="J374" s="380">
        <v>120</v>
      </c>
      <c r="K374" s="381">
        <v>4457.6400000000003</v>
      </c>
    </row>
    <row r="375" spans="1:11" ht="14.4" customHeight="1" x14ac:dyDescent="0.3">
      <c r="A375" s="376" t="s">
        <v>382</v>
      </c>
      <c r="B375" s="377" t="s">
        <v>540</v>
      </c>
      <c r="C375" s="378" t="s">
        <v>392</v>
      </c>
      <c r="D375" s="379" t="s">
        <v>542</v>
      </c>
      <c r="E375" s="378" t="s">
        <v>1294</v>
      </c>
      <c r="F375" s="379" t="s">
        <v>1295</v>
      </c>
      <c r="G375" s="378" t="s">
        <v>786</v>
      </c>
      <c r="H375" s="378" t="s">
        <v>787</v>
      </c>
      <c r="I375" s="380">
        <v>6.66</v>
      </c>
      <c r="J375" s="380">
        <v>50</v>
      </c>
      <c r="K375" s="381">
        <v>333</v>
      </c>
    </row>
    <row r="376" spans="1:11" ht="14.4" customHeight="1" x14ac:dyDescent="0.3">
      <c r="A376" s="376" t="s">
        <v>382</v>
      </c>
      <c r="B376" s="377" t="s">
        <v>540</v>
      </c>
      <c r="C376" s="378" t="s">
        <v>392</v>
      </c>
      <c r="D376" s="379" t="s">
        <v>542</v>
      </c>
      <c r="E376" s="378" t="s">
        <v>1294</v>
      </c>
      <c r="F376" s="379" t="s">
        <v>1295</v>
      </c>
      <c r="G376" s="378" t="s">
        <v>788</v>
      </c>
      <c r="H376" s="378" t="s">
        <v>789</v>
      </c>
      <c r="I376" s="380">
        <v>6.66</v>
      </c>
      <c r="J376" s="380">
        <v>100</v>
      </c>
      <c r="K376" s="381">
        <v>666</v>
      </c>
    </row>
    <row r="377" spans="1:11" ht="14.4" customHeight="1" x14ac:dyDescent="0.3">
      <c r="A377" s="376" t="s">
        <v>382</v>
      </c>
      <c r="B377" s="377" t="s">
        <v>540</v>
      </c>
      <c r="C377" s="378" t="s">
        <v>392</v>
      </c>
      <c r="D377" s="379" t="s">
        <v>542</v>
      </c>
      <c r="E377" s="378" t="s">
        <v>1294</v>
      </c>
      <c r="F377" s="379" t="s">
        <v>1295</v>
      </c>
      <c r="G377" s="378" t="s">
        <v>790</v>
      </c>
      <c r="H377" s="378" t="s">
        <v>791</v>
      </c>
      <c r="I377" s="380">
        <v>6.66</v>
      </c>
      <c r="J377" s="380">
        <v>30</v>
      </c>
      <c r="K377" s="381">
        <v>199.8</v>
      </c>
    </row>
    <row r="378" spans="1:11" ht="14.4" customHeight="1" x14ac:dyDescent="0.3">
      <c r="A378" s="376" t="s">
        <v>382</v>
      </c>
      <c r="B378" s="377" t="s">
        <v>540</v>
      </c>
      <c r="C378" s="378" t="s">
        <v>392</v>
      </c>
      <c r="D378" s="379" t="s">
        <v>542</v>
      </c>
      <c r="E378" s="378" t="s">
        <v>1294</v>
      </c>
      <c r="F378" s="379" t="s">
        <v>1295</v>
      </c>
      <c r="G378" s="378" t="s">
        <v>1215</v>
      </c>
      <c r="H378" s="378" t="s">
        <v>813</v>
      </c>
      <c r="I378" s="380">
        <v>601.37</v>
      </c>
      <c r="J378" s="380">
        <v>1</v>
      </c>
      <c r="K378" s="381">
        <v>601.37</v>
      </c>
    </row>
    <row r="379" spans="1:11" ht="14.4" customHeight="1" x14ac:dyDescent="0.3">
      <c r="A379" s="376" t="s">
        <v>382</v>
      </c>
      <c r="B379" s="377" t="s">
        <v>540</v>
      </c>
      <c r="C379" s="378" t="s">
        <v>392</v>
      </c>
      <c r="D379" s="379" t="s">
        <v>542</v>
      </c>
      <c r="E379" s="378" t="s">
        <v>1294</v>
      </c>
      <c r="F379" s="379" t="s">
        <v>1295</v>
      </c>
      <c r="G379" s="378" t="s">
        <v>1216</v>
      </c>
      <c r="H379" s="378" t="s">
        <v>1217</v>
      </c>
      <c r="I379" s="380">
        <v>3749.5</v>
      </c>
      <c r="J379" s="380">
        <v>10</v>
      </c>
      <c r="K379" s="381">
        <v>37495</v>
      </c>
    </row>
    <row r="380" spans="1:11" ht="14.4" customHeight="1" x14ac:dyDescent="0.3">
      <c r="A380" s="376" t="s">
        <v>382</v>
      </c>
      <c r="B380" s="377" t="s">
        <v>540</v>
      </c>
      <c r="C380" s="378" t="s">
        <v>392</v>
      </c>
      <c r="D380" s="379" t="s">
        <v>542</v>
      </c>
      <c r="E380" s="378" t="s">
        <v>1294</v>
      </c>
      <c r="F380" s="379" t="s">
        <v>1295</v>
      </c>
      <c r="G380" s="378" t="s">
        <v>798</v>
      </c>
      <c r="H380" s="378" t="s">
        <v>799</v>
      </c>
      <c r="I380" s="380">
        <v>30.86</v>
      </c>
      <c r="J380" s="380">
        <v>100</v>
      </c>
      <c r="K380" s="381">
        <v>3085.5</v>
      </c>
    </row>
    <row r="381" spans="1:11" ht="14.4" customHeight="1" x14ac:dyDescent="0.3">
      <c r="A381" s="376" t="s">
        <v>382</v>
      </c>
      <c r="B381" s="377" t="s">
        <v>540</v>
      </c>
      <c r="C381" s="378" t="s">
        <v>392</v>
      </c>
      <c r="D381" s="379" t="s">
        <v>542</v>
      </c>
      <c r="E381" s="378" t="s">
        <v>1294</v>
      </c>
      <c r="F381" s="379" t="s">
        <v>1295</v>
      </c>
      <c r="G381" s="378" t="s">
        <v>1218</v>
      </c>
      <c r="H381" s="378" t="s">
        <v>1219</v>
      </c>
      <c r="I381" s="380">
        <v>350.9</v>
      </c>
      <c r="J381" s="380">
        <v>40</v>
      </c>
      <c r="K381" s="381">
        <v>14036</v>
      </c>
    </row>
    <row r="382" spans="1:11" ht="14.4" customHeight="1" x14ac:dyDescent="0.3">
      <c r="A382" s="376" t="s">
        <v>382</v>
      </c>
      <c r="B382" s="377" t="s">
        <v>540</v>
      </c>
      <c r="C382" s="378" t="s">
        <v>392</v>
      </c>
      <c r="D382" s="379" t="s">
        <v>542</v>
      </c>
      <c r="E382" s="378" t="s">
        <v>1294</v>
      </c>
      <c r="F382" s="379" t="s">
        <v>1295</v>
      </c>
      <c r="G382" s="378" t="s">
        <v>1220</v>
      </c>
      <c r="H382" s="378" t="s">
        <v>1221</v>
      </c>
      <c r="I382" s="380">
        <v>64.13</v>
      </c>
      <c r="J382" s="380">
        <v>48</v>
      </c>
      <c r="K382" s="381">
        <v>3078.24</v>
      </c>
    </row>
    <row r="383" spans="1:11" ht="14.4" customHeight="1" x14ac:dyDescent="0.3">
      <c r="A383" s="376" t="s">
        <v>382</v>
      </c>
      <c r="B383" s="377" t="s">
        <v>540</v>
      </c>
      <c r="C383" s="378" t="s">
        <v>392</v>
      </c>
      <c r="D383" s="379" t="s">
        <v>542</v>
      </c>
      <c r="E383" s="378" t="s">
        <v>1294</v>
      </c>
      <c r="F383" s="379" t="s">
        <v>1295</v>
      </c>
      <c r="G383" s="378" t="s">
        <v>814</v>
      </c>
      <c r="H383" s="378" t="s">
        <v>815</v>
      </c>
      <c r="I383" s="380">
        <v>111.55</v>
      </c>
      <c r="J383" s="380">
        <v>40</v>
      </c>
      <c r="K383" s="381">
        <v>4462</v>
      </c>
    </row>
    <row r="384" spans="1:11" ht="14.4" customHeight="1" x14ac:dyDescent="0.3">
      <c r="A384" s="376" t="s">
        <v>382</v>
      </c>
      <c r="B384" s="377" t="s">
        <v>540</v>
      </c>
      <c r="C384" s="378" t="s">
        <v>392</v>
      </c>
      <c r="D384" s="379" t="s">
        <v>542</v>
      </c>
      <c r="E384" s="378" t="s">
        <v>1294</v>
      </c>
      <c r="F384" s="379" t="s">
        <v>1295</v>
      </c>
      <c r="G384" s="378" t="s">
        <v>818</v>
      </c>
      <c r="H384" s="378" t="s">
        <v>1222</v>
      </c>
      <c r="I384" s="380">
        <v>5596.76</v>
      </c>
      <c r="J384" s="380">
        <v>4</v>
      </c>
      <c r="K384" s="381">
        <v>22387.05</v>
      </c>
    </row>
    <row r="385" spans="1:11" ht="14.4" customHeight="1" x14ac:dyDescent="0.3">
      <c r="A385" s="376" t="s">
        <v>382</v>
      </c>
      <c r="B385" s="377" t="s">
        <v>540</v>
      </c>
      <c r="C385" s="378" t="s">
        <v>392</v>
      </c>
      <c r="D385" s="379" t="s">
        <v>542</v>
      </c>
      <c r="E385" s="378" t="s">
        <v>1294</v>
      </c>
      <c r="F385" s="379" t="s">
        <v>1295</v>
      </c>
      <c r="G385" s="378" t="s">
        <v>820</v>
      </c>
      <c r="H385" s="378" t="s">
        <v>821</v>
      </c>
      <c r="I385" s="380">
        <v>482.79</v>
      </c>
      <c r="J385" s="380">
        <v>25</v>
      </c>
      <c r="K385" s="381">
        <v>12069.75</v>
      </c>
    </row>
    <row r="386" spans="1:11" ht="14.4" customHeight="1" x14ac:dyDescent="0.3">
      <c r="A386" s="376" t="s">
        <v>382</v>
      </c>
      <c r="B386" s="377" t="s">
        <v>540</v>
      </c>
      <c r="C386" s="378" t="s">
        <v>392</v>
      </c>
      <c r="D386" s="379" t="s">
        <v>542</v>
      </c>
      <c r="E386" s="378" t="s">
        <v>1294</v>
      </c>
      <c r="F386" s="379" t="s">
        <v>1295</v>
      </c>
      <c r="G386" s="378" t="s">
        <v>822</v>
      </c>
      <c r="H386" s="378" t="s">
        <v>823</v>
      </c>
      <c r="I386" s="380">
        <v>6.05</v>
      </c>
      <c r="J386" s="380">
        <v>680</v>
      </c>
      <c r="K386" s="381">
        <v>4114</v>
      </c>
    </row>
    <row r="387" spans="1:11" ht="14.4" customHeight="1" x14ac:dyDescent="0.3">
      <c r="A387" s="376" t="s">
        <v>382</v>
      </c>
      <c r="B387" s="377" t="s">
        <v>540</v>
      </c>
      <c r="C387" s="378" t="s">
        <v>392</v>
      </c>
      <c r="D387" s="379" t="s">
        <v>542</v>
      </c>
      <c r="E387" s="378" t="s">
        <v>1294</v>
      </c>
      <c r="F387" s="379" t="s">
        <v>1295</v>
      </c>
      <c r="G387" s="378" t="s">
        <v>832</v>
      </c>
      <c r="H387" s="378" t="s">
        <v>833</v>
      </c>
      <c r="I387" s="380">
        <v>144.80000000000001</v>
      </c>
      <c r="J387" s="380">
        <v>10</v>
      </c>
      <c r="K387" s="381">
        <v>1448.01</v>
      </c>
    </row>
    <row r="388" spans="1:11" ht="14.4" customHeight="1" x14ac:dyDescent="0.3">
      <c r="A388" s="376" t="s">
        <v>382</v>
      </c>
      <c r="B388" s="377" t="s">
        <v>540</v>
      </c>
      <c r="C388" s="378" t="s">
        <v>392</v>
      </c>
      <c r="D388" s="379" t="s">
        <v>542</v>
      </c>
      <c r="E388" s="378" t="s">
        <v>1294</v>
      </c>
      <c r="F388" s="379" t="s">
        <v>1295</v>
      </c>
      <c r="G388" s="378" t="s">
        <v>1223</v>
      </c>
      <c r="H388" s="378" t="s">
        <v>1224</v>
      </c>
      <c r="I388" s="380">
        <v>2142.5500000000002</v>
      </c>
      <c r="J388" s="380">
        <v>5</v>
      </c>
      <c r="K388" s="381">
        <v>10712.74</v>
      </c>
    </row>
    <row r="389" spans="1:11" ht="14.4" customHeight="1" x14ac:dyDescent="0.3">
      <c r="A389" s="376" t="s">
        <v>382</v>
      </c>
      <c r="B389" s="377" t="s">
        <v>540</v>
      </c>
      <c r="C389" s="378" t="s">
        <v>392</v>
      </c>
      <c r="D389" s="379" t="s">
        <v>542</v>
      </c>
      <c r="E389" s="378" t="s">
        <v>1294</v>
      </c>
      <c r="F389" s="379" t="s">
        <v>1295</v>
      </c>
      <c r="G389" s="378" t="s">
        <v>834</v>
      </c>
      <c r="H389" s="378" t="s">
        <v>835</v>
      </c>
      <c r="I389" s="380">
        <v>115</v>
      </c>
      <c r="J389" s="380">
        <v>24</v>
      </c>
      <c r="K389" s="381">
        <v>2760</v>
      </c>
    </row>
    <row r="390" spans="1:11" ht="14.4" customHeight="1" x14ac:dyDescent="0.3">
      <c r="A390" s="376" t="s">
        <v>382</v>
      </c>
      <c r="B390" s="377" t="s">
        <v>540</v>
      </c>
      <c r="C390" s="378" t="s">
        <v>392</v>
      </c>
      <c r="D390" s="379" t="s">
        <v>542</v>
      </c>
      <c r="E390" s="378" t="s">
        <v>1294</v>
      </c>
      <c r="F390" s="379" t="s">
        <v>1295</v>
      </c>
      <c r="G390" s="378" t="s">
        <v>1225</v>
      </c>
      <c r="H390" s="378" t="s">
        <v>1226</v>
      </c>
      <c r="I390" s="380">
        <v>1457.26</v>
      </c>
      <c r="J390" s="380">
        <v>4</v>
      </c>
      <c r="K390" s="381">
        <v>5829.05</v>
      </c>
    </row>
    <row r="391" spans="1:11" ht="14.4" customHeight="1" x14ac:dyDescent="0.3">
      <c r="A391" s="376" t="s">
        <v>382</v>
      </c>
      <c r="B391" s="377" t="s">
        <v>540</v>
      </c>
      <c r="C391" s="378" t="s">
        <v>392</v>
      </c>
      <c r="D391" s="379" t="s">
        <v>542</v>
      </c>
      <c r="E391" s="378" t="s">
        <v>1294</v>
      </c>
      <c r="F391" s="379" t="s">
        <v>1295</v>
      </c>
      <c r="G391" s="378" t="s">
        <v>1227</v>
      </c>
      <c r="H391" s="378" t="s">
        <v>1228</v>
      </c>
      <c r="I391" s="380">
        <v>200.05</v>
      </c>
      <c r="J391" s="380">
        <v>18</v>
      </c>
      <c r="K391" s="381">
        <v>3600.96</v>
      </c>
    </row>
    <row r="392" spans="1:11" ht="14.4" customHeight="1" x14ac:dyDescent="0.3">
      <c r="A392" s="376" t="s">
        <v>382</v>
      </c>
      <c r="B392" s="377" t="s">
        <v>540</v>
      </c>
      <c r="C392" s="378" t="s">
        <v>392</v>
      </c>
      <c r="D392" s="379" t="s">
        <v>542</v>
      </c>
      <c r="E392" s="378" t="s">
        <v>1294</v>
      </c>
      <c r="F392" s="379" t="s">
        <v>1295</v>
      </c>
      <c r="G392" s="378" t="s">
        <v>1229</v>
      </c>
      <c r="H392" s="378" t="s">
        <v>1230</v>
      </c>
      <c r="I392" s="380">
        <v>1094.45</v>
      </c>
      <c r="J392" s="380">
        <v>5</v>
      </c>
      <c r="K392" s="381">
        <v>5472.23</v>
      </c>
    </row>
    <row r="393" spans="1:11" ht="14.4" customHeight="1" x14ac:dyDescent="0.3">
      <c r="A393" s="376" t="s">
        <v>382</v>
      </c>
      <c r="B393" s="377" t="s">
        <v>540</v>
      </c>
      <c r="C393" s="378" t="s">
        <v>392</v>
      </c>
      <c r="D393" s="379" t="s">
        <v>542</v>
      </c>
      <c r="E393" s="378" t="s">
        <v>1294</v>
      </c>
      <c r="F393" s="379" t="s">
        <v>1295</v>
      </c>
      <c r="G393" s="378" t="s">
        <v>844</v>
      </c>
      <c r="H393" s="378" t="s">
        <v>845</v>
      </c>
      <c r="I393" s="380">
        <v>2306.2600000000002</v>
      </c>
      <c r="J393" s="380">
        <v>20</v>
      </c>
      <c r="K393" s="381">
        <v>46125.2</v>
      </c>
    </row>
    <row r="394" spans="1:11" ht="14.4" customHeight="1" x14ac:dyDescent="0.3">
      <c r="A394" s="376" t="s">
        <v>382</v>
      </c>
      <c r="B394" s="377" t="s">
        <v>540</v>
      </c>
      <c r="C394" s="378" t="s">
        <v>392</v>
      </c>
      <c r="D394" s="379" t="s">
        <v>542</v>
      </c>
      <c r="E394" s="378" t="s">
        <v>1294</v>
      </c>
      <c r="F394" s="379" t="s">
        <v>1295</v>
      </c>
      <c r="G394" s="378" t="s">
        <v>1231</v>
      </c>
      <c r="H394" s="378" t="s">
        <v>1232</v>
      </c>
      <c r="I394" s="380">
        <v>135.69999999999999</v>
      </c>
      <c r="J394" s="380">
        <v>40</v>
      </c>
      <c r="K394" s="381">
        <v>5428</v>
      </c>
    </row>
    <row r="395" spans="1:11" ht="14.4" customHeight="1" x14ac:dyDescent="0.3">
      <c r="A395" s="376" t="s">
        <v>382</v>
      </c>
      <c r="B395" s="377" t="s">
        <v>540</v>
      </c>
      <c r="C395" s="378" t="s">
        <v>392</v>
      </c>
      <c r="D395" s="379" t="s">
        <v>542</v>
      </c>
      <c r="E395" s="378" t="s">
        <v>1294</v>
      </c>
      <c r="F395" s="379" t="s">
        <v>1295</v>
      </c>
      <c r="G395" s="378" t="s">
        <v>1233</v>
      </c>
      <c r="H395" s="378" t="s">
        <v>1234</v>
      </c>
      <c r="I395" s="380">
        <v>153.22</v>
      </c>
      <c r="J395" s="380">
        <v>6</v>
      </c>
      <c r="K395" s="381">
        <v>919.34</v>
      </c>
    </row>
    <row r="396" spans="1:11" ht="14.4" customHeight="1" x14ac:dyDescent="0.3">
      <c r="A396" s="376" t="s">
        <v>382</v>
      </c>
      <c r="B396" s="377" t="s">
        <v>540</v>
      </c>
      <c r="C396" s="378" t="s">
        <v>392</v>
      </c>
      <c r="D396" s="379" t="s">
        <v>542</v>
      </c>
      <c r="E396" s="378" t="s">
        <v>1294</v>
      </c>
      <c r="F396" s="379" t="s">
        <v>1295</v>
      </c>
      <c r="G396" s="378" t="s">
        <v>1235</v>
      </c>
      <c r="H396" s="378" t="s">
        <v>1236</v>
      </c>
      <c r="I396" s="380">
        <v>141.79</v>
      </c>
      <c r="J396" s="380">
        <v>6</v>
      </c>
      <c r="K396" s="381">
        <v>850.72</v>
      </c>
    </row>
    <row r="397" spans="1:11" ht="14.4" customHeight="1" x14ac:dyDescent="0.3">
      <c r="A397" s="376" t="s">
        <v>382</v>
      </c>
      <c r="B397" s="377" t="s">
        <v>540</v>
      </c>
      <c r="C397" s="378" t="s">
        <v>392</v>
      </c>
      <c r="D397" s="379" t="s">
        <v>542</v>
      </c>
      <c r="E397" s="378" t="s">
        <v>1294</v>
      </c>
      <c r="F397" s="379" t="s">
        <v>1295</v>
      </c>
      <c r="G397" s="378" t="s">
        <v>1237</v>
      </c>
      <c r="H397" s="378" t="s">
        <v>1238</v>
      </c>
      <c r="I397" s="380">
        <v>2779.73</v>
      </c>
      <c r="J397" s="380">
        <v>6</v>
      </c>
      <c r="K397" s="381">
        <v>16678.36</v>
      </c>
    </row>
    <row r="398" spans="1:11" ht="14.4" customHeight="1" x14ac:dyDescent="0.3">
      <c r="A398" s="376" t="s">
        <v>382</v>
      </c>
      <c r="B398" s="377" t="s">
        <v>540</v>
      </c>
      <c r="C398" s="378" t="s">
        <v>392</v>
      </c>
      <c r="D398" s="379" t="s">
        <v>542</v>
      </c>
      <c r="E398" s="378" t="s">
        <v>1294</v>
      </c>
      <c r="F398" s="379" t="s">
        <v>1295</v>
      </c>
      <c r="G398" s="378" t="s">
        <v>1239</v>
      </c>
      <c r="H398" s="378" t="s">
        <v>1240</v>
      </c>
      <c r="I398" s="380">
        <v>5853.32</v>
      </c>
      <c r="J398" s="380">
        <v>6</v>
      </c>
      <c r="K398" s="381">
        <v>35119.910000000003</v>
      </c>
    </row>
    <row r="399" spans="1:11" ht="14.4" customHeight="1" x14ac:dyDescent="0.3">
      <c r="A399" s="376" t="s">
        <v>382</v>
      </c>
      <c r="B399" s="377" t="s">
        <v>540</v>
      </c>
      <c r="C399" s="378" t="s">
        <v>392</v>
      </c>
      <c r="D399" s="379" t="s">
        <v>542</v>
      </c>
      <c r="E399" s="378" t="s">
        <v>1294</v>
      </c>
      <c r="F399" s="379" t="s">
        <v>1295</v>
      </c>
      <c r="G399" s="378" t="s">
        <v>1241</v>
      </c>
      <c r="H399" s="378" t="s">
        <v>1242</v>
      </c>
      <c r="I399" s="380">
        <v>1748.33</v>
      </c>
      <c r="J399" s="380">
        <v>10</v>
      </c>
      <c r="K399" s="381">
        <v>17483.349999999999</v>
      </c>
    </row>
    <row r="400" spans="1:11" ht="14.4" customHeight="1" x14ac:dyDescent="0.3">
      <c r="A400" s="376" t="s">
        <v>382</v>
      </c>
      <c r="B400" s="377" t="s">
        <v>540</v>
      </c>
      <c r="C400" s="378" t="s">
        <v>392</v>
      </c>
      <c r="D400" s="379" t="s">
        <v>542</v>
      </c>
      <c r="E400" s="378" t="s">
        <v>1294</v>
      </c>
      <c r="F400" s="379" t="s">
        <v>1295</v>
      </c>
      <c r="G400" s="378" t="s">
        <v>1243</v>
      </c>
      <c r="H400" s="378" t="s">
        <v>1244</v>
      </c>
      <c r="I400" s="380">
        <v>2955.82</v>
      </c>
      <c r="J400" s="380">
        <v>6</v>
      </c>
      <c r="K400" s="381">
        <v>17734.91</v>
      </c>
    </row>
    <row r="401" spans="1:11" ht="14.4" customHeight="1" x14ac:dyDescent="0.3">
      <c r="A401" s="376" t="s">
        <v>382</v>
      </c>
      <c r="B401" s="377" t="s">
        <v>540</v>
      </c>
      <c r="C401" s="378" t="s">
        <v>392</v>
      </c>
      <c r="D401" s="379" t="s">
        <v>542</v>
      </c>
      <c r="E401" s="378" t="s">
        <v>1294</v>
      </c>
      <c r="F401" s="379" t="s">
        <v>1295</v>
      </c>
      <c r="G401" s="378" t="s">
        <v>1245</v>
      </c>
      <c r="H401" s="378" t="s">
        <v>1246</v>
      </c>
      <c r="I401" s="380">
        <v>1837.53</v>
      </c>
      <c r="J401" s="380">
        <v>4</v>
      </c>
      <c r="K401" s="381">
        <v>7350.1</v>
      </c>
    </row>
    <row r="402" spans="1:11" ht="14.4" customHeight="1" x14ac:dyDescent="0.3">
      <c r="A402" s="376" t="s">
        <v>382</v>
      </c>
      <c r="B402" s="377" t="s">
        <v>540</v>
      </c>
      <c r="C402" s="378" t="s">
        <v>392</v>
      </c>
      <c r="D402" s="379" t="s">
        <v>542</v>
      </c>
      <c r="E402" s="378" t="s">
        <v>1294</v>
      </c>
      <c r="F402" s="379" t="s">
        <v>1295</v>
      </c>
      <c r="G402" s="378" t="s">
        <v>1247</v>
      </c>
      <c r="H402" s="378" t="s">
        <v>1248</v>
      </c>
      <c r="I402" s="380">
        <v>555.72</v>
      </c>
      <c r="J402" s="380">
        <v>6</v>
      </c>
      <c r="K402" s="381">
        <v>3334.3</v>
      </c>
    </row>
    <row r="403" spans="1:11" ht="14.4" customHeight="1" x14ac:dyDescent="0.3">
      <c r="A403" s="376" t="s">
        <v>382</v>
      </c>
      <c r="B403" s="377" t="s">
        <v>540</v>
      </c>
      <c r="C403" s="378" t="s">
        <v>392</v>
      </c>
      <c r="D403" s="379" t="s">
        <v>542</v>
      </c>
      <c r="E403" s="378" t="s">
        <v>1294</v>
      </c>
      <c r="F403" s="379" t="s">
        <v>1295</v>
      </c>
      <c r="G403" s="378" t="s">
        <v>1249</v>
      </c>
      <c r="H403" s="378" t="s">
        <v>1250</v>
      </c>
      <c r="I403" s="380">
        <v>2930.62</v>
      </c>
      <c r="J403" s="380">
        <v>1</v>
      </c>
      <c r="K403" s="381">
        <v>2930.62</v>
      </c>
    </row>
    <row r="404" spans="1:11" ht="14.4" customHeight="1" x14ac:dyDescent="0.3">
      <c r="A404" s="376" t="s">
        <v>382</v>
      </c>
      <c r="B404" s="377" t="s">
        <v>540</v>
      </c>
      <c r="C404" s="378" t="s">
        <v>392</v>
      </c>
      <c r="D404" s="379" t="s">
        <v>542</v>
      </c>
      <c r="E404" s="378" t="s">
        <v>1294</v>
      </c>
      <c r="F404" s="379" t="s">
        <v>1295</v>
      </c>
      <c r="G404" s="378" t="s">
        <v>1251</v>
      </c>
      <c r="H404" s="378" t="s">
        <v>1252</v>
      </c>
      <c r="I404" s="380">
        <v>543.29</v>
      </c>
      <c r="J404" s="380">
        <v>1</v>
      </c>
      <c r="K404" s="381">
        <v>543.29</v>
      </c>
    </row>
    <row r="405" spans="1:11" ht="14.4" customHeight="1" x14ac:dyDescent="0.3">
      <c r="A405" s="376" t="s">
        <v>382</v>
      </c>
      <c r="B405" s="377" t="s">
        <v>540</v>
      </c>
      <c r="C405" s="378" t="s">
        <v>392</v>
      </c>
      <c r="D405" s="379" t="s">
        <v>542</v>
      </c>
      <c r="E405" s="378" t="s">
        <v>1300</v>
      </c>
      <c r="F405" s="379" t="s">
        <v>1301</v>
      </c>
      <c r="G405" s="378" t="s">
        <v>1253</v>
      </c>
      <c r="H405" s="378" t="s">
        <v>1254</v>
      </c>
      <c r="I405" s="380">
        <v>20013.400000000001</v>
      </c>
      <c r="J405" s="380">
        <v>2</v>
      </c>
      <c r="K405" s="381">
        <v>40026.800000000003</v>
      </c>
    </row>
    <row r="406" spans="1:11" ht="14.4" customHeight="1" x14ac:dyDescent="0.3">
      <c r="A406" s="376" t="s">
        <v>382</v>
      </c>
      <c r="B406" s="377" t="s">
        <v>540</v>
      </c>
      <c r="C406" s="378" t="s">
        <v>392</v>
      </c>
      <c r="D406" s="379" t="s">
        <v>542</v>
      </c>
      <c r="E406" s="378" t="s">
        <v>1300</v>
      </c>
      <c r="F406" s="379" t="s">
        <v>1301</v>
      </c>
      <c r="G406" s="378" t="s">
        <v>1253</v>
      </c>
      <c r="H406" s="378" t="s">
        <v>1255</v>
      </c>
      <c r="I406" s="380">
        <v>20013.09</v>
      </c>
      <c r="J406" s="380">
        <v>3</v>
      </c>
      <c r="K406" s="381">
        <v>60039.28</v>
      </c>
    </row>
    <row r="407" spans="1:11" ht="14.4" customHeight="1" x14ac:dyDescent="0.3">
      <c r="A407" s="376" t="s">
        <v>382</v>
      </c>
      <c r="B407" s="377" t="s">
        <v>540</v>
      </c>
      <c r="C407" s="378" t="s">
        <v>392</v>
      </c>
      <c r="D407" s="379" t="s">
        <v>542</v>
      </c>
      <c r="E407" s="378" t="s">
        <v>1300</v>
      </c>
      <c r="F407" s="379" t="s">
        <v>1301</v>
      </c>
      <c r="G407" s="378" t="s">
        <v>901</v>
      </c>
      <c r="H407" s="378" t="s">
        <v>902</v>
      </c>
      <c r="I407" s="380">
        <v>95.72</v>
      </c>
      <c r="J407" s="380">
        <v>360</v>
      </c>
      <c r="K407" s="381">
        <v>34459.839999999997</v>
      </c>
    </row>
    <row r="408" spans="1:11" ht="14.4" customHeight="1" x14ac:dyDescent="0.3">
      <c r="A408" s="376" t="s">
        <v>382</v>
      </c>
      <c r="B408" s="377" t="s">
        <v>540</v>
      </c>
      <c r="C408" s="378" t="s">
        <v>392</v>
      </c>
      <c r="D408" s="379" t="s">
        <v>542</v>
      </c>
      <c r="E408" s="378" t="s">
        <v>1300</v>
      </c>
      <c r="F408" s="379" t="s">
        <v>1301</v>
      </c>
      <c r="G408" s="378" t="s">
        <v>1256</v>
      </c>
      <c r="H408" s="378" t="s">
        <v>1257</v>
      </c>
      <c r="I408" s="380">
        <v>66196.320000000007</v>
      </c>
      <c r="J408" s="380">
        <v>2</v>
      </c>
      <c r="K408" s="381">
        <v>132392.64000000001</v>
      </c>
    </row>
    <row r="409" spans="1:11" ht="14.4" customHeight="1" x14ac:dyDescent="0.3">
      <c r="A409" s="376" t="s">
        <v>382</v>
      </c>
      <c r="B409" s="377" t="s">
        <v>540</v>
      </c>
      <c r="C409" s="378" t="s">
        <v>392</v>
      </c>
      <c r="D409" s="379" t="s">
        <v>542</v>
      </c>
      <c r="E409" s="378" t="s">
        <v>1300</v>
      </c>
      <c r="F409" s="379" t="s">
        <v>1301</v>
      </c>
      <c r="G409" s="378" t="s">
        <v>1258</v>
      </c>
      <c r="H409" s="378" t="s">
        <v>1259</v>
      </c>
      <c r="I409" s="380">
        <v>2006.12</v>
      </c>
      <c r="J409" s="380">
        <v>4</v>
      </c>
      <c r="K409" s="381">
        <v>8024.48</v>
      </c>
    </row>
    <row r="410" spans="1:11" ht="14.4" customHeight="1" x14ac:dyDescent="0.3">
      <c r="A410" s="376" t="s">
        <v>382</v>
      </c>
      <c r="B410" s="377" t="s">
        <v>540</v>
      </c>
      <c r="C410" s="378" t="s">
        <v>392</v>
      </c>
      <c r="D410" s="379" t="s">
        <v>542</v>
      </c>
      <c r="E410" s="378" t="s">
        <v>1300</v>
      </c>
      <c r="F410" s="379" t="s">
        <v>1301</v>
      </c>
      <c r="G410" s="378" t="s">
        <v>1260</v>
      </c>
      <c r="H410" s="378" t="s">
        <v>1261</v>
      </c>
      <c r="I410" s="380">
        <v>16322.9</v>
      </c>
      <c r="J410" s="380">
        <v>4</v>
      </c>
      <c r="K410" s="381">
        <v>65291.6</v>
      </c>
    </row>
    <row r="411" spans="1:11" ht="14.4" customHeight="1" x14ac:dyDescent="0.3">
      <c r="A411" s="376" t="s">
        <v>382</v>
      </c>
      <c r="B411" s="377" t="s">
        <v>540</v>
      </c>
      <c r="C411" s="378" t="s">
        <v>392</v>
      </c>
      <c r="D411" s="379" t="s">
        <v>542</v>
      </c>
      <c r="E411" s="378" t="s">
        <v>1300</v>
      </c>
      <c r="F411" s="379" t="s">
        <v>1301</v>
      </c>
      <c r="G411" s="378" t="s">
        <v>1262</v>
      </c>
      <c r="H411" s="378" t="s">
        <v>1263</v>
      </c>
      <c r="I411" s="380">
        <v>3690.5</v>
      </c>
      <c r="J411" s="380">
        <v>4</v>
      </c>
      <c r="K411" s="381">
        <v>14762</v>
      </c>
    </row>
    <row r="412" spans="1:11" ht="14.4" customHeight="1" x14ac:dyDescent="0.3">
      <c r="A412" s="376" t="s">
        <v>382</v>
      </c>
      <c r="B412" s="377" t="s">
        <v>540</v>
      </c>
      <c r="C412" s="378" t="s">
        <v>392</v>
      </c>
      <c r="D412" s="379" t="s">
        <v>542</v>
      </c>
      <c r="E412" s="378" t="s">
        <v>1300</v>
      </c>
      <c r="F412" s="379" t="s">
        <v>1301</v>
      </c>
      <c r="G412" s="378" t="s">
        <v>1264</v>
      </c>
      <c r="H412" s="378" t="s">
        <v>1265</v>
      </c>
      <c r="I412" s="380">
        <v>18429.509999999998</v>
      </c>
      <c r="J412" s="380">
        <v>1</v>
      </c>
      <c r="K412" s="381">
        <v>18429.509999999998</v>
      </c>
    </row>
    <row r="413" spans="1:11" ht="14.4" customHeight="1" x14ac:dyDescent="0.3">
      <c r="A413" s="376" t="s">
        <v>382</v>
      </c>
      <c r="B413" s="377" t="s">
        <v>540</v>
      </c>
      <c r="C413" s="378" t="s">
        <v>392</v>
      </c>
      <c r="D413" s="379" t="s">
        <v>542</v>
      </c>
      <c r="E413" s="378" t="s">
        <v>1304</v>
      </c>
      <c r="F413" s="379" t="s">
        <v>1305</v>
      </c>
      <c r="G413" s="378" t="s">
        <v>911</v>
      </c>
      <c r="H413" s="378" t="s">
        <v>912</v>
      </c>
      <c r="I413" s="380">
        <v>234.44</v>
      </c>
      <c r="J413" s="380">
        <v>60</v>
      </c>
      <c r="K413" s="381">
        <v>14066.23</v>
      </c>
    </row>
    <row r="414" spans="1:11" ht="14.4" customHeight="1" x14ac:dyDescent="0.3">
      <c r="A414" s="376" t="s">
        <v>382</v>
      </c>
      <c r="B414" s="377" t="s">
        <v>540</v>
      </c>
      <c r="C414" s="378" t="s">
        <v>392</v>
      </c>
      <c r="D414" s="379" t="s">
        <v>542</v>
      </c>
      <c r="E414" s="378" t="s">
        <v>1304</v>
      </c>
      <c r="F414" s="379" t="s">
        <v>1305</v>
      </c>
      <c r="G414" s="378" t="s">
        <v>923</v>
      </c>
      <c r="H414" s="378" t="s">
        <v>924</v>
      </c>
      <c r="I414" s="380">
        <v>50.11</v>
      </c>
      <c r="J414" s="380">
        <v>72</v>
      </c>
      <c r="K414" s="381">
        <v>3607.78</v>
      </c>
    </row>
    <row r="415" spans="1:11" ht="14.4" customHeight="1" x14ac:dyDescent="0.3">
      <c r="A415" s="376" t="s">
        <v>382</v>
      </c>
      <c r="B415" s="377" t="s">
        <v>540</v>
      </c>
      <c r="C415" s="378" t="s">
        <v>392</v>
      </c>
      <c r="D415" s="379" t="s">
        <v>542</v>
      </c>
      <c r="E415" s="378" t="s">
        <v>1304</v>
      </c>
      <c r="F415" s="379" t="s">
        <v>1305</v>
      </c>
      <c r="G415" s="378" t="s">
        <v>931</v>
      </c>
      <c r="H415" s="378" t="s">
        <v>932</v>
      </c>
      <c r="I415" s="380">
        <v>75.650000000000006</v>
      </c>
      <c r="J415" s="380">
        <v>72</v>
      </c>
      <c r="K415" s="381">
        <v>5446.92</v>
      </c>
    </row>
    <row r="416" spans="1:11" ht="14.4" customHeight="1" x14ac:dyDescent="0.3">
      <c r="A416" s="376" t="s">
        <v>382</v>
      </c>
      <c r="B416" s="377" t="s">
        <v>540</v>
      </c>
      <c r="C416" s="378" t="s">
        <v>392</v>
      </c>
      <c r="D416" s="379" t="s">
        <v>542</v>
      </c>
      <c r="E416" s="378" t="s">
        <v>1304</v>
      </c>
      <c r="F416" s="379" t="s">
        <v>1305</v>
      </c>
      <c r="G416" s="378" t="s">
        <v>935</v>
      </c>
      <c r="H416" s="378" t="s">
        <v>936</v>
      </c>
      <c r="I416" s="380">
        <v>45.61</v>
      </c>
      <c r="J416" s="380">
        <v>288</v>
      </c>
      <c r="K416" s="381">
        <v>13134.84</v>
      </c>
    </row>
    <row r="417" spans="1:11" ht="14.4" customHeight="1" x14ac:dyDescent="0.3">
      <c r="A417" s="376" t="s">
        <v>382</v>
      </c>
      <c r="B417" s="377" t="s">
        <v>540</v>
      </c>
      <c r="C417" s="378" t="s">
        <v>392</v>
      </c>
      <c r="D417" s="379" t="s">
        <v>542</v>
      </c>
      <c r="E417" s="378" t="s">
        <v>1304</v>
      </c>
      <c r="F417" s="379" t="s">
        <v>1305</v>
      </c>
      <c r="G417" s="378" t="s">
        <v>937</v>
      </c>
      <c r="H417" s="378" t="s">
        <v>938</v>
      </c>
      <c r="I417" s="380">
        <v>34.119999999999997</v>
      </c>
      <c r="J417" s="380">
        <v>72</v>
      </c>
      <c r="K417" s="381">
        <v>2456.6799999999998</v>
      </c>
    </row>
    <row r="418" spans="1:11" ht="14.4" customHeight="1" x14ac:dyDescent="0.3">
      <c r="A418" s="376" t="s">
        <v>382</v>
      </c>
      <c r="B418" s="377" t="s">
        <v>540</v>
      </c>
      <c r="C418" s="378" t="s">
        <v>392</v>
      </c>
      <c r="D418" s="379" t="s">
        <v>542</v>
      </c>
      <c r="E418" s="378" t="s">
        <v>1304</v>
      </c>
      <c r="F418" s="379" t="s">
        <v>1305</v>
      </c>
      <c r="G418" s="378" t="s">
        <v>939</v>
      </c>
      <c r="H418" s="378" t="s">
        <v>940</v>
      </c>
      <c r="I418" s="380">
        <v>190.53</v>
      </c>
      <c r="J418" s="380">
        <v>120</v>
      </c>
      <c r="K418" s="381">
        <v>22863.73</v>
      </c>
    </row>
    <row r="419" spans="1:11" ht="14.4" customHeight="1" x14ac:dyDescent="0.3">
      <c r="A419" s="376" t="s">
        <v>382</v>
      </c>
      <c r="B419" s="377" t="s">
        <v>540</v>
      </c>
      <c r="C419" s="378" t="s">
        <v>392</v>
      </c>
      <c r="D419" s="379" t="s">
        <v>542</v>
      </c>
      <c r="E419" s="378" t="s">
        <v>1304</v>
      </c>
      <c r="F419" s="379" t="s">
        <v>1305</v>
      </c>
      <c r="G419" s="378" t="s">
        <v>941</v>
      </c>
      <c r="H419" s="378" t="s">
        <v>942</v>
      </c>
      <c r="I419" s="380">
        <v>31.365000000000002</v>
      </c>
      <c r="J419" s="380">
        <v>1080</v>
      </c>
      <c r="K419" s="381">
        <v>33873.67</v>
      </c>
    </row>
    <row r="420" spans="1:11" ht="14.4" customHeight="1" x14ac:dyDescent="0.3">
      <c r="A420" s="376" t="s">
        <v>382</v>
      </c>
      <c r="B420" s="377" t="s">
        <v>540</v>
      </c>
      <c r="C420" s="378" t="s">
        <v>392</v>
      </c>
      <c r="D420" s="379" t="s">
        <v>542</v>
      </c>
      <c r="E420" s="378" t="s">
        <v>1304</v>
      </c>
      <c r="F420" s="379" t="s">
        <v>1305</v>
      </c>
      <c r="G420" s="378" t="s">
        <v>943</v>
      </c>
      <c r="H420" s="378" t="s">
        <v>944</v>
      </c>
      <c r="I420" s="380">
        <v>30.314999999999998</v>
      </c>
      <c r="J420" s="380">
        <v>840</v>
      </c>
      <c r="K420" s="381">
        <v>25466.2</v>
      </c>
    </row>
    <row r="421" spans="1:11" ht="14.4" customHeight="1" x14ac:dyDescent="0.3">
      <c r="A421" s="376" t="s">
        <v>382</v>
      </c>
      <c r="B421" s="377" t="s">
        <v>540</v>
      </c>
      <c r="C421" s="378" t="s">
        <v>392</v>
      </c>
      <c r="D421" s="379" t="s">
        <v>542</v>
      </c>
      <c r="E421" s="378" t="s">
        <v>1304</v>
      </c>
      <c r="F421" s="379" t="s">
        <v>1305</v>
      </c>
      <c r="G421" s="378" t="s">
        <v>1266</v>
      </c>
      <c r="H421" s="378" t="s">
        <v>1267</v>
      </c>
      <c r="I421" s="380">
        <v>315.33</v>
      </c>
      <c r="J421" s="380">
        <v>36</v>
      </c>
      <c r="K421" s="381">
        <v>11351.71</v>
      </c>
    </row>
    <row r="422" spans="1:11" ht="14.4" customHeight="1" x14ac:dyDescent="0.3">
      <c r="A422" s="376" t="s">
        <v>382</v>
      </c>
      <c r="B422" s="377" t="s">
        <v>540</v>
      </c>
      <c r="C422" s="378" t="s">
        <v>392</v>
      </c>
      <c r="D422" s="379" t="s">
        <v>542</v>
      </c>
      <c r="E422" s="378" t="s">
        <v>1304</v>
      </c>
      <c r="F422" s="379" t="s">
        <v>1305</v>
      </c>
      <c r="G422" s="378" t="s">
        <v>1268</v>
      </c>
      <c r="H422" s="378" t="s">
        <v>1269</v>
      </c>
      <c r="I422" s="380">
        <v>60.55</v>
      </c>
      <c r="J422" s="380">
        <v>36</v>
      </c>
      <c r="K422" s="381">
        <v>2179.8000000000002</v>
      </c>
    </row>
    <row r="423" spans="1:11" ht="14.4" customHeight="1" x14ac:dyDescent="0.3">
      <c r="A423" s="376" t="s">
        <v>382</v>
      </c>
      <c r="B423" s="377" t="s">
        <v>540</v>
      </c>
      <c r="C423" s="378" t="s">
        <v>392</v>
      </c>
      <c r="D423" s="379" t="s">
        <v>542</v>
      </c>
      <c r="E423" s="378" t="s">
        <v>1304</v>
      </c>
      <c r="F423" s="379" t="s">
        <v>1305</v>
      </c>
      <c r="G423" s="378" t="s">
        <v>1270</v>
      </c>
      <c r="H423" s="378" t="s">
        <v>1271</v>
      </c>
      <c r="I423" s="380">
        <v>86.19</v>
      </c>
      <c r="J423" s="380">
        <v>36</v>
      </c>
      <c r="K423" s="381">
        <v>3102.72</v>
      </c>
    </row>
    <row r="424" spans="1:11" ht="14.4" customHeight="1" x14ac:dyDescent="0.3">
      <c r="A424" s="376" t="s">
        <v>382</v>
      </c>
      <c r="B424" s="377" t="s">
        <v>540</v>
      </c>
      <c r="C424" s="378" t="s">
        <v>392</v>
      </c>
      <c r="D424" s="379" t="s">
        <v>542</v>
      </c>
      <c r="E424" s="378" t="s">
        <v>1304</v>
      </c>
      <c r="F424" s="379" t="s">
        <v>1305</v>
      </c>
      <c r="G424" s="378" t="s">
        <v>951</v>
      </c>
      <c r="H424" s="378" t="s">
        <v>952</v>
      </c>
      <c r="I424" s="380">
        <v>50.12</v>
      </c>
      <c r="J424" s="380">
        <v>108</v>
      </c>
      <c r="K424" s="381">
        <v>5412.64</v>
      </c>
    </row>
    <row r="425" spans="1:11" ht="14.4" customHeight="1" x14ac:dyDescent="0.3">
      <c r="A425" s="376" t="s">
        <v>382</v>
      </c>
      <c r="B425" s="377" t="s">
        <v>540</v>
      </c>
      <c r="C425" s="378" t="s">
        <v>392</v>
      </c>
      <c r="D425" s="379" t="s">
        <v>542</v>
      </c>
      <c r="E425" s="378" t="s">
        <v>1304</v>
      </c>
      <c r="F425" s="379" t="s">
        <v>1305</v>
      </c>
      <c r="G425" s="378" t="s">
        <v>1272</v>
      </c>
      <c r="H425" s="378" t="s">
        <v>1273</v>
      </c>
      <c r="I425" s="380">
        <v>114.94</v>
      </c>
      <c r="J425" s="380">
        <v>60</v>
      </c>
      <c r="K425" s="381">
        <v>6896.26</v>
      </c>
    </row>
    <row r="426" spans="1:11" ht="14.4" customHeight="1" x14ac:dyDescent="0.3">
      <c r="A426" s="376" t="s">
        <v>382</v>
      </c>
      <c r="B426" s="377" t="s">
        <v>540</v>
      </c>
      <c r="C426" s="378" t="s">
        <v>392</v>
      </c>
      <c r="D426" s="379" t="s">
        <v>542</v>
      </c>
      <c r="E426" s="378" t="s">
        <v>1304</v>
      </c>
      <c r="F426" s="379" t="s">
        <v>1305</v>
      </c>
      <c r="G426" s="378" t="s">
        <v>975</v>
      </c>
      <c r="H426" s="378" t="s">
        <v>976</v>
      </c>
      <c r="I426" s="380">
        <v>161.16999999999999</v>
      </c>
      <c r="J426" s="380">
        <v>72</v>
      </c>
      <c r="K426" s="381">
        <v>11604.26</v>
      </c>
    </row>
    <row r="427" spans="1:11" ht="14.4" customHeight="1" x14ac:dyDescent="0.3">
      <c r="A427" s="376" t="s">
        <v>382</v>
      </c>
      <c r="B427" s="377" t="s">
        <v>540</v>
      </c>
      <c r="C427" s="378" t="s">
        <v>392</v>
      </c>
      <c r="D427" s="379" t="s">
        <v>542</v>
      </c>
      <c r="E427" s="378" t="s">
        <v>1304</v>
      </c>
      <c r="F427" s="379" t="s">
        <v>1305</v>
      </c>
      <c r="G427" s="378" t="s">
        <v>979</v>
      </c>
      <c r="H427" s="378" t="s">
        <v>980</v>
      </c>
      <c r="I427" s="380">
        <v>130.97999999999999</v>
      </c>
      <c r="J427" s="380">
        <v>36</v>
      </c>
      <c r="K427" s="381">
        <v>4715.18</v>
      </c>
    </row>
    <row r="428" spans="1:11" ht="14.4" customHeight="1" x14ac:dyDescent="0.3">
      <c r="A428" s="376" t="s">
        <v>382</v>
      </c>
      <c r="B428" s="377" t="s">
        <v>540</v>
      </c>
      <c r="C428" s="378" t="s">
        <v>392</v>
      </c>
      <c r="D428" s="379" t="s">
        <v>542</v>
      </c>
      <c r="E428" s="378" t="s">
        <v>1304</v>
      </c>
      <c r="F428" s="379" t="s">
        <v>1305</v>
      </c>
      <c r="G428" s="378" t="s">
        <v>1274</v>
      </c>
      <c r="H428" s="378" t="s">
        <v>1275</v>
      </c>
      <c r="I428" s="380">
        <v>232.16</v>
      </c>
      <c r="J428" s="380">
        <v>60</v>
      </c>
      <c r="K428" s="381">
        <v>13929.38</v>
      </c>
    </row>
    <row r="429" spans="1:11" ht="14.4" customHeight="1" x14ac:dyDescent="0.3">
      <c r="A429" s="376" t="s">
        <v>382</v>
      </c>
      <c r="B429" s="377" t="s">
        <v>540</v>
      </c>
      <c r="C429" s="378" t="s">
        <v>392</v>
      </c>
      <c r="D429" s="379" t="s">
        <v>542</v>
      </c>
      <c r="E429" s="378" t="s">
        <v>1304</v>
      </c>
      <c r="F429" s="379" t="s">
        <v>1305</v>
      </c>
      <c r="G429" s="378" t="s">
        <v>1276</v>
      </c>
      <c r="H429" s="378" t="s">
        <v>1277</v>
      </c>
      <c r="I429" s="380">
        <v>214.24</v>
      </c>
      <c r="J429" s="380">
        <v>48</v>
      </c>
      <c r="K429" s="381">
        <v>10283.299999999999</v>
      </c>
    </row>
    <row r="430" spans="1:11" ht="14.4" customHeight="1" x14ac:dyDescent="0.3">
      <c r="A430" s="376" t="s">
        <v>382</v>
      </c>
      <c r="B430" s="377" t="s">
        <v>540</v>
      </c>
      <c r="C430" s="378" t="s">
        <v>392</v>
      </c>
      <c r="D430" s="379" t="s">
        <v>542</v>
      </c>
      <c r="E430" s="378" t="s">
        <v>1304</v>
      </c>
      <c r="F430" s="379" t="s">
        <v>1305</v>
      </c>
      <c r="G430" s="378" t="s">
        <v>1278</v>
      </c>
      <c r="H430" s="378" t="s">
        <v>1279</v>
      </c>
      <c r="I430" s="380">
        <v>97.34</v>
      </c>
      <c r="J430" s="380">
        <v>36</v>
      </c>
      <c r="K430" s="381">
        <v>3504.34</v>
      </c>
    </row>
    <row r="431" spans="1:11" ht="14.4" customHeight="1" x14ac:dyDescent="0.3">
      <c r="A431" s="376" t="s">
        <v>382</v>
      </c>
      <c r="B431" s="377" t="s">
        <v>540</v>
      </c>
      <c r="C431" s="378" t="s">
        <v>392</v>
      </c>
      <c r="D431" s="379" t="s">
        <v>542</v>
      </c>
      <c r="E431" s="378" t="s">
        <v>1304</v>
      </c>
      <c r="F431" s="379" t="s">
        <v>1305</v>
      </c>
      <c r="G431" s="378" t="s">
        <v>1280</v>
      </c>
      <c r="H431" s="378" t="s">
        <v>1281</v>
      </c>
      <c r="I431" s="380">
        <v>116.57</v>
      </c>
      <c r="J431" s="380">
        <v>144</v>
      </c>
      <c r="K431" s="381">
        <v>16786.32</v>
      </c>
    </row>
    <row r="432" spans="1:11" ht="14.4" customHeight="1" x14ac:dyDescent="0.3">
      <c r="A432" s="376" t="s">
        <v>382</v>
      </c>
      <c r="B432" s="377" t="s">
        <v>540</v>
      </c>
      <c r="C432" s="378" t="s">
        <v>392</v>
      </c>
      <c r="D432" s="379" t="s">
        <v>542</v>
      </c>
      <c r="E432" s="378" t="s">
        <v>1304</v>
      </c>
      <c r="F432" s="379" t="s">
        <v>1305</v>
      </c>
      <c r="G432" s="378" t="s">
        <v>1040</v>
      </c>
      <c r="H432" s="378" t="s">
        <v>1041</v>
      </c>
      <c r="I432" s="380">
        <v>99.35</v>
      </c>
      <c r="J432" s="380">
        <v>108</v>
      </c>
      <c r="K432" s="381">
        <v>10729.74</v>
      </c>
    </row>
    <row r="433" spans="1:11" ht="14.4" customHeight="1" x14ac:dyDescent="0.3">
      <c r="A433" s="376" t="s">
        <v>382</v>
      </c>
      <c r="B433" s="377" t="s">
        <v>540</v>
      </c>
      <c r="C433" s="378" t="s">
        <v>392</v>
      </c>
      <c r="D433" s="379" t="s">
        <v>542</v>
      </c>
      <c r="E433" s="378" t="s">
        <v>1304</v>
      </c>
      <c r="F433" s="379" t="s">
        <v>1305</v>
      </c>
      <c r="G433" s="378" t="s">
        <v>1282</v>
      </c>
      <c r="H433" s="378" t="s">
        <v>1283</v>
      </c>
      <c r="I433" s="380">
        <v>108.23</v>
      </c>
      <c r="J433" s="380">
        <v>108</v>
      </c>
      <c r="K433" s="381">
        <v>11688.95</v>
      </c>
    </row>
    <row r="434" spans="1:11" ht="14.4" customHeight="1" x14ac:dyDescent="0.3">
      <c r="A434" s="376" t="s">
        <v>382</v>
      </c>
      <c r="B434" s="377" t="s">
        <v>540</v>
      </c>
      <c r="C434" s="378" t="s">
        <v>392</v>
      </c>
      <c r="D434" s="379" t="s">
        <v>542</v>
      </c>
      <c r="E434" s="378" t="s">
        <v>1304</v>
      </c>
      <c r="F434" s="379" t="s">
        <v>1305</v>
      </c>
      <c r="G434" s="378" t="s">
        <v>1284</v>
      </c>
      <c r="H434" s="378" t="s">
        <v>1285</v>
      </c>
      <c r="I434" s="380">
        <v>104.19</v>
      </c>
      <c r="J434" s="380">
        <v>108</v>
      </c>
      <c r="K434" s="381">
        <v>11252</v>
      </c>
    </row>
    <row r="435" spans="1:11" ht="14.4" customHeight="1" x14ac:dyDescent="0.3">
      <c r="A435" s="376" t="s">
        <v>382</v>
      </c>
      <c r="B435" s="377" t="s">
        <v>540</v>
      </c>
      <c r="C435" s="378" t="s">
        <v>392</v>
      </c>
      <c r="D435" s="379" t="s">
        <v>542</v>
      </c>
      <c r="E435" s="378" t="s">
        <v>1306</v>
      </c>
      <c r="F435" s="379" t="s">
        <v>1307</v>
      </c>
      <c r="G435" s="378" t="s">
        <v>1070</v>
      </c>
      <c r="H435" s="378" t="s">
        <v>1071</v>
      </c>
      <c r="I435" s="380">
        <v>10.99</v>
      </c>
      <c r="J435" s="380">
        <v>80</v>
      </c>
      <c r="K435" s="381">
        <v>879.07</v>
      </c>
    </row>
    <row r="436" spans="1:11" ht="14.4" customHeight="1" x14ac:dyDescent="0.3">
      <c r="A436" s="376" t="s">
        <v>382</v>
      </c>
      <c r="B436" s="377" t="s">
        <v>540</v>
      </c>
      <c r="C436" s="378" t="s">
        <v>392</v>
      </c>
      <c r="D436" s="379" t="s">
        <v>542</v>
      </c>
      <c r="E436" s="378" t="s">
        <v>1306</v>
      </c>
      <c r="F436" s="379" t="s">
        <v>1307</v>
      </c>
      <c r="G436" s="378" t="s">
        <v>1286</v>
      </c>
      <c r="H436" s="378" t="s">
        <v>1287</v>
      </c>
      <c r="I436" s="380">
        <v>13.21</v>
      </c>
      <c r="J436" s="380">
        <v>80</v>
      </c>
      <c r="K436" s="381">
        <v>1057.06</v>
      </c>
    </row>
    <row r="437" spans="1:11" ht="14.4" customHeight="1" x14ac:dyDescent="0.3">
      <c r="A437" s="376" t="s">
        <v>382</v>
      </c>
      <c r="B437" s="377" t="s">
        <v>540</v>
      </c>
      <c r="C437" s="378" t="s">
        <v>392</v>
      </c>
      <c r="D437" s="379" t="s">
        <v>542</v>
      </c>
      <c r="E437" s="378" t="s">
        <v>1308</v>
      </c>
      <c r="F437" s="379" t="s">
        <v>1309</v>
      </c>
      <c r="G437" s="378" t="s">
        <v>1102</v>
      </c>
      <c r="H437" s="378" t="s">
        <v>1103</v>
      </c>
      <c r="I437" s="380">
        <v>20.69</v>
      </c>
      <c r="J437" s="380">
        <v>200</v>
      </c>
      <c r="K437" s="381">
        <v>4138.3</v>
      </c>
    </row>
    <row r="438" spans="1:11" ht="14.4" customHeight="1" x14ac:dyDescent="0.3">
      <c r="A438" s="376" t="s">
        <v>382</v>
      </c>
      <c r="B438" s="377" t="s">
        <v>540</v>
      </c>
      <c r="C438" s="378" t="s">
        <v>392</v>
      </c>
      <c r="D438" s="379" t="s">
        <v>542</v>
      </c>
      <c r="E438" s="378" t="s">
        <v>1308</v>
      </c>
      <c r="F438" s="379" t="s">
        <v>1309</v>
      </c>
      <c r="G438" s="378" t="s">
        <v>1104</v>
      </c>
      <c r="H438" s="378" t="s">
        <v>1105</v>
      </c>
      <c r="I438" s="380">
        <v>20.69</v>
      </c>
      <c r="J438" s="380">
        <v>200</v>
      </c>
      <c r="K438" s="381">
        <v>4138.3500000000004</v>
      </c>
    </row>
    <row r="439" spans="1:11" ht="14.4" customHeight="1" x14ac:dyDescent="0.3">
      <c r="A439" s="376" t="s">
        <v>382</v>
      </c>
      <c r="B439" s="377" t="s">
        <v>540</v>
      </c>
      <c r="C439" s="378" t="s">
        <v>392</v>
      </c>
      <c r="D439" s="379" t="s">
        <v>542</v>
      </c>
      <c r="E439" s="378" t="s">
        <v>1308</v>
      </c>
      <c r="F439" s="379" t="s">
        <v>1309</v>
      </c>
      <c r="G439" s="378" t="s">
        <v>1116</v>
      </c>
      <c r="H439" s="378" t="s">
        <v>1117</v>
      </c>
      <c r="I439" s="380">
        <v>11.01</v>
      </c>
      <c r="J439" s="380">
        <v>480</v>
      </c>
      <c r="K439" s="381">
        <v>5284.7999999999993</v>
      </c>
    </row>
    <row r="440" spans="1:11" ht="14.4" customHeight="1" x14ac:dyDescent="0.3">
      <c r="A440" s="376" t="s">
        <v>382</v>
      </c>
      <c r="B440" s="377" t="s">
        <v>540</v>
      </c>
      <c r="C440" s="378" t="s">
        <v>392</v>
      </c>
      <c r="D440" s="379" t="s">
        <v>542</v>
      </c>
      <c r="E440" s="378" t="s">
        <v>1308</v>
      </c>
      <c r="F440" s="379" t="s">
        <v>1309</v>
      </c>
      <c r="G440" s="378" t="s">
        <v>1118</v>
      </c>
      <c r="H440" s="378" t="s">
        <v>1119</v>
      </c>
      <c r="I440" s="380">
        <v>11.013333333333334</v>
      </c>
      <c r="J440" s="380">
        <v>1040</v>
      </c>
      <c r="K440" s="381">
        <v>11451.130000000001</v>
      </c>
    </row>
    <row r="441" spans="1:11" ht="14.4" customHeight="1" x14ac:dyDescent="0.3">
      <c r="A441" s="376" t="s">
        <v>382</v>
      </c>
      <c r="B441" s="377" t="s">
        <v>540</v>
      </c>
      <c r="C441" s="378" t="s">
        <v>392</v>
      </c>
      <c r="D441" s="379" t="s">
        <v>542</v>
      </c>
      <c r="E441" s="378" t="s">
        <v>1312</v>
      </c>
      <c r="F441" s="379" t="s">
        <v>1313</v>
      </c>
      <c r="G441" s="378" t="s">
        <v>1288</v>
      </c>
      <c r="H441" s="378" t="s">
        <v>1289</v>
      </c>
      <c r="I441" s="380">
        <v>68.510000000000005</v>
      </c>
      <c r="J441" s="380">
        <v>500</v>
      </c>
      <c r="K441" s="381">
        <v>34255.160000000003</v>
      </c>
    </row>
    <row r="442" spans="1:11" ht="14.4" customHeight="1" x14ac:dyDescent="0.3">
      <c r="A442" s="376" t="s">
        <v>382</v>
      </c>
      <c r="B442" s="377" t="s">
        <v>540</v>
      </c>
      <c r="C442" s="378" t="s">
        <v>392</v>
      </c>
      <c r="D442" s="379" t="s">
        <v>542</v>
      </c>
      <c r="E442" s="378" t="s">
        <v>1312</v>
      </c>
      <c r="F442" s="379" t="s">
        <v>1313</v>
      </c>
      <c r="G442" s="378" t="s">
        <v>1158</v>
      </c>
      <c r="H442" s="378" t="s">
        <v>1159</v>
      </c>
      <c r="I442" s="380">
        <v>36.06</v>
      </c>
      <c r="J442" s="380">
        <v>60</v>
      </c>
      <c r="K442" s="381">
        <v>2163.36</v>
      </c>
    </row>
    <row r="443" spans="1:11" ht="14.4" customHeight="1" x14ac:dyDescent="0.3">
      <c r="A443" s="376" t="s">
        <v>382</v>
      </c>
      <c r="B443" s="377" t="s">
        <v>540</v>
      </c>
      <c r="C443" s="378" t="s">
        <v>392</v>
      </c>
      <c r="D443" s="379" t="s">
        <v>542</v>
      </c>
      <c r="E443" s="378" t="s">
        <v>1312</v>
      </c>
      <c r="F443" s="379" t="s">
        <v>1313</v>
      </c>
      <c r="G443" s="378" t="s">
        <v>800</v>
      </c>
      <c r="H443" s="378" t="s">
        <v>801</v>
      </c>
      <c r="I443" s="380">
        <v>50.65</v>
      </c>
      <c r="J443" s="380">
        <v>1200</v>
      </c>
      <c r="K443" s="381">
        <v>60780.36</v>
      </c>
    </row>
    <row r="444" spans="1:11" ht="14.4" customHeight="1" x14ac:dyDescent="0.3">
      <c r="A444" s="376" t="s">
        <v>382</v>
      </c>
      <c r="B444" s="377" t="s">
        <v>540</v>
      </c>
      <c r="C444" s="378" t="s">
        <v>392</v>
      </c>
      <c r="D444" s="379" t="s">
        <v>542</v>
      </c>
      <c r="E444" s="378" t="s">
        <v>1312</v>
      </c>
      <c r="F444" s="379" t="s">
        <v>1313</v>
      </c>
      <c r="G444" s="378" t="s">
        <v>1166</v>
      </c>
      <c r="H444" s="378" t="s">
        <v>1167</v>
      </c>
      <c r="I444" s="380">
        <v>10.74</v>
      </c>
      <c r="J444" s="380">
        <v>50</v>
      </c>
      <c r="K444" s="381">
        <v>537.24</v>
      </c>
    </row>
    <row r="445" spans="1:11" ht="14.4" customHeight="1" thickBot="1" x14ac:dyDescent="0.35">
      <c r="A445" s="382" t="s">
        <v>382</v>
      </c>
      <c r="B445" s="383" t="s">
        <v>540</v>
      </c>
      <c r="C445" s="384" t="s">
        <v>392</v>
      </c>
      <c r="D445" s="385" t="s">
        <v>542</v>
      </c>
      <c r="E445" s="384" t="s">
        <v>1312</v>
      </c>
      <c r="F445" s="385" t="s">
        <v>1313</v>
      </c>
      <c r="G445" s="384" t="s">
        <v>1290</v>
      </c>
      <c r="H445" s="384" t="s">
        <v>1291</v>
      </c>
      <c r="I445" s="386">
        <v>286.41000000000003</v>
      </c>
      <c r="J445" s="386">
        <v>5</v>
      </c>
      <c r="K445" s="387">
        <v>1432.03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AI36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AH1"/>
    </sheetView>
  </sheetViews>
  <sheetFormatPr defaultRowHeight="14.4" outlineLevelRow="1" x14ac:dyDescent="0.3"/>
  <cols>
    <col min="1" max="1" width="37.21875" customWidth="1"/>
    <col min="2" max="2" width="13.109375" customWidth="1"/>
    <col min="3" max="3" width="13.109375" hidden="1" customWidth="1"/>
    <col min="4" max="4" width="13.109375" customWidth="1"/>
    <col min="5" max="5" width="13.109375" hidden="1" customWidth="1"/>
    <col min="6" max="6" width="13.109375" customWidth="1"/>
    <col min="7" max="29" width="13.109375" hidden="1" customWidth="1"/>
    <col min="30" max="30" width="13.109375" customWidth="1"/>
    <col min="31" max="34" width="13.109375" hidden="1" customWidth="1"/>
  </cols>
  <sheetData>
    <row r="1" spans="1:35" ht="18.600000000000001" thickBot="1" x14ac:dyDescent="0.4">
      <c r="A1" s="327" t="s">
        <v>64</v>
      </c>
      <c r="B1" s="304"/>
      <c r="C1" s="304"/>
      <c r="D1" s="304"/>
      <c r="E1" s="304"/>
      <c r="F1" s="304"/>
      <c r="G1" s="304"/>
      <c r="H1" s="304"/>
      <c r="I1" s="304"/>
      <c r="J1" s="304"/>
      <c r="K1" s="304"/>
      <c r="L1" s="304"/>
      <c r="M1" s="304"/>
      <c r="N1" s="304"/>
      <c r="O1" s="304"/>
      <c r="P1" s="304"/>
      <c r="Q1" s="304"/>
      <c r="R1" s="304"/>
      <c r="S1" s="304"/>
      <c r="T1" s="304"/>
      <c r="U1" s="304"/>
      <c r="V1" s="304"/>
      <c r="W1" s="304"/>
      <c r="X1" s="304"/>
      <c r="Y1" s="304"/>
      <c r="Z1" s="304"/>
      <c r="AA1" s="304"/>
      <c r="AB1" s="304"/>
      <c r="AC1" s="304"/>
      <c r="AD1" s="304"/>
      <c r="AE1" s="304"/>
      <c r="AF1" s="304"/>
      <c r="AG1" s="304"/>
      <c r="AH1" s="304"/>
    </row>
    <row r="2" spans="1:35" ht="15" thickBot="1" x14ac:dyDescent="0.35">
      <c r="A2" s="187" t="s">
        <v>220</v>
      </c>
      <c r="B2" s="188"/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8"/>
      <c r="P2" s="188"/>
      <c r="Q2" s="188"/>
      <c r="R2" s="188"/>
      <c r="S2" s="188"/>
      <c r="T2" s="188"/>
      <c r="U2" s="188"/>
      <c r="V2" s="188"/>
      <c r="W2" s="188"/>
      <c r="X2" s="188"/>
      <c r="Y2" s="188"/>
      <c r="Z2" s="188"/>
      <c r="AA2" s="188"/>
      <c r="AB2" s="188"/>
      <c r="AC2" s="188"/>
      <c r="AD2" s="188"/>
      <c r="AE2" s="188"/>
      <c r="AF2" s="188"/>
      <c r="AG2" s="188"/>
      <c r="AH2" s="188"/>
    </row>
    <row r="3" spans="1:35" x14ac:dyDescent="0.3">
      <c r="A3" s="206" t="s">
        <v>146</v>
      </c>
      <c r="B3" s="328" t="s">
        <v>127</v>
      </c>
      <c r="C3" s="189">
        <v>0</v>
      </c>
      <c r="D3" s="190">
        <v>101</v>
      </c>
      <c r="E3" s="190">
        <v>102</v>
      </c>
      <c r="F3" s="209">
        <v>305</v>
      </c>
      <c r="G3" s="209">
        <v>306</v>
      </c>
      <c r="H3" s="209">
        <v>407</v>
      </c>
      <c r="I3" s="209">
        <v>408</v>
      </c>
      <c r="J3" s="209">
        <v>409</v>
      </c>
      <c r="K3" s="209">
        <v>410</v>
      </c>
      <c r="L3" s="209">
        <v>415</v>
      </c>
      <c r="M3" s="209">
        <v>416</v>
      </c>
      <c r="N3" s="209">
        <v>418</v>
      </c>
      <c r="O3" s="209">
        <v>419</v>
      </c>
      <c r="P3" s="209">
        <v>420</v>
      </c>
      <c r="Q3" s="209">
        <v>421</v>
      </c>
      <c r="R3" s="209">
        <v>522</v>
      </c>
      <c r="S3" s="209">
        <v>523</v>
      </c>
      <c r="T3" s="209">
        <v>524</v>
      </c>
      <c r="U3" s="209">
        <v>525</v>
      </c>
      <c r="V3" s="209">
        <v>526</v>
      </c>
      <c r="W3" s="209">
        <v>527</v>
      </c>
      <c r="X3" s="209">
        <v>528</v>
      </c>
      <c r="Y3" s="209">
        <v>629</v>
      </c>
      <c r="Z3" s="209">
        <v>630</v>
      </c>
      <c r="AA3" s="209">
        <v>636</v>
      </c>
      <c r="AB3" s="209">
        <v>637</v>
      </c>
      <c r="AC3" s="209">
        <v>640</v>
      </c>
      <c r="AD3" s="209">
        <v>642</v>
      </c>
      <c r="AE3" s="209">
        <v>743</v>
      </c>
      <c r="AF3" s="190">
        <v>745</v>
      </c>
      <c r="AG3" s="190">
        <v>746</v>
      </c>
      <c r="AH3" s="439">
        <v>930</v>
      </c>
      <c r="AI3" s="455"/>
    </row>
    <row r="4" spans="1:35" ht="36.6" outlineLevel="1" thickBot="1" x14ac:dyDescent="0.35">
      <c r="A4" s="207">
        <v>2015</v>
      </c>
      <c r="B4" s="329"/>
      <c r="C4" s="191" t="s">
        <v>128</v>
      </c>
      <c r="D4" s="192" t="s">
        <v>129</v>
      </c>
      <c r="E4" s="192" t="s">
        <v>130</v>
      </c>
      <c r="F4" s="210" t="s">
        <v>158</v>
      </c>
      <c r="G4" s="210" t="s">
        <v>159</v>
      </c>
      <c r="H4" s="210" t="s">
        <v>219</v>
      </c>
      <c r="I4" s="210" t="s">
        <v>160</v>
      </c>
      <c r="J4" s="210" t="s">
        <v>161</v>
      </c>
      <c r="K4" s="210" t="s">
        <v>162</v>
      </c>
      <c r="L4" s="210" t="s">
        <v>163</v>
      </c>
      <c r="M4" s="210" t="s">
        <v>164</v>
      </c>
      <c r="N4" s="210" t="s">
        <v>165</v>
      </c>
      <c r="O4" s="210" t="s">
        <v>166</v>
      </c>
      <c r="P4" s="210" t="s">
        <v>167</v>
      </c>
      <c r="Q4" s="210" t="s">
        <v>168</v>
      </c>
      <c r="R4" s="210" t="s">
        <v>169</v>
      </c>
      <c r="S4" s="210" t="s">
        <v>170</v>
      </c>
      <c r="T4" s="210" t="s">
        <v>171</v>
      </c>
      <c r="U4" s="210" t="s">
        <v>172</v>
      </c>
      <c r="V4" s="210" t="s">
        <v>173</v>
      </c>
      <c r="W4" s="210" t="s">
        <v>174</v>
      </c>
      <c r="X4" s="210" t="s">
        <v>183</v>
      </c>
      <c r="Y4" s="210" t="s">
        <v>175</v>
      </c>
      <c r="Z4" s="210" t="s">
        <v>184</v>
      </c>
      <c r="AA4" s="210" t="s">
        <v>176</v>
      </c>
      <c r="AB4" s="210" t="s">
        <v>177</v>
      </c>
      <c r="AC4" s="210" t="s">
        <v>178</v>
      </c>
      <c r="AD4" s="210" t="s">
        <v>179</v>
      </c>
      <c r="AE4" s="210" t="s">
        <v>180</v>
      </c>
      <c r="AF4" s="192" t="s">
        <v>181</v>
      </c>
      <c r="AG4" s="192" t="s">
        <v>182</v>
      </c>
      <c r="AH4" s="440" t="s">
        <v>148</v>
      </c>
      <c r="AI4" s="455"/>
    </row>
    <row r="5" spans="1:35" x14ac:dyDescent="0.3">
      <c r="A5" s="193" t="s">
        <v>131</v>
      </c>
      <c r="B5" s="229"/>
      <c r="C5" s="230"/>
      <c r="D5" s="231"/>
      <c r="E5" s="231"/>
      <c r="F5" s="231"/>
      <c r="G5" s="231"/>
      <c r="H5" s="231"/>
      <c r="I5" s="231"/>
      <c r="J5" s="231"/>
      <c r="K5" s="231"/>
      <c r="L5" s="231"/>
      <c r="M5" s="231"/>
      <c r="N5" s="231"/>
      <c r="O5" s="231"/>
      <c r="P5" s="231"/>
      <c r="Q5" s="231"/>
      <c r="R5" s="231"/>
      <c r="S5" s="231"/>
      <c r="T5" s="231"/>
      <c r="U5" s="231"/>
      <c r="V5" s="231"/>
      <c r="W5" s="231"/>
      <c r="X5" s="231"/>
      <c r="Y5" s="231"/>
      <c r="Z5" s="231"/>
      <c r="AA5" s="231"/>
      <c r="AB5" s="231"/>
      <c r="AC5" s="231"/>
      <c r="AD5" s="231"/>
      <c r="AE5" s="231"/>
      <c r="AF5" s="231"/>
      <c r="AG5" s="231"/>
      <c r="AH5" s="441"/>
      <c r="AI5" s="455"/>
    </row>
    <row r="6" spans="1:35" ht="15" collapsed="1" thickBot="1" x14ac:dyDescent="0.35">
      <c r="A6" s="194" t="s">
        <v>58</v>
      </c>
      <c r="B6" s="232">
        <f xml:space="preserve">
TRUNC(IF($A$4&lt;=12,SUMIFS('ON Data'!F:F,'ON Data'!$D:$D,$A$4,'ON Data'!$E:$E,1),SUMIFS('ON Data'!F:F,'ON Data'!$E:$E,1)/'ON Data'!$D$3),1)</f>
        <v>53.8</v>
      </c>
      <c r="C6" s="233">
        <f xml:space="preserve">
TRUNC(IF($A$4&lt;=12,SUMIFS('ON Data'!G:G,'ON Data'!$D:$D,$A$4,'ON Data'!$E:$E,1),SUMIFS('ON Data'!G:G,'ON Data'!$E:$E,1)/'ON Data'!$D$3),1)</f>
        <v>0</v>
      </c>
      <c r="D6" s="234">
        <f xml:space="preserve">
TRUNC(IF($A$4&lt;=12,SUMIFS('ON Data'!H:H,'ON Data'!$D:$D,$A$4,'ON Data'!$E:$E,1),SUMIFS('ON Data'!H:H,'ON Data'!$E:$E,1)/'ON Data'!$D$3),1)</f>
        <v>0.1</v>
      </c>
      <c r="E6" s="234">
        <f xml:space="preserve">
TRUNC(IF($A$4&lt;=12,SUMIFS('ON Data'!I:I,'ON Data'!$D:$D,$A$4,'ON Data'!$E:$E,1),SUMIFS('ON Data'!I:I,'ON Data'!$E:$E,1)/'ON Data'!$D$3),1)</f>
        <v>0</v>
      </c>
      <c r="F6" s="234">
        <f xml:space="preserve">
TRUNC(IF($A$4&lt;=12,SUMIFS('ON Data'!K:K,'ON Data'!$D:$D,$A$4,'ON Data'!$E:$E,1),SUMIFS('ON Data'!K:K,'ON Data'!$E:$E,1)/'ON Data'!$D$3),1)</f>
        <v>40.6</v>
      </c>
      <c r="G6" s="234">
        <f xml:space="preserve">
TRUNC(IF($A$4&lt;=12,SUMIFS('ON Data'!L:L,'ON Data'!$D:$D,$A$4,'ON Data'!$E:$E,1),SUMIFS('ON Data'!L:L,'ON Data'!$E:$E,1)/'ON Data'!$D$3),1)</f>
        <v>0</v>
      </c>
      <c r="H6" s="234">
        <f xml:space="preserve">
TRUNC(IF($A$4&lt;=12,SUMIFS('ON Data'!M:M,'ON Data'!$D:$D,$A$4,'ON Data'!$E:$E,1),SUMIFS('ON Data'!M:M,'ON Data'!$E:$E,1)/'ON Data'!$D$3),1)</f>
        <v>0</v>
      </c>
      <c r="I6" s="234">
        <f xml:space="preserve">
TRUNC(IF($A$4&lt;=12,SUMIFS('ON Data'!N:N,'ON Data'!$D:$D,$A$4,'ON Data'!$E:$E,1),SUMIFS('ON Data'!N:N,'ON Data'!$E:$E,1)/'ON Data'!$D$3),1)</f>
        <v>0</v>
      </c>
      <c r="J6" s="234">
        <f xml:space="preserve">
TRUNC(IF($A$4&lt;=12,SUMIFS('ON Data'!O:O,'ON Data'!$D:$D,$A$4,'ON Data'!$E:$E,1),SUMIFS('ON Data'!O:O,'ON Data'!$E:$E,1)/'ON Data'!$D$3),1)</f>
        <v>0</v>
      </c>
      <c r="K6" s="234">
        <f xml:space="preserve">
TRUNC(IF($A$4&lt;=12,SUMIFS('ON Data'!P:P,'ON Data'!$D:$D,$A$4,'ON Data'!$E:$E,1),SUMIFS('ON Data'!P:P,'ON Data'!$E:$E,1)/'ON Data'!$D$3),1)</f>
        <v>0</v>
      </c>
      <c r="L6" s="234">
        <f xml:space="preserve">
TRUNC(IF($A$4&lt;=12,SUMIFS('ON Data'!Q:Q,'ON Data'!$D:$D,$A$4,'ON Data'!$E:$E,1),SUMIFS('ON Data'!Q:Q,'ON Data'!$E:$E,1)/'ON Data'!$D$3),1)</f>
        <v>0</v>
      </c>
      <c r="M6" s="234">
        <f xml:space="preserve">
TRUNC(IF($A$4&lt;=12,SUMIFS('ON Data'!R:R,'ON Data'!$D:$D,$A$4,'ON Data'!$E:$E,1),SUMIFS('ON Data'!R:R,'ON Data'!$E:$E,1)/'ON Data'!$D$3),1)</f>
        <v>0</v>
      </c>
      <c r="N6" s="234">
        <f xml:space="preserve">
TRUNC(IF($A$4&lt;=12,SUMIFS('ON Data'!S:S,'ON Data'!$D:$D,$A$4,'ON Data'!$E:$E,1),SUMIFS('ON Data'!S:S,'ON Data'!$E:$E,1)/'ON Data'!$D$3),1)</f>
        <v>0</v>
      </c>
      <c r="O6" s="234">
        <f xml:space="preserve">
TRUNC(IF($A$4&lt;=12,SUMIFS('ON Data'!T:T,'ON Data'!$D:$D,$A$4,'ON Data'!$E:$E,1),SUMIFS('ON Data'!T:T,'ON Data'!$E:$E,1)/'ON Data'!$D$3),1)</f>
        <v>0</v>
      </c>
      <c r="P6" s="234">
        <f xml:space="preserve">
TRUNC(IF($A$4&lt;=12,SUMIFS('ON Data'!U:U,'ON Data'!$D:$D,$A$4,'ON Data'!$E:$E,1),SUMIFS('ON Data'!U:U,'ON Data'!$E:$E,1)/'ON Data'!$D$3),1)</f>
        <v>0</v>
      </c>
      <c r="Q6" s="234">
        <f xml:space="preserve">
TRUNC(IF($A$4&lt;=12,SUMIFS('ON Data'!V:V,'ON Data'!$D:$D,$A$4,'ON Data'!$E:$E,1),SUMIFS('ON Data'!V:V,'ON Data'!$E:$E,1)/'ON Data'!$D$3),1)</f>
        <v>0</v>
      </c>
      <c r="R6" s="234">
        <f xml:space="preserve">
TRUNC(IF($A$4&lt;=12,SUMIFS('ON Data'!W:W,'ON Data'!$D:$D,$A$4,'ON Data'!$E:$E,1),SUMIFS('ON Data'!W:W,'ON Data'!$E:$E,1)/'ON Data'!$D$3),1)</f>
        <v>0</v>
      </c>
      <c r="S6" s="234">
        <f xml:space="preserve">
TRUNC(IF($A$4&lt;=12,SUMIFS('ON Data'!X:X,'ON Data'!$D:$D,$A$4,'ON Data'!$E:$E,1),SUMIFS('ON Data'!X:X,'ON Data'!$E:$E,1)/'ON Data'!$D$3),1)</f>
        <v>0</v>
      </c>
      <c r="T6" s="234">
        <f xml:space="preserve">
TRUNC(IF($A$4&lt;=12,SUMIFS('ON Data'!Y:Y,'ON Data'!$D:$D,$A$4,'ON Data'!$E:$E,1),SUMIFS('ON Data'!Y:Y,'ON Data'!$E:$E,1)/'ON Data'!$D$3),1)</f>
        <v>0</v>
      </c>
      <c r="U6" s="234">
        <f xml:space="preserve">
TRUNC(IF($A$4&lt;=12,SUMIFS('ON Data'!Z:Z,'ON Data'!$D:$D,$A$4,'ON Data'!$E:$E,1),SUMIFS('ON Data'!Z:Z,'ON Data'!$E:$E,1)/'ON Data'!$D$3),1)</f>
        <v>0</v>
      </c>
      <c r="V6" s="234">
        <f xml:space="preserve">
TRUNC(IF($A$4&lt;=12,SUMIFS('ON Data'!AA:AA,'ON Data'!$D:$D,$A$4,'ON Data'!$E:$E,1),SUMIFS('ON Data'!AA:AA,'ON Data'!$E:$E,1)/'ON Data'!$D$3),1)</f>
        <v>0</v>
      </c>
      <c r="W6" s="234">
        <f xml:space="preserve">
TRUNC(IF($A$4&lt;=12,SUMIFS('ON Data'!AB:AB,'ON Data'!$D:$D,$A$4,'ON Data'!$E:$E,1),SUMIFS('ON Data'!AB:AB,'ON Data'!$E:$E,1)/'ON Data'!$D$3),1)</f>
        <v>0</v>
      </c>
      <c r="X6" s="234">
        <f xml:space="preserve">
TRUNC(IF($A$4&lt;=12,SUMIFS('ON Data'!AC:AC,'ON Data'!$D:$D,$A$4,'ON Data'!$E:$E,1),SUMIFS('ON Data'!AC:AC,'ON Data'!$E:$E,1)/'ON Data'!$D$3),1)</f>
        <v>0</v>
      </c>
      <c r="Y6" s="234">
        <f xml:space="preserve">
TRUNC(IF($A$4&lt;=12,SUMIFS('ON Data'!AD:AD,'ON Data'!$D:$D,$A$4,'ON Data'!$E:$E,1),SUMIFS('ON Data'!AD:AD,'ON Data'!$E:$E,1)/'ON Data'!$D$3),1)</f>
        <v>0</v>
      </c>
      <c r="Z6" s="234">
        <f xml:space="preserve">
TRUNC(IF($A$4&lt;=12,SUMIFS('ON Data'!AE:AE,'ON Data'!$D:$D,$A$4,'ON Data'!$E:$E,1),SUMIFS('ON Data'!AE:AE,'ON Data'!$E:$E,1)/'ON Data'!$D$3),1)</f>
        <v>0</v>
      </c>
      <c r="AA6" s="234">
        <f xml:space="preserve">
TRUNC(IF($A$4&lt;=12,SUMIFS('ON Data'!AF:AF,'ON Data'!$D:$D,$A$4,'ON Data'!$E:$E,1),SUMIFS('ON Data'!AF:AF,'ON Data'!$E:$E,1)/'ON Data'!$D$3),1)</f>
        <v>0</v>
      </c>
      <c r="AB6" s="234">
        <f xml:space="preserve">
TRUNC(IF($A$4&lt;=12,SUMIFS('ON Data'!AG:AG,'ON Data'!$D:$D,$A$4,'ON Data'!$E:$E,1),SUMIFS('ON Data'!AG:AG,'ON Data'!$E:$E,1)/'ON Data'!$D$3),1)</f>
        <v>0</v>
      </c>
      <c r="AC6" s="234">
        <f xml:space="preserve">
TRUNC(IF($A$4&lt;=12,SUMIFS('ON Data'!AH:AH,'ON Data'!$D:$D,$A$4,'ON Data'!$E:$E,1),SUMIFS('ON Data'!AH:AH,'ON Data'!$E:$E,1)/'ON Data'!$D$3),1)</f>
        <v>0</v>
      </c>
      <c r="AD6" s="234">
        <f xml:space="preserve">
TRUNC(IF($A$4&lt;=12,SUMIFS('ON Data'!AI:AI,'ON Data'!$D:$D,$A$4,'ON Data'!$E:$E,1),SUMIFS('ON Data'!AI:AI,'ON Data'!$E:$E,1)/'ON Data'!$D$3),1)</f>
        <v>13.1</v>
      </c>
      <c r="AE6" s="234">
        <f xml:space="preserve">
TRUNC(IF($A$4&lt;=12,SUMIFS('ON Data'!AJ:AJ,'ON Data'!$D:$D,$A$4,'ON Data'!$E:$E,1),SUMIFS('ON Data'!AJ:AJ,'ON Data'!$E:$E,1)/'ON Data'!$D$3),1)</f>
        <v>0</v>
      </c>
      <c r="AF6" s="234">
        <f xml:space="preserve">
TRUNC(IF($A$4&lt;=12,SUMIFS('ON Data'!AK:AK,'ON Data'!$D:$D,$A$4,'ON Data'!$E:$E,1),SUMIFS('ON Data'!AK:AK,'ON Data'!$E:$E,1)/'ON Data'!$D$3),1)</f>
        <v>0</v>
      </c>
      <c r="AG6" s="234">
        <f xml:space="preserve">
TRUNC(IF($A$4&lt;=12,SUMIFS('ON Data'!AL:AL,'ON Data'!$D:$D,$A$4,'ON Data'!$E:$E,1),SUMIFS('ON Data'!AL:AL,'ON Data'!$E:$E,1)/'ON Data'!$D$3),1)</f>
        <v>0</v>
      </c>
      <c r="AH6" s="442">
        <f xml:space="preserve">
TRUNC(IF($A$4&lt;=12,SUMIFS('ON Data'!AN:AN,'ON Data'!$D:$D,$A$4,'ON Data'!$E:$E,1),SUMIFS('ON Data'!AN:AN,'ON Data'!$E:$E,1)/'ON Data'!$D$3),1)</f>
        <v>0</v>
      </c>
      <c r="AI6" s="455"/>
    </row>
    <row r="7" spans="1:35" ht="15" hidden="1" outlineLevel="1" thickBot="1" x14ac:dyDescent="0.35">
      <c r="A7" s="194" t="s">
        <v>65</v>
      </c>
      <c r="B7" s="232"/>
      <c r="C7" s="235"/>
      <c r="D7" s="234"/>
      <c r="E7" s="234"/>
      <c r="F7" s="234"/>
      <c r="G7" s="234"/>
      <c r="H7" s="234"/>
      <c r="I7" s="234"/>
      <c r="J7" s="234"/>
      <c r="K7" s="234"/>
      <c r="L7" s="234"/>
      <c r="M7" s="234"/>
      <c r="N7" s="234"/>
      <c r="O7" s="234"/>
      <c r="P7" s="234"/>
      <c r="Q7" s="234"/>
      <c r="R7" s="234"/>
      <c r="S7" s="234"/>
      <c r="T7" s="234"/>
      <c r="U7" s="234"/>
      <c r="V7" s="234"/>
      <c r="W7" s="234"/>
      <c r="X7" s="234"/>
      <c r="Y7" s="234"/>
      <c r="Z7" s="234"/>
      <c r="AA7" s="234"/>
      <c r="AB7" s="234"/>
      <c r="AC7" s="234"/>
      <c r="AD7" s="234"/>
      <c r="AE7" s="234"/>
      <c r="AF7" s="234"/>
      <c r="AG7" s="234"/>
      <c r="AH7" s="442"/>
      <c r="AI7" s="455"/>
    </row>
    <row r="8" spans="1:35" ht="15" hidden="1" outlineLevel="1" thickBot="1" x14ac:dyDescent="0.35">
      <c r="A8" s="194" t="s">
        <v>60</v>
      </c>
      <c r="B8" s="232"/>
      <c r="C8" s="235"/>
      <c r="D8" s="234"/>
      <c r="E8" s="234"/>
      <c r="F8" s="234"/>
      <c r="G8" s="234"/>
      <c r="H8" s="234"/>
      <c r="I8" s="234"/>
      <c r="J8" s="234"/>
      <c r="K8" s="234"/>
      <c r="L8" s="234"/>
      <c r="M8" s="234"/>
      <c r="N8" s="234"/>
      <c r="O8" s="234"/>
      <c r="P8" s="234"/>
      <c r="Q8" s="234"/>
      <c r="R8" s="234"/>
      <c r="S8" s="234"/>
      <c r="T8" s="234"/>
      <c r="U8" s="234"/>
      <c r="V8" s="234"/>
      <c r="W8" s="234"/>
      <c r="X8" s="234"/>
      <c r="Y8" s="234"/>
      <c r="Z8" s="234"/>
      <c r="AA8" s="234"/>
      <c r="AB8" s="234"/>
      <c r="AC8" s="234"/>
      <c r="AD8" s="234"/>
      <c r="AE8" s="234"/>
      <c r="AF8" s="234"/>
      <c r="AG8" s="234"/>
      <c r="AH8" s="442"/>
      <c r="AI8" s="455"/>
    </row>
    <row r="9" spans="1:35" ht="15" hidden="1" outlineLevel="1" thickBot="1" x14ac:dyDescent="0.35">
      <c r="A9" s="195" t="s">
        <v>55</v>
      </c>
      <c r="B9" s="236"/>
      <c r="C9" s="237"/>
      <c r="D9" s="238"/>
      <c r="E9" s="238"/>
      <c r="F9" s="238"/>
      <c r="G9" s="238"/>
      <c r="H9" s="238"/>
      <c r="I9" s="238"/>
      <c r="J9" s="238"/>
      <c r="K9" s="238"/>
      <c r="L9" s="238"/>
      <c r="M9" s="238"/>
      <c r="N9" s="238"/>
      <c r="O9" s="238"/>
      <c r="P9" s="238"/>
      <c r="Q9" s="238"/>
      <c r="R9" s="238"/>
      <c r="S9" s="238"/>
      <c r="T9" s="238"/>
      <c r="U9" s="238"/>
      <c r="V9" s="238"/>
      <c r="W9" s="238"/>
      <c r="X9" s="238"/>
      <c r="Y9" s="238"/>
      <c r="Z9" s="238"/>
      <c r="AA9" s="238"/>
      <c r="AB9" s="238"/>
      <c r="AC9" s="238"/>
      <c r="AD9" s="238"/>
      <c r="AE9" s="238"/>
      <c r="AF9" s="238"/>
      <c r="AG9" s="238"/>
      <c r="AH9" s="443"/>
      <c r="AI9" s="455"/>
    </row>
    <row r="10" spans="1:35" x14ac:dyDescent="0.3">
      <c r="A10" s="196" t="s">
        <v>132</v>
      </c>
      <c r="B10" s="211"/>
      <c r="C10" s="212"/>
      <c r="D10" s="213"/>
      <c r="E10" s="213"/>
      <c r="F10" s="213"/>
      <c r="G10" s="213"/>
      <c r="H10" s="213"/>
      <c r="I10" s="213"/>
      <c r="J10" s="213"/>
      <c r="K10" s="213"/>
      <c r="L10" s="213"/>
      <c r="M10" s="213"/>
      <c r="N10" s="213"/>
      <c r="O10" s="213"/>
      <c r="P10" s="213"/>
      <c r="Q10" s="213"/>
      <c r="R10" s="213"/>
      <c r="S10" s="213"/>
      <c r="T10" s="213"/>
      <c r="U10" s="213"/>
      <c r="V10" s="213"/>
      <c r="W10" s="213"/>
      <c r="X10" s="213"/>
      <c r="Y10" s="213"/>
      <c r="Z10" s="213"/>
      <c r="AA10" s="213"/>
      <c r="AB10" s="213"/>
      <c r="AC10" s="213"/>
      <c r="AD10" s="213"/>
      <c r="AE10" s="213"/>
      <c r="AF10" s="213"/>
      <c r="AG10" s="213"/>
      <c r="AH10" s="444"/>
      <c r="AI10" s="455"/>
    </row>
    <row r="11" spans="1:35" x14ac:dyDescent="0.3">
      <c r="A11" s="197" t="s">
        <v>133</v>
      </c>
      <c r="B11" s="214">
        <f xml:space="preserve">
IF($A$4&lt;=12,SUMIFS('ON Data'!F:F,'ON Data'!$D:$D,$A$4,'ON Data'!$E:$E,2),SUMIFS('ON Data'!F:F,'ON Data'!$E:$E,2))</f>
        <v>58740.99</v>
      </c>
      <c r="C11" s="215">
        <f xml:space="preserve">
IF($A$4&lt;=12,SUMIFS('ON Data'!G:G,'ON Data'!$D:$D,$A$4,'ON Data'!$E:$E,2),SUMIFS('ON Data'!G:G,'ON Data'!$E:$E,2))</f>
        <v>0</v>
      </c>
      <c r="D11" s="216">
        <f xml:space="preserve">
IF($A$4&lt;=12,SUMIFS('ON Data'!H:H,'ON Data'!$D:$D,$A$4,'ON Data'!$E:$E,2),SUMIFS('ON Data'!H:H,'ON Data'!$E:$E,2))</f>
        <v>221.6</v>
      </c>
      <c r="E11" s="216">
        <f xml:space="preserve">
IF($A$4&lt;=12,SUMIFS('ON Data'!I:I,'ON Data'!$D:$D,$A$4,'ON Data'!$E:$E,2),SUMIFS('ON Data'!I:I,'ON Data'!$E:$E,2))</f>
        <v>0</v>
      </c>
      <c r="F11" s="216">
        <f xml:space="preserve">
IF($A$4&lt;=12,SUMIFS('ON Data'!K:K,'ON Data'!$D:$D,$A$4,'ON Data'!$E:$E,2),SUMIFS('ON Data'!K:K,'ON Data'!$E:$E,2))</f>
        <v>44440.639999999999</v>
      </c>
      <c r="G11" s="216">
        <f xml:space="preserve">
IF($A$4&lt;=12,SUMIFS('ON Data'!L:L,'ON Data'!$D:$D,$A$4,'ON Data'!$E:$E,2),SUMIFS('ON Data'!L:L,'ON Data'!$E:$E,2))</f>
        <v>0</v>
      </c>
      <c r="H11" s="216">
        <f xml:space="preserve">
IF($A$4&lt;=12,SUMIFS('ON Data'!M:M,'ON Data'!$D:$D,$A$4,'ON Data'!$E:$E,2),SUMIFS('ON Data'!M:M,'ON Data'!$E:$E,2))</f>
        <v>0</v>
      </c>
      <c r="I11" s="216">
        <f xml:space="preserve">
IF($A$4&lt;=12,SUMIFS('ON Data'!N:N,'ON Data'!$D:$D,$A$4,'ON Data'!$E:$E,2),SUMIFS('ON Data'!N:N,'ON Data'!$E:$E,2))</f>
        <v>0</v>
      </c>
      <c r="J11" s="216">
        <f xml:space="preserve">
IF($A$4&lt;=12,SUMIFS('ON Data'!O:O,'ON Data'!$D:$D,$A$4,'ON Data'!$E:$E,2),SUMIFS('ON Data'!O:O,'ON Data'!$E:$E,2))</f>
        <v>0</v>
      </c>
      <c r="K11" s="216">
        <f xml:space="preserve">
IF($A$4&lt;=12,SUMIFS('ON Data'!P:P,'ON Data'!$D:$D,$A$4,'ON Data'!$E:$E,2),SUMIFS('ON Data'!P:P,'ON Data'!$E:$E,2))</f>
        <v>0</v>
      </c>
      <c r="L11" s="216">
        <f xml:space="preserve">
IF($A$4&lt;=12,SUMIFS('ON Data'!Q:Q,'ON Data'!$D:$D,$A$4,'ON Data'!$E:$E,2),SUMIFS('ON Data'!Q:Q,'ON Data'!$E:$E,2))</f>
        <v>0</v>
      </c>
      <c r="M11" s="216">
        <f xml:space="preserve">
IF($A$4&lt;=12,SUMIFS('ON Data'!R:R,'ON Data'!$D:$D,$A$4,'ON Data'!$E:$E,2),SUMIFS('ON Data'!R:R,'ON Data'!$E:$E,2))</f>
        <v>0</v>
      </c>
      <c r="N11" s="216">
        <f xml:space="preserve">
IF($A$4&lt;=12,SUMIFS('ON Data'!S:S,'ON Data'!$D:$D,$A$4,'ON Data'!$E:$E,2),SUMIFS('ON Data'!S:S,'ON Data'!$E:$E,2))</f>
        <v>0</v>
      </c>
      <c r="O11" s="216">
        <f xml:space="preserve">
IF($A$4&lt;=12,SUMIFS('ON Data'!T:T,'ON Data'!$D:$D,$A$4,'ON Data'!$E:$E,2),SUMIFS('ON Data'!T:T,'ON Data'!$E:$E,2))</f>
        <v>0</v>
      </c>
      <c r="P11" s="216">
        <f xml:space="preserve">
IF($A$4&lt;=12,SUMIFS('ON Data'!U:U,'ON Data'!$D:$D,$A$4,'ON Data'!$E:$E,2),SUMIFS('ON Data'!U:U,'ON Data'!$E:$E,2))</f>
        <v>0</v>
      </c>
      <c r="Q11" s="216">
        <f xml:space="preserve">
IF($A$4&lt;=12,SUMIFS('ON Data'!V:V,'ON Data'!$D:$D,$A$4,'ON Data'!$E:$E,2),SUMIFS('ON Data'!V:V,'ON Data'!$E:$E,2))</f>
        <v>0</v>
      </c>
      <c r="R11" s="216">
        <f xml:space="preserve">
IF($A$4&lt;=12,SUMIFS('ON Data'!W:W,'ON Data'!$D:$D,$A$4,'ON Data'!$E:$E,2),SUMIFS('ON Data'!W:W,'ON Data'!$E:$E,2))</f>
        <v>0</v>
      </c>
      <c r="S11" s="216">
        <f xml:space="preserve">
IF($A$4&lt;=12,SUMIFS('ON Data'!X:X,'ON Data'!$D:$D,$A$4,'ON Data'!$E:$E,2),SUMIFS('ON Data'!X:X,'ON Data'!$E:$E,2))</f>
        <v>0</v>
      </c>
      <c r="T11" s="216">
        <f xml:space="preserve">
IF($A$4&lt;=12,SUMIFS('ON Data'!Y:Y,'ON Data'!$D:$D,$A$4,'ON Data'!$E:$E,2),SUMIFS('ON Data'!Y:Y,'ON Data'!$E:$E,2))</f>
        <v>0</v>
      </c>
      <c r="U11" s="216">
        <f xml:space="preserve">
IF($A$4&lt;=12,SUMIFS('ON Data'!Z:Z,'ON Data'!$D:$D,$A$4,'ON Data'!$E:$E,2),SUMIFS('ON Data'!Z:Z,'ON Data'!$E:$E,2))</f>
        <v>0</v>
      </c>
      <c r="V11" s="216">
        <f xml:space="preserve">
IF($A$4&lt;=12,SUMIFS('ON Data'!AA:AA,'ON Data'!$D:$D,$A$4,'ON Data'!$E:$E,2),SUMIFS('ON Data'!AA:AA,'ON Data'!$E:$E,2))</f>
        <v>0</v>
      </c>
      <c r="W11" s="216">
        <f xml:space="preserve">
IF($A$4&lt;=12,SUMIFS('ON Data'!AB:AB,'ON Data'!$D:$D,$A$4,'ON Data'!$E:$E,2),SUMIFS('ON Data'!AB:AB,'ON Data'!$E:$E,2))</f>
        <v>0</v>
      </c>
      <c r="X11" s="216">
        <f xml:space="preserve">
IF($A$4&lt;=12,SUMIFS('ON Data'!AC:AC,'ON Data'!$D:$D,$A$4,'ON Data'!$E:$E,2),SUMIFS('ON Data'!AC:AC,'ON Data'!$E:$E,2))</f>
        <v>0</v>
      </c>
      <c r="Y11" s="216">
        <f xml:space="preserve">
IF($A$4&lt;=12,SUMIFS('ON Data'!AD:AD,'ON Data'!$D:$D,$A$4,'ON Data'!$E:$E,2),SUMIFS('ON Data'!AD:AD,'ON Data'!$E:$E,2))</f>
        <v>0</v>
      </c>
      <c r="Z11" s="216">
        <f xml:space="preserve">
IF($A$4&lt;=12,SUMIFS('ON Data'!AE:AE,'ON Data'!$D:$D,$A$4,'ON Data'!$E:$E,2),SUMIFS('ON Data'!AE:AE,'ON Data'!$E:$E,2))</f>
        <v>0</v>
      </c>
      <c r="AA11" s="216">
        <f xml:space="preserve">
IF($A$4&lt;=12,SUMIFS('ON Data'!AF:AF,'ON Data'!$D:$D,$A$4,'ON Data'!$E:$E,2),SUMIFS('ON Data'!AF:AF,'ON Data'!$E:$E,2))</f>
        <v>0</v>
      </c>
      <c r="AB11" s="216">
        <f xml:space="preserve">
IF($A$4&lt;=12,SUMIFS('ON Data'!AG:AG,'ON Data'!$D:$D,$A$4,'ON Data'!$E:$E,2),SUMIFS('ON Data'!AG:AG,'ON Data'!$E:$E,2))</f>
        <v>0</v>
      </c>
      <c r="AC11" s="216">
        <f xml:space="preserve">
IF($A$4&lt;=12,SUMIFS('ON Data'!AH:AH,'ON Data'!$D:$D,$A$4,'ON Data'!$E:$E,2),SUMIFS('ON Data'!AH:AH,'ON Data'!$E:$E,2))</f>
        <v>0</v>
      </c>
      <c r="AD11" s="216">
        <f xml:space="preserve">
IF($A$4&lt;=12,SUMIFS('ON Data'!AI:AI,'ON Data'!$D:$D,$A$4,'ON Data'!$E:$E,2),SUMIFS('ON Data'!AI:AI,'ON Data'!$E:$E,2))</f>
        <v>14078.75</v>
      </c>
      <c r="AE11" s="216">
        <f xml:space="preserve">
IF($A$4&lt;=12,SUMIFS('ON Data'!AJ:AJ,'ON Data'!$D:$D,$A$4,'ON Data'!$E:$E,2),SUMIFS('ON Data'!AJ:AJ,'ON Data'!$E:$E,2))</f>
        <v>0</v>
      </c>
      <c r="AF11" s="216">
        <f xml:space="preserve">
IF($A$4&lt;=12,SUMIFS('ON Data'!AK:AK,'ON Data'!$D:$D,$A$4,'ON Data'!$E:$E,2),SUMIFS('ON Data'!AK:AK,'ON Data'!$E:$E,2))</f>
        <v>0</v>
      </c>
      <c r="AG11" s="216">
        <f xml:space="preserve">
IF($A$4&lt;=12,SUMIFS('ON Data'!AL:AL,'ON Data'!$D:$D,$A$4,'ON Data'!$E:$E,2),SUMIFS('ON Data'!AL:AL,'ON Data'!$E:$E,2))</f>
        <v>0</v>
      </c>
      <c r="AH11" s="445">
        <f xml:space="preserve">
IF($A$4&lt;=12,SUMIFS('ON Data'!AN:AN,'ON Data'!$D:$D,$A$4,'ON Data'!$E:$E,2),SUMIFS('ON Data'!AN:AN,'ON Data'!$E:$E,2))</f>
        <v>0</v>
      </c>
      <c r="AI11" s="455"/>
    </row>
    <row r="12" spans="1:35" x14ac:dyDescent="0.3">
      <c r="A12" s="197" t="s">
        <v>134</v>
      </c>
      <c r="B12" s="214">
        <f xml:space="preserve">
IF($A$4&lt;=12,SUMIFS('ON Data'!F:F,'ON Data'!$D:$D,$A$4,'ON Data'!$E:$E,3),SUMIFS('ON Data'!F:F,'ON Data'!$E:$E,3))</f>
        <v>97.5</v>
      </c>
      <c r="C12" s="215">
        <f xml:space="preserve">
IF($A$4&lt;=12,SUMIFS('ON Data'!G:G,'ON Data'!$D:$D,$A$4,'ON Data'!$E:$E,3),SUMIFS('ON Data'!G:G,'ON Data'!$E:$E,3))</f>
        <v>0</v>
      </c>
      <c r="D12" s="216">
        <f xml:space="preserve">
IF($A$4&lt;=12,SUMIFS('ON Data'!H:H,'ON Data'!$D:$D,$A$4,'ON Data'!$E:$E,3),SUMIFS('ON Data'!H:H,'ON Data'!$E:$E,3))</f>
        <v>0</v>
      </c>
      <c r="E12" s="216">
        <f xml:space="preserve">
IF($A$4&lt;=12,SUMIFS('ON Data'!I:I,'ON Data'!$D:$D,$A$4,'ON Data'!$E:$E,3),SUMIFS('ON Data'!I:I,'ON Data'!$E:$E,3))</f>
        <v>0</v>
      </c>
      <c r="F12" s="216">
        <f xml:space="preserve">
IF($A$4&lt;=12,SUMIFS('ON Data'!K:K,'ON Data'!$D:$D,$A$4,'ON Data'!$E:$E,3),SUMIFS('ON Data'!K:K,'ON Data'!$E:$E,3))</f>
        <v>97.5</v>
      </c>
      <c r="G12" s="216">
        <f xml:space="preserve">
IF($A$4&lt;=12,SUMIFS('ON Data'!L:L,'ON Data'!$D:$D,$A$4,'ON Data'!$E:$E,3),SUMIFS('ON Data'!L:L,'ON Data'!$E:$E,3))</f>
        <v>0</v>
      </c>
      <c r="H12" s="216">
        <f xml:space="preserve">
IF($A$4&lt;=12,SUMIFS('ON Data'!M:M,'ON Data'!$D:$D,$A$4,'ON Data'!$E:$E,3),SUMIFS('ON Data'!M:M,'ON Data'!$E:$E,3))</f>
        <v>0</v>
      </c>
      <c r="I12" s="216">
        <f xml:space="preserve">
IF($A$4&lt;=12,SUMIFS('ON Data'!N:N,'ON Data'!$D:$D,$A$4,'ON Data'!$E:$E,3),SUMIFS('ON Data'!N:N,'ON Data'!$E:$E,3))</f>
        <v>0</v>
      </c>
      <c r="J12" s="216">
        <f xml:space="preserve">
IF($A$4&lt;=12,SUMIFS('ON Data'!O:O,'ON Data'!$D:$D,$A$4,'ON Data'!$E:$E,3),SUMIFS('ON Data'!O:O,'ON Data'!$E:$E,3))</f>
        <v>0</v>
      </c>
      <c r="K12" s="216">
        <f xml:space="preserve">
IF($A$4&lt;=12,SUMIFS('ON Data'!P:P,'ON Data'!$D:$D,$A$4,'ON Data'!$E:$E,3),SUMIFS('ON Data'!P:P,'ON Data'!$E:$E,3))</f>
        <v>0</v>
      </c>
      <c r="L12" s="216">
        <f xml:space="preserve">
IF($A$4&lt;=12,SUMIFS('ON Data'!Q:Q,'ON Data'!$D:$D,$A$4,'ON Data'!$E:$E,3),SUMIFS('ON Data'!Q:Q,'ON Data'!$E:$E,3))</f>
        <v>0</v>
      </c>
      <c r="M12" s="216">
        <f xml:space="preserve">
IF($A$4&lt;=12,SUMIFS('ON Data'!R:R,'ON Data'!$D:$D,$A$4,'ON Data'!$E:$E,3),SUMIFS('ON Data'!R:R,'ON Data'!$E:$E,3))</f>
        <v>0</v>
      </c>
      <c r="N12" s="216">
        <f xml:space="preserve">
IF($A$4&lt;=12,SUMIFS('ON Data'!S:S,'ON Data'!$D:$D,$A$4,'ON Data'!$E:$E,3),SUMIFS('ON Data'!S:S,'ON Data'!$E:$E,3))</f>
        <v>0</v>
      </c>
      <c r="O12" s="216">
        <f xml:space="preserve">
IF($A$4&lt;=12,SUMIFS('ON Data'!T:T,'ON Data'!$D:$D,$A$4,'ON Data'!$E:$E,3),SUMIFS('ON Data'!T:T,'ON Data'!$E:$E,3))</f>
        <v>0</v>
      </c>
      <c r="P12" s="216">
        <f xml:space="preserve">
IF($A$4&lt;=12,SUMIFS('ON Data'!U:U,'ON Data'!$D:$D,$A$4,'ON Data'!$E:$E,3),SUMIFS('ON Data'!U:U,'ON Data'!$E:$E,3))</f>
        <v>0</v>
      </c>
      <c r="Q12" s="216">
        <f xml:space="preserve">
IF($A$4&lt;=12,SUMIFS('ON Data'!V:V,'ON Data'!$D:$D,$A$4,'ON Data'!$E:$E,3),SUMIFS('ON Data'!V:V,'ON Data'!$E:$E,3))</f>
        <v>0</v>
      </c>
      <c r="R12" s="216">
        <f xml:space="preserve">
IF($A$4&lt;=12,SUMIFS('ON Data'!W:W,'ON Data'!$D:$D,$A$4,'ON Data'!$E:$E,3),SUMIFS('ON Data'!W:W,'ON Data'!$E:$E,3))</f>
        <v>0</v>
      </c>
      <c r="S12" s="216">
        <f xml:space="preserve">
IF($A$4&lt;=12,SUMIFS('ON Data'!X:X,'ON Data'!$D:$D,$A$4,'ON Data'!$E:$E,3),SUMIFS('ON Data'!X:X,'ON Data'!$E:$E,3))</f>
        <v>0</v>
      </c>
      <c r="T12" s="216">
        <f xml:space="preserve">
IF($A$4&lt;=12,SUMIFS('ON Data'!Y:Y,'ON Data'!$D:$D,$A$4,'ON Data'!$E:$E,3),SUMIFS('ON Data'!Y:Y,'ON Data'!$E:$E,3))</f>
        <v>0</v>
      </c>
      <c r="U12" s="216">
        <f xml:space="preserve">
IF($A$4&lt;=12,SUMIFS('ON Data'!Z:Z,'ON Data'!$D:$D,$A$4,'ON Data'!$E:$E,3),SUMIFS('ON Data'!Z:Z,'ON Data'!$E:$E,3))</f>
        <v>0</v>
      </c>
      <c r="V12" s="216">
        <f xml:space="preserve">
IF($A$4&lt;=12,SUMIFS('ON Data'!AA:AA,'ON Data'!$D:$D,$A$4,'ON Data'!$E:$E,3),SUMIFS('ON Data'!AA:AA,'ON Data'!$E:$E,3))</f>
        <v>0</v>
      </c>
      <c r="W12" s="216">
        <f xml:space="preserve">
IF($A$4&lt;=12,SUMIFS('ON Data'!AB:AB,'ON Data'!$D:$D,$A$4,'ON Data'!$E:$E,3),SUMIFS('ON Data'!AB:AB,'ON Data'!$E:$E,3))</f>
        <v>0</v>
      </c>
      <c r="X12" s="216">
        <f xml:space="preserve">
IF($A$4&lt;=12,SUMIFS('ON Data'!AC:AC,'ON Data'!$D:$D,$A$4,'ON Data'!$E:$E,3),SUMIFS('ON Data'!AC:AC,'ON Data'!$E:$E,3))</f>
        <v>0</v>
      </c>
      <c r="Y12" s="216">
        <f xml:space="preserve">
IF($A$4&lt;=12,SUMIFS('ON Data'!AD:AD,'ON Data'!$D:$D,$A$4,'ON Data'!$E:$E,3),SUMIFS('ON Data'!AD:AD,'ON Data'!$E:$E,3))</f>
        <v>0</v>
      </c>
      <c r="Z12" s="216">
        <f xml:space="preserve">
IF($A$4&lt;=12,SUMIFS('ON Data'!AE:AE,'ON Data'!$D:$D,$A$4,'ON Data'!$E:$E,3),SUMIFS('ON Data'!AE:AE,'ON Data'!$E:$E,3))</f>
        <v>0</v>
      </c>
      <c r="AA12" s="216">
        <f xml:space="preserve">
IF($A$4&lt;=12,SUMIFS('ON Data'!AF:AF,'ON Data'!$D:$D,$A$4,'ON Data'!$E:$E,3),SUMIFS('ON Data'!AF:AF,'ON Data'!$E:$E,3))</f>
        <v>0</v>
      </c>
      <c r="AB12" s="216">
        <f xml:space="preserve">
IF($A$4&lt;=12,SUMIFS('ON Data'!AG:AG,'ON Data'!$D:$D,$A$4,'ON Data'!$E:$E,3),SUMIFS('ON Data'!AG:AG,'ON Data'!$E:$E,3))</f>
        <v>0</v>
      </c>
      <c r="AC12" s="216">
        <f xml:space="preserve">
IF($A$4&lt;=12,SUMIFS('ON Data'!AH:AH,'ON Data'!$D:$D,$A$4,'ON Data'!$E:$E,3),SUMIFS('ON Data'!AH:AH,'ON Data'!$E:$E,3))</f>
        <v>0</v>
      </c>
      <c r="AD12" s="216">
        <f xml:space="preserve">
IF($A$4&lt;=12,SUMIFS('ON Data'!AI:AI,'ON Data'!$D:$D,$A$4,'ON Data'!$E:$E,3),SUMIFS('ON Data'!AI:AI,'ON Data'!$E:$E,3))</f>
        <v>0</v>
      </c>
      <c r="AE12" s="216">
        <f xml:space="preserve">
IF($A$4&lt;=12,SUMIFS('ON Data'!AJ:AJ,'ON Data'!$D:$D,$A$4,'ON Data'!$E:$E,3),SUMIFS('ON Data'!AJ:AJ,'ON Data'!$E:$E,3))</f>
        <v>0</v>
      </c>
      <c r="AF12" s="216">
        <f xml:space="preserve">
IF($A$4&lt;=12,SUMIFS('ON Data'!AK:AK,'ON Data'!$D:$D,$A$4,'ON Data'!$E:$E,3),SUMIFS('ON Data'!AK:AK,'ON Data'!$E:$E,3))</f>
        <v>0</v>
      </c>
      <c r="AG12" s="216">
        <f xml:space="preserve">
IF($A$4&lt;=12,SUMIFS('ON Data'!AL:AL,'ON Data'!$D:$D,$A$4,'ON Data'!$E:$E,3),SUMIFS('ON Data'!AL:AL,'ON Data'!$E:$E,3))</f>
        <v>0</v>
      </c>
      <c r="AH12" s="445">
        <f xml:space="preserve">
IF($A$4&lt;=12,SUMIFS('ON Data'!AN:AN,'ON Data'!$D:$D,$A$4,'ON Data'!$E:$E,3),SUMIFS('ON Data'!AN:AN,'ON Data'!$E:$E,3))</f>
        <v>0</v>
      </c>
      <c r="AI12" s="455"/>
    </row>
    <row r="13" spans="1:35" x14ac:dyDescent="0.3">
      <c r="A13" s="197" t="s">
        <v>141</v>
      </c>
      <c r="B13" s="214">
        <f xml:space="preserve">
IF($A$4&lt;=12,SUMIFS('ON Data'!F:F,'ON Data'!$D:$D,$A$4,'ON Data'!$E:$E,4),SUMIFS('ON Data'!F:F,'ON Data'!$E:$E,4))</f>
        <v>4212.25</v>
      </c>
      <c r="C13" s="215">
        <f xml:space="preserve">
IF($A$4&lt;=12,SUMIFS('ON Data'!G:G,'ON Data'!$D:$D,$A$4,'ON Data'!$E:$E,4),SUMIFS('ON Data'!G:G,'ON Data'!$E:$E,4))</f>
        <v>0</v>
      </c>
      <c r="D13" s="216">
        <f xml:space="preserve">
IF($A$4&lt;=12,SUMIFS('ON Data'!H:H,'ON Data'!$D:$D,$A$4,'ON Data'!$E:$E,4),SUMIFS('ON Data'!H:H,'ON Data'!$E:$E,4))</f>
        <v>0</v>
      </c>
      <c r="E13" s="216">
        <f xml:space="preserve">
IF($A$4&lt;=12,SUMIFS('ON Data'!I:I,'ON Data'!$D:$D,$A$4,'ON Data'!$E:$E,4),SUMIFS('ON Data'!I:I,'ON Data'!$E:$E,4))</f>
        <v>0</v>
      </c>
      <c r="F13" s="216">
        <f xml:space="preserve">
IF($A$4&lt;=12,SUMIFS('ON Data'!K:K,'ON Data'!$D:$D,$A$4,'ON Data'!$E:$E,4),SUMIFS('ON Data'!K:K,'ON Data'!$E:$E,4))</f>
        <v>2595.25</v>
      </c>
      <c r="G13" s="216">
        <f xml:space="preserve">
IF($A$4&lt;=12,SUMIFS('ON Data'!L:L,'ON Data'!$D:$D,$A$4,'ON Data'!$E:$E,4),SUMIFS('ON Data'!L:L,'ON Data'!$E:$E,4))</f>
        <v>0</v>
      </c>
      <c r="H13" s="216">
        <f xml:space="preserve">
IF($A$4&lt;=12,SUMIFS('ON Data'!M:M,'ON Data'!$D:$D,$A$4,'ON Data'!$E:$E,4),SUMIFS('ON Data'!M:M,'ON Data'!$E:$E,4))</f>
        <v>0</v>
      </c>
      <c r="I13" s="216">
        <f xml:space="preserve">
IF($A$4&lt;=12,SUMIFS('ON Data'!N:N,'ON Data'!$D:$D,$A$4,'ON Data'!$E:$E,4),SUMIFS('ON Data'!N:N,'ON Data'!$E:$E,4))</f>
        <v>0</v>
      </c>
      <c r="J13" s="216">
        <f xml:space="preserve">
IF($A$4&lt;=12,SUMIFS('ON Data'!O:O,'ON Data'!$D:$D,$A$4,'ON Data'!$E:$E,4),SUMIFS('ON Data'!O:O,'ON Data'!$E:$E,4))</f>
        <v>0</v>
      </c>
      <c r="K13" s="216">
        <f xml:space="preserve">
IF($A$4&lt;=12,SUMIFS('ON Data'!P:P,'ON Data'!$D:$D,$A$4,'ON Data'!$E:$E,4),SUMIFS('ON Data'!P:P,'ON Data'!$E:$E,4))</f>
        <v>0</v>
      </c>
      <c r="L13" s="216">
        <f xml:space="preserve">
IF($A$4&lt;=12,SUMIFS('ON Data'!Q:Q,'ON Data'!$D:$D,$A$4,'ON Data'!$E:$E,4),SUMIFS('ON Data'!Q:Q,'ON Data'!$E:$E,4))</f>
        <v>0</v>
      </c>
      <c r="M13" s="216">
        <f xml:space="preserve">
IF($A$4&lt;=12,SUMIFS('ON Data'!R:R,'ON Data'!$D:$D,$A$4,'ON Data'!$E:$E,4),SUMIFS('ON Data'!R:R,'ON Data'!$E:$E,4))</f>
        <v>0</v>
      </c>
      <c r="N13" s="216">
        <f xml:space="preserve">
IF($A$4&lt;=12,SUMIFS('ON Data'!S:S,'ON Data'!$D:$D,$A$4,'ON Data'!$E:$E,4),SUMIFS('ON Data'!S:S,'ON Data'!$E:$E,4))</f>
        <v>0</v>
      </c>
      <c r="O13" s="216">
        <f xml:space="preserve">
IF($A$4&lt;=12,SUMIFS('ON Data'!T:T,'ON Data'!$D:$D,$A$4,'ON Data'!$E:$E,4),SUMIFS('ON Data'!T:T,'ON Data'!$E:$E,4))</f>
        <v>0</v>
      </c>
      <c r="P13" s="216">
        <f xml:space="preserve">
IF($A$4&lt;=12,SUMIFS('ON Data'!U:U,'ON Data'!$D:$D,$A$4,'ON Data'!$E:$E,4),SUMIFS('ON Data'!U:U,'ON Data'!$E:$E,4))</f>
        <v>0</v>
      </c>
      <c r="Q13" s="216">
        <f xml:space="preserve">
IF($A$4&lt;=12,SUMIFS('ON Data'!V:V,'ON Data'!$D:$D,$A$4,'ON Data'!$E:$E,4),SUMIFS('ON Data'!V:V,'ON Data'!$E:$E,4))</f>
        <v>0</v>
      </c>
      <c r="R13" s="216">
        <f xml:space="preserve">
IF($A$4&lt;=12,SUMIFS('ON Data'!W:W,'ON Data'!$D:$D,$A$4,'ON Data'!$E:$E,4),SUMIFS('ON Data'!W:W,'ON Data'!$E:$E,4))</f>
        <v>0</v>
      </c>
      <c r="S13" s="216">
        <f xml:space="preserve">
IF($A$4&lt;=12,SUMIFS('ON Data'!X:X,'ON Data'!$D:$D,$A$4,'ON Data'!$E:$E,4),SUMIFS('ON Data'!X:X,'ON Data'!$E:$E,4))</f>
        <v>0</v>
      </c>
      <c r="T13" s="216">
        <f xml:space="preserve">
IF($A$4&lt;=12,SUMIFS('ON Data'!Y:Y,'ON Data'!$D:$D,$A$4,'ON Data'!$E:$E,4),SUMIFS('ON Data'!Y:Y,'ON Data'!$E:$E,4))</f>
        <v>0</v>
      </c>
      <c r="U13" s="216">
        <f xml:space="preserve">
IF($A$4&lt;=12,SUMIFS('ON Data'!Z:Z,'ON Data'!$D:$D,$A$4,'ON Data'!$E:$E,4),SUMIFS('ON Data'!Z:Z,'ON Data'!$E:$E,4))</f>
        <v>0</v>
      </c>
      <c r="V13" s="216">
        <f xml:space="preserve">
IF($A$4&lt;=12,SUMIFS('ON Data'!AA:AA,'ON Data'!$D:$D,$A$4,'ON Data'!$E:$E,4),SUMIFS('ON Data'!AA:AA,'ON Data'!$E:$E,4))</f>
        <v>0</v>
      </c>
      <c r="W13" s="216">
        <f xml:space="preserve">
IF($A$4&lt;=12,SUMIFS('ON Data'!AB:AB,'ON Data'!$D:$D,$A$4,'ON Data'!$E:$E,4),SUMIFS('ON Data'!AB:AB,'ON Data'!$E:$E,4))</f>
        <v>0</v>
      </c>
      <c r="X13" s="216">
        <f xml:space="preserve">
IF($A$4&lt;=12,SUMIFS('ON Data'!AC:AC,'ON Data'!$D:$D,$A$4,'ON Data'!$E:$E,4),SUMIFS('ON Data'!AC:AC,'ON Data'!$E:$E,4))</f>
        <v>0</v>
      </c>
      <c r="Y13" s="216">
        <f xml:space="preserve">
IF($A$4&lt;=12,SUMIFS('ON Data'!AD:AD,'ON Data'!$D:$D,$A$4,'ON Data'!$E:$E,4),SUMIFS('ON Data'!AD:AD,'ON Data'!$E:$E,4))</f>
        <v>0</v>
      </c>
      <c r="Z13" s="216">
        <f xml:space="preserve">
IF($A$4&lt;=12,SUMIFS('ON Data'!AE:AE,'ON Data'!$D:$D,$A$4,'ON Data'!$E:$E,4),SUMIFS('ON Data'!AE:AE,'ON Data'!$E:$E,4))</f>
        <v>0</v>
      </c>
      <c r="AA13" s="216">
        <f xml:space="preserve">
IF($A$4&lt;=12,SUMIFS('ON Data'!AF:AF,'ON Data'!$D:$D,$A$4,'ON Data'!$E:$E,4),SUMIFS('ON Data'!AF:AF,'ON Data'!$E:$E,4))</f>
        <v>0</v>
      </c>
      <c r="AB13" s="216">
        <f xml:space="preserve">
IF($A$4&lt;=12,SUMIFS('ON Data'!AG:AG,'ON Data'!$D:$D,$A$4,'ON Data'!$E:$E,4),SUMIFS('ON Data'!AG:AG,'ON Data'!$E:$E,4))</f>
        <v>0</v>
      </c>
      <c r="AC13" s="216">
        <f xml:space="preserve">
IF($A$4&lt;=12,SUMIFS('ON Data'!AH:AH,'ON Data'!$D:$D,$A$4,'ON Data'!$E:$E,4),SUMIFS('ON Data'!AH:AH,'ON Data'!$E:$E,4))</f>
        <v>0</v>
      </c>
      <c r="AD13" s="216">
        <f xml:space="preserve">
IF($A$4&lt;=12,SUMIFS('ON Data'!AI:AI,'ON Data'!$D:$D,$A$4,'ON Data'!$E:$E,4),SUMIFS('ON Data'!AI:AI,'ON Data'!$E:$E,4))</f>
        <v>1617</v>
      </c>
      <c r="AE13" s="216">
        <f xml:space="preserve">
IF($A$4&lt;=12,SUMIFS('ON Data'!AJ:AJ,'ON Data'!$D:$D,$A$4,'ON Data'!$E:$E,4),SUMIFS('ON Data'!AJ:AJ,'ON Data'!$E:$E,4))</f>
        <v>0</v>
      </c>
      <c r="AF13" s="216">
        <f xml:space="preserve">
IF($A$4&lt;=12,SUMIFS('ON Data'!AK:AK,'ON Data'!$D:$D,$A$4,'ON Data'!$E:$E,4),SUMIFS('ON Data'!AK:AK,'ON Data'!$E:$E,4))</f>
        <v>0</v>
      </c>
      <c r="AG13" s="216">
        <f xml:space="preserve">
IF($A$4&lt;=12,SUMIFS('ON Data'!AL:AL,'ON Data'!$D:$D,$A$4,'ON Data'!$E:$E,4),SUMIFS('ON Data'!AL:AL,'ON Data'!$E:$E,4))</f>
        <v>0</v>
      </c>
      <c r="AH13" s="445">
        <f xml:space="preserve">
IF($A$4&lt;=12,SUMIFS('ON Data'!AN:AN,'ON Data'!$D:$D,$A$4,'ON Data'!$E:$E,4),SUMIFS('ON Data'!AN:AN,'ON Data'!$E:$E,4))</f>
        <v>0</v>
      </c>
      <c r="AI13" s="455"/>
    </row>
    <row r="14" spans="1:35" ht="15" thickBot="1" x14ac:dyDescent="0.35">
      <c r="A14" s="198" t="s">
        <v>135</v>
      </c>
      <c r="B14" s="217">
        <f xml:space="preserve">
IF($A$4&lt;=12,SUMIFS('ON Data'!F:F,'ON Data'!$D:$D,$A$4,'ON Data'!$E:$E,5),SUMIFS('ON Data'!F:F,'ON Data'!$E:$E,5))</f>
        <v>0</v>
      </c>
      <c r="C14" s="218">
        <f xml:space="preserve">
IF($A$4&lt;=12,SUMIFS('ON Data'!G:G,'ON Data'!$D:$D,$A$4,'ON Data'!$E:$E,5),SUMIFS('ON Data'!G:G,'ON Data'!$E:$E,5))</f>
        <v>0</v>
      </c>
      <c r="D14" s="219">
        <f xml:space="preserve">
IF($A$4&lt;=12,SUMIFS('ON Data'!H:H,'ON Data'!$D:$D,$A$4,'ON Data'!$E:$E,5),SUMIFS('ON Data'!H:H,'ON Data'!$E:$E,5))</f>
        <v>0</v>
      </c>
      <c r="E14" s="219">
        <f xml:space="preserve">
IF($A$4&lt;=12,SUMIFS('ON Data'!I:I,'ON Data'!$D:$D,$A$4,'ON Data'!$E:$E,5),SUMIFS('ON Data'!I:I,'ON Data'!$E:$E,5))</f>
        <v>0</v>
      </c>
      <c r="F14" s="219">
        <f xml:space="preserve">
IF($A$4&lt;=12,SUMIFS('ON Data'!K:K,'ON Data'!$D:$D,$A$4,'ON Data'!$E:$E,5),SUMIFS('ON Data'!K:K,'ON Data'!$E:$E,5))</f>
        <v>0</v>
      </c>
      <c r="G14" s="219">
        <f xml:space="preserve">
IF($A$4&lt;=12,SUMIFS('ON Data'!L:L,'ON Data'!$D:$D,$A$4,'ON Data'!$E:$E,5),SUMIFS('ON Data'!L:L,'ON Data'!$E:$E,5))</f>
        <v>0</v>
      </c>
      <c r="H14" s="219">
        <f xml:space="preserve">
IF($A$4&lt;=12,SUMIFS('ON Data'!M:M,'ON Data'!$D:$D,$A$4,'ON Data'!$E:$E,5),SUMIFS('ON Data'!M:M,'ON Data'!$E:$E,5))</f>
        <v>0</v>
      </c>
      <c r="I14" s="219">
        <f xml:space="preserve">
IF($A$4&lt;=12,SUMIFS('ON Data'!N:N,'ON Data'!$D:$D,$A$4,'ON Data'!$E:$E,5),SUMIFS('ON Data'!N:N,'ON Data'!$E:$E,5))</f>
        <v>0</v>
      </c>
      <c r="J14" s="219">
        <f xml:space="preserve">
IF($A$4&lt;=12,SUMIFS('ON Data'!O:O,'ON Data'!$D:$D,$A$4,'ON Data'!$E:$E,5),SUMIFS('ON Data'!O:O,'ON Data'!$E:$E,5))</f>
        <v>0</v>
      </c>
      <c r="K14" s="219">
        <f xml:space="preserve">
IF($A$4&lt;=12,SUMIFS('ON Data'!P:P,'ON Data'!$D:$D,$A$4,'ON Data'!$E:$E,5),SUMIFS('ON Data'!P:P,'ON Data'!$E:$E,5))</f>
        <v>0</v>
      </c>
      <c r="L14" s="219">
        <f xml:space="preserve">
IF($A$4&lt;=12,SUMIFS('ON Data'!Q:Q,'ON Data'!$D:$D,$A$4,'ON Data'!$E:$E,5),SUMIFS('ON Data'!Q:Q,'ON Data'!$E:$E,5))</f>
        <v>0</v>
      </c>
      <c r="M14" s="219">
        <f xml:space="preserve">
IF($A$4&lt;=12,SUMIFS('ON Data'!R:R,'ON Data'!$D:$D,$A$4,'ON Data'!$E:$E,5),SUMIFS('ON Data'!R:R,'ON Data'!$E:$E,5))</f>
        <v>0</v>
      </c>
      <c r="N14" s="219">
        <f xml:space="preserve">
IF($A$4&lt;=12,SUMIFS('ON Data'!S:S,'ON Data'!$D:$D,$A$4,'ON Data'!$E:$E,5),SUMIFS('ON Data'!S:S,'ON Data'!$E:$E,5))</f>
        <v>0</v>
      </c>
      <c r="O14" s="219">
        <f xml:space="preserve">
IF($A$4&lt;=12,SUMIFS('ON Data'!T:T,'ON Data'!$D:$D,$A$4,'ON Data'!$E:$E,5),SUMIFS('ON Data'!T:T,'ON Data'!$E:$E,5))</f>
        <v>0</v>
      </c>
      <c r="P14" s="219">
        <f xml:space="preserve">
IF($A$4&lt;=12,SUMIFS('ON Data'!U:U,'ON Data'!$D:$D,$A$4,'ON Data'!$E:$E,5),SUMIFS('ON Data'!U:U,'ON Data'!$E:$E,5))</f>
        <v>0</v>
      </c>
      <c r="Q14" s="219">
        <f xml:space="preserve">
IF($A$4&lt;=12,SUMIFS('ON Data'!V:V,'ON Data'!$D:$D,$A$4,'ON Data'!$E:$E,5),SUMIFS('ON Data'!V:V,'ON Data'!$E:$E,5))</f>
        <v>0</v>
      </c>
      <c r="R14" s="219">
        <f xml:space="preserve">
IF($A$4&lt;=12,SUMIFS('ON Data'!W:W,'ON Data'!$D:$D,$A$4,'ON Data'!$E:$E,5),SUMIFS('ON Data'!W:W,'ON Data'!$E:$E,5))</f>
        <v>0</v>
      </c>
      <c r="S14" s="219">
        <f xml:space="preserve">
IF($A$4&lt;=12,SUMIFS('ON Data'!X:X,'ON Data'!$D:$D,$A$4,'ON Data'!$E:$E,5),SUMIFS('ON Data'!X:X,'ON Data'!$E:$E,5))</f>
        <v>0</v>
      </c>
      <c r="T14" s="219">
        <f xml:space="preserve">
IF($A$4&lt;=12,SUMIFS('ON Data'!Y:Y,'ON Data'!$D:$D,$A$4,'ON Data'!$E:$E,5),SUMIFS('ON Data'!Y:Y,'ON Data'!$E:$E,5))</f>
        <v>0</v>
      </c>
      <c r="U14" s="219">
        <f xml:space="preserve">
IF($A$4&lt;=12,SUMIFS('ON Data'!Z:Z,'ON Data'!$D:$D,$A$4,'ON Data'!$E:$E,5),SUMIFS('ON Data'!Z:Z,'ON Data'!$E:$E,5))</f>
        <v>0</v>
      </c>
      <c r="V14" s="219">
        <f xml:space="preserve">
IF($A$4&lt;=12,SUMIFS('ON Data'!AA:AA,'ON Data'!$D:$D,$A$4,'ON Data'!$E:$E,5),SUMIFS('ON Data'!AA:AA,'ON Data'!$E:$E,5))</f>
        <v>0</v>
      </c>
      <c r="W14" s="219">
        <f xml:space="preserve">
IF($A$4&lt;=12,SUMIFS('ON Data'!AB:AB,'ON Data'!$D:$D,$A$4,'ON Data'!$E:$E,5),SUMIFS('ON Data'!AB:AB,'ON Data'!$E:$E,5))</f>
        <v>0</v>
      </c>
      <c r="X14" s="219">
        <f xml:space="preserve">
IF($A$4&lt;=12,SUMIFS('ON Data'!AC:AC,'ON Data'!$D:$D,$A$4,'ON Data'!$E:$E,5),SUMIFS('ON Data'!AC:AC,'ON Data'!$E:$E,5))</f>
        <v>0</v>
      </c>
      <c r="Y14" s="219">
        <f xml:space="preserve">
IF($A$4&lt;=12,SUMIFS('ON Data'!AD:AD,'ON Data'!$D:$D,$A$4,'ON Data'!$E:$E,5),SUMIFS('ON Data'!AD:AD,'ON Data'!$E:$E,5))</f>
        <v>0</v>
      </c>
      <c r="Z14" s="219">
        <f xml:space="preserve">
IF($A$4&lt;=12,SUMIFS('ON Data'!AE:AE,'ON Data'!$D:$D,$A$4,'ON Data'!$E:$E,5),SUMIFS('ON Data'!AE:AE,'ON Data'!$E:$E,5))</f>
        <v>0</v>
      </c>
      <c r="AA14" s="219">
        <f xml:space="preserve">
IF($A$4&lt;=12,SUMIFS('ON Data'!AF:AF,'ON Data'!$D:$D,$A$4,'ON Data'!$E:$E,5),SUMIFS('ON Data'!AF:AF,'ON Data'!$E:$E,5))</f>
        <v>0</v>
      </c>
      <c r="AB14" s="219">
        <f xml:space="preserve">
IF($A$4&lt;=12,SUMIFS('ON Data'!AG:AG,'ON Data'!$D:$D,$A$4,'ON Data'!$E:$E,5),SUMIFS('ON Data'!AG:AG,'ON Data'!$E:$E,5))</f>
        <v>0</v>
      </c>
      <c r="AC14" s="219">
        <f xml:space="preserve">
IF($A$4&lt;=12,SUMIFS('ON Data'!AH:AH,'ON Data'!$D:$D,$A$4,'ON Data'!$E:$E,5),SUMIFS('ON Data'!AH:AH,'ON Data'!$E:$E,5))</f>
        <v>0</v>
      </c>
      <c r="AD14" s="219">
        <f xml:space="preserve">
IF($A$4&lt;=12,SUMIFS('ON Data'!AI:AI,'ON Data'!$D:$D,$A$4,'ON Data'!$E:$E,5),SUMIFS('ON Data'!AI:AI,'ON Data'!$E:$E,5))</f>
        <v>0</v>
      </c>
      <c r="AE14" s="219">
        <f xml:space="preserve">
IF($A$4&lt;=12,SUMIFS('ON Data'!AJ:AJ,'ON Data'!$D:$D,$A$4,'ON Data'!$E:$E,5),SUMIFS('ON Data'!AJ:AJ,'ON Data'!$E:$E,5))</f>
        <v>0</v>
      </c>
      <c r="AF14" s="219">
        <f xml:space="preserve">
IF($A$4&lt;=12,SUMIFS('ON Data'!AK:AK,'ON Data'!$D:$D,$A$4,'ON Data'!$E:$E,5),SUMIFS('ON Data'!AK:AK,'ON Data'!$E:$E,5))</f>
        <v>0</v>
      </c>
      <c r="AG14" s="219">
        <f xml:space="preserve">
IF($A$4&lt;=12,SUMIFS('ON Data'!AL:AL,'ON Data'!$D:$D,$A$4,'ON Data'!$E:$E,5),SUMIFS('ON Data'!AL:AL,'ON Data'!$E:$E,5))</f>
        <v>0</v>
      </c>
      <c r="AH14" s="446">
        <f xml:space="preserve">
IF($A$4&lt;=12,SUMIFS('ON Data'!AN:AN,'ON Data'!$D:$D,$A$4,'ON Data'!$E:$E,5),SUMIFS('ON Data'!AN:AN,'ON Data'!$E:$E,5))</f>
        <v>0</v>
      </c>
      <c r="AI14" s="455"/>
    </row>
    <row r="15" spans="1:35" x14ac:dyDescent="0.3">
      <c r="A15" s="137" t="s">
        <v>145</v>
      </c>
      <c r="B15" s="220"/>
      <c r="C15" s="221"/>
      <c r="D15" s="222"/>
      <c r="E15" s="222"/>
      <c r="F15" s="222"/>
      <c r="G15" s="222"/>
      <c r="H15" s="222"/>
      <c r="I15" s="222"/>
      <c r="J15" s="222"/>
      <c r="K15" s="222"/>
      <c r="L15" s="222"/>
      <c r="M15" s="222"/>
      <c r="N15" s="222"/>
      <c r="O15" s="222"/>
      <c r="P15" s="222"/>
      <c r="Q15" s="222"/>
      <c r="R15" s="222"/>
      <c r="S15" s="222"/>
      <c r="T15" s="222"/>
      <c r="U15" s="222"/>
      <c r="V15" s="222"/>
      <c r="W15" s="222"/>
      <c r="X15" s="222"/>
      <c r="Y15" s="222"/>
      <c r="Z15" s="222"/>
      <c r="AA15" s="222"/>
      <c r="AB15" s="222"/>
      <c r="AC15" s="222"/>
      <c r="AD15" s="222"/>
      <c r="AE15" s="222"/>
      <c r="AF15" s="222"/>
      <c r="AG15" s="222"/>
      <c r="AH15" s="447"/>
      <c r="AI15" s="455"/>
    </row>
    <row r="16" spans="1:35" x14ac:dyDescent="0.3">
      <c r="A16" s="199" t="s">
        <v>136</v>
      </c>
      <c r="B16" s="214">
        <f xml:space="preserve">
IF($A$4&lt;=12,SUMIFS('ON Data'!F:F,'ON Data'!$D:$D,$A$4,'ON Data'!$E:$E,7),SUMIFS('ON Data'!F:F,'ON Data'!$E:$E,7))</f>
        <v>0</v>
      </c>
      <c r="C16" s="215">
        <f xml:space="preserve">
IF($A$4&lt;=12,SUMIFS('ON Data'!G:G,'ON Data'!$D:$D,$A$4,'ON Data'!$E:$E,7),SUMIFS('ON Data'!G:G,'ON Data'!$E:$E,7))</f>
        <v>0</v>
      </c>
      <c r="D16" s="216">
        <f xml:space="preserve">
IF($A$4&lt;=12,SUMIFS('ON Data'!H:H,'ON Data'!$D:$D,$A$4,'ON Data'!$E:$E,7),SUMIFS('ON Data'!H:H,'ON Data'!$E:$E,7))</f>
        <v>0</v>
      </c>
      <c r="E16" s="216">
        <f xml:space="preserve">
IF($A$4&lt;=12,SUMIFS('ON Data'!I:I,'ON Data'!$D:$D,$A$4,'ON Data'!$E:$E,7),SUMIFS('ON Data'!I:I,'ON Data'!$E:$E,7))</f>
        <v>0</v>
      </c>
      <c r="F16" s="216">
        <f xml:space="preserve">
IF($A$4&lt;=12,SUMIFS('ON Data'!K:K,'ON Data'!$D:$D,$A$4,'ON Data'!$E:$E,7),SUMIFS('ON Data'!K:K,'ON Data'!$E:$E,7))</f>
        <v>0</v>
      </c>
      <c r="G16" s="216">
        <f xml:space="preserve">
IF($A$4&lt;=12,SUMIFS('ON Data'!L:L,'ON Data'!$D:$D,$A$4,'ON Data'!$E:$E,7),SUMIFS('ON Data'!L:L,'ON Data'!$E:$E,7))</f>
        <v>0</v>
      </c>
      <c r="H16" s="216">
        <f xml:space="preserve">
IF($A$4&lt;=12,SUMIFS('ON Data'!M:M,'ON Data'!$D:$D,$A$4,'ON Data'!$E:$E,7),SUMIFS('ON Data'!M:M,'ON Data'!$E:$E,7))</f>
        <v>0</v>
      </c>
      <c r="I16" s="216">
        <f xml:space="preserve">
IF($A$4&lt;=12,SUMIFS('ON Data'!N:N,'ON Data'!$D:$D,$A$4,'ON Data'!$E:$E,7),SUMIFS('ON Data'!N:N,'ON Data'!$E:$E,7))</f>
        <v>0</v>
      </c>
      <c r="J16" s="216">
        <f xml:space="preserve">
IF($A$4&lt;=12,SUMIFS('ON Data'!O:O,'ON Data'!$D:$D,$A$4,'ON Data'!$E:$E,7),SUMIFS('ON Data'!O:O,'ON Data'!$E:$E,7))</f>
        <v>0</v>
      </c>
      <c r="K16" s="216">
        <f xml:space="preserve">
IF($A$4&lt;=12,SUMIFS('ON Data'!P:P,'ON Data'!$D:$D,$A$4,'ON Data'!$E:$E,7),SUMIFS('ON Data'!P:P,'ON Data'!$E:$E,7))</f>
        <v>0</v>
      </c>
      <c r="L16" s="216">
        <f xml:space="preserve">
IF($A$4&lt;=12,SUMIFS('ON Data'!Q:Q,'ON Data'!$D:$D,$A$4,'ON Data'!$E:$E,7),SUMIFS('ON Data'!Q:Q,'ON Data'!$E:$E,7))</f>
        <v>0</v>
      </c>
      <c r="M16" s="216">
        <f xml:space="preserve">
IF($A$4&lt;=12,SUMIFS('ON Data'!R:R,'ON Data'!$D:$D,$A$4,'ON Data'!$E:$E,7),SUMIFS('ON Data'!R:R,'ON Data'!$E:$E,7))</f>
        <v>0</v>
      </c>
      <c r="N16" s="216">
        <f xml:space="preserve">
IF($A$4&lt;=12,SUMIFS('ON Data'!S:S,'ON Data'!$D:$D,$A$4,'ON Data'!$E:$E,7),SUMIFS('ON Data'!S:S,'ON Data'!$E:$E,7))</f>
        <v>0</v>
      </c>
      <c r="O16" s="216">
        <f xml:space="preserve">
IF($A$4&lt;=12,SUMIFS('ON Data'!T:T,'ON Data'!$D:$D,$A$4,'ON Data'!$E:$E,7),SUMIFS('ON Data'!T:T,'ON Data'!$E:$E,7))</f>
        <v>0</v>
      </c>
      <c r="P16" s="216">
        <f xml:space="preserve">
IF($A$4&lt;=12,SUMIFS('ON Data'!U:U,'ON Data'!$D:$D,$A$4,'ON Data'!$E:$E,7),SUMIFS('ON Data'!U:U,'ON Data'!$E:$E,7))</f>
        <v>0</v>
      </c>
      <c r="Q16" s="216">
        <f xml:space="preserve">
IF($A$4&lt;=12,SUMIFS('ON Data'!V:V,'ON Data'!$D:$D,$A$4,'ON Data'!$E:$E,7),SUMIFS('ON Data'!V:V,'ON Data'!$E:$E,7))</f>
        <v>0</v>
      </c>
      <c r="R16" s="216">
        <f xml:space="preserve">
IF($A$4&lt;=12,SUMIFS('ON Data'!W:W,'ON Data'!$D:$D,$A$4,'ON Data'!$E:$E,7),SUMIFS('ON Data'!W:W,'ON Data'!$E:$E,7))</f>
        <v>0</v>
      </c>
      <c r="S16" s="216">
        <f xml:space="preserve">
IF($A$4&lt;=12,SUMIFS('ON Data'!X:X,'ON Data'!$D:$D,$A$4,'ON Data'!$E:$E,7),SUMIFS('ON Data'!X:X,'ON Data'!$E:$E,7))</f>
        <v>0</v>
      </c>
      <c r="T16" s="216">
        <f xml:space="preserve">
IF($A$4&lt;=12,SUMIFS('ON Data'!Y:Y,'ON Data'!$D:$D,$A$4,'ON Data'!$E:$E,7),SUMIFS('ON Data'!Y:Y,'ON Data'!$E:$E,7))</f>
        <v>0</v>
      </c>
      <c r="U16" s="216">
        <f xml:space="preserve">
IF($A$4&lt;=12,SUMIFS('ON Data'!Z:Z,'ON Data'!$D:$D,$A$4,'ON Data'!$E:$E,7),SUMIFS('ON Data'!Z:Z,'ON Data'!$E:$E,7))</f>
        <v>0</v>
      </c>
      <c r="V16" s="216">
        <f xml:space="preserve">
IF($A$4&lt;=12,SUMIFS('ON Data'!AA:AA,'ON Data'!$D:$D,$A$4,'ON Data'!$E:$E,7),SUMIFS('ON Data'!AA:AA,'ON Data'!$E:$E,7))</f>
        <v>0</v>
      </c>
      <c r="W16" s="216">
        <f xml:space="preserve">
IF($A$4&lt;=12,SUMIFS('ON Data'!AB:AB,'ON Data'!$D:$D,$A$4,'ON Data'!$E:$E,7),SUMIFS('ON Data'!AB:AB,'ON Data'!$E:$E,7))</f>
        <v>0</v>
      </c>
      <c r="X16" s="216">
        <f xml:space="preserve">
IF($A$4&lt;=12,SUMIFS('ON Data'!AC:AC,'ON Data'!$D:$D,$A$4,'ON Data'!$E:$E,7),SUMIFS('ON Data'!AC:AC,'ON Data'!$E:$E,7))</f>
        <v>0</v>
      </c>
      <c r="Y16" s="216">
        <f xml:space="preserve">
IF($A$4&lt;=12,SUMIFS('ON Data'!AD:AD,'ON Data'!$D:$D,$A$4,'ON Data'!$E:$E,7),SUMIFS('ON Data'!AD:AD,'ON Data'!$E:$E,7))</f>
        <v>0</v>
      </c>
      <c r="Z16" s="216">
        <f xml:space="preserve">
IF($A$4&lt;=12,SUMIFS('ON Data'!AE:AE,'ON Data'!$D:$D,$A$4,'ON Data'!$E:$E,7),SUMIFS('ON Data'!AE:AE,'ON Data'!$E:$E,7))</f>
        <v>0</v>
      </c>
      <c r="AA16" s="216">
        <f xml:space="preserve">
IF($A$4&lt;=12,SUMIFS('ON Data'!AF:AF,'ON Data'!$D:$D,$A$4,'ON Data'!$E:$E,7),SUMIFS('ON Data'!AF:AF,'ON Data'!$E:$E,7))</f>
        <v>0</v>
      </c>
      <c r="AB16" s="216">
        <f xml:space="preserve">
IF($A$4&lt;=12,SUMIFS('ON Data'!AG:AG,'ON Data'!$D:$D,$A$4,'ON Data'!$E:$E,7),SUMIFS('ON Data'!AG:AG,'ON Data'!$E:$E,7))</f>
        <v>0</v>
      </c>
      <c r="AC16" s="216">
        <f xml:space="preserve">
IF($A$4&lt;=12,SUMIFS('ON Data'!AH:AH,'ON Data'!$D:$D,$A$4,'ON Data'!$E:$E,7),SUMIFS('ON Data'!AH:AH,'ON Data'!$E:$E,7))</f>
        <v>0</v>
      </c>
      <c r="AD16" s="216">
        <f xml:space="preserve">
IF($A$4&lt;=12,SUMIFS('ON Data'!AI:AI,'ON Data'!$D:$D,$A$4,'ON Data'!$E:$E,7),SUMIFS('ON Data'!AI:AI,'ON Data'!$E:$E,7))</f>
        <v>0</v>
      </c>
      <c r="AE16" s="216">
        <f xml:space="preserve">
IF($A$4&lt;=12,SUMIFS('ON Data'!AJ:AJ,'ON Data'!$D:$D,$A$4,'ON Data'!$E:$E,7),SUMIFS('ON Data'!AJ:AJ,'ON Data'!$E:$E,7))</f>
        <v>0</v>
      </c>
      <c r="AF16" s="216">
        <f xml:space="preserve">
IF($A$4&lt;=12,SUMIFS('ON Data'!AK:AK,'ON Data'!$D:$D,$A$4,'ON Data'!$E:$E,7),SUMIFS('ON Data'!AK:AK,'ON Data'!$E:$E,7))</f>
        <v>0</v>
      </c>
      <c r="AG16" s="216">
        <f xml:space="preserve">
IF($A$4&lt;=12,SUMIFS('ON Data'!AL:AL,'ON Data'!$D:$D,$A$4,'ON Data'!$E:$E,7),SUMIFS('ON Data'!AL:AL,'ON Data'!$E:$E,7))</f>
        <v>0</v>
      </c>
      <c r="AH16" s="445">
        <f xml:space="preserve">
IF($A$4&lt;=12,SUMIFS('ON Data'!AN:AN,'ON Data'!$D:$D,$A$4,'ON Data'!$E:$E,7),SUMIFS('ON Data'!AN:AN,'ON Data'!$E:$E,7))</f>
        <v>0</v>
      </c>
      <c r="AI16" s="455"/>
    </row>
    <row r="17" spans="1:35" x14ac:dyDescent="0.3">
      <c r="A17" s="199" t="s">
        <v>137</v>
      </c>
      <c r="B17" s="214">
        <f xml:space="preserve">
IF($A$4&lt;=12,SUMIFS('ON Data'!F:F,'ON Data'!$D:$D,$A$4,'ON Data'!$E:$E,8),SUMIFS('ON Data'!F:F,'ON Data'!$E:$E,8))</f>
        <v>0</v>
      </c>
      <c r="C17" s="215">
        <f xml:space="preserve">
IF($A$4&lt;=12,SUMIFS('ON Data'!G:G,'ON Data'!$D:$D,$A$4,'ON Data'!$E:$E,8),SUMIFS('ON Data'!G:G,'ON Data'!$E:$E,8))</f>
        <v>0</v>
      </c>
      <c r="D17" s="216">
        <f xml:space="preserve">
IF($A$4&lt;=12,SUMIFS('ON Data'!H:H,'ON Data'!$D:$D,$A$4,'ON Data'!$E:$E,8),SUMIFS('ON Data'!H:H,'ON Data'!$E:$E,8))</f>
        <v>0</v>
      </c>
      <c r="E17" s="216">
        <f xml:space="preserve">
IF($A$4&lt;=12,SUMIFS('ON Data'!I:I,'ON Data'!$D:$D,$A$4,'ON Data'!$E:$E,8),SUMIFS('ON Data'!I:I,'ON Data'!$E:$E,8))</f>
        <v>0</v>
      </c>
      <c r="F17" s="216">
        <f xml:space="preserve">
IF($A$4&lt;=12,SUMIFS('ON Data'!K:K,'ON Data'!$D:$D,$A$4,'ON Data'!$E:$E,8),SUMIFS('ON Data'!K:K,'ON Data'!$E:$E,8))</f>
        <v>0</v>
      </c>
      <c r="G17" s="216">
        <f xml:space="preserve">
IF($A$4&lt;=12,SUMIFS('ON Data'!L:L,'ON Data'!$D:$D,$A$4,'ON Data'!$E:$E,8),SUMIFS('ON Data'!L:L,'ON Data'!$E:$E,8))</f>
        <v>0</v>
      </c>
      <c r="H17" s="216">
        <f xml:space="preserve">
IF($A$4&lt;=12,SUMIFS('ON Data'!M:M,'ON Data'!$D:$D,$A$4,'ON Data'!$E:$E,8),SUMIFS('ON Data'!M:M,'ON Data'!$E:$E,8))</f>
        <v>0</v>
      </c>
      <c r="I17" s="216">
        <f xml:space="preserve">
IF($A$4&lt;=12,SUMIFS('ON Data'!N:N,'ON Data'!$D:$D,$A$4,'ON Data'!$E:$E,8),SUMIFS('ON Data'!N:N,'ON Data'!$E:$E,8))</f>
        <v>0</v>
      </c>
      <c r="J17" s="216">
        <f xml:space="preserve">
IF($A$4&lt;=12,SUMIFS('ON Data'!O:O,'ON Data'!$D:$D,$A$4,'ON Data'!$E:$E,8),SUMIFS('ON Data'!O:O,'ON Data'!$E:$E,8))</f>
        <v>0</v>
      </c>
      <c r="K17" s="216">
        <f xml:space="preserve">
IF($A$4&lt;=12,SUMIFS('ON Data'!P:P,'ON Data'!$D:$D,$A$4,'ON Data'!$E:$E,8),SUMIFS('ON Data'!P:P,'ON Data'!$E:$E,8))</f>
        <v>0</v>
      </c>
      <c r="L17" s="216">
        <f xml:space="preserve">
IF($A$4&lt;=12,SUMIFS('ON Data'!Q:Q,'ON Data'!$D:$D,$A$4,'ON Data'!$E:$E,8),SUMIFS('ON Data'!Q:Q,'ON Data'!$E:$E,8))</f>
        <v>0</v>
      </c>
      <c r="M17" s="216">
        <f xml:space="preserve">
IF($A$4&lt;=12,SUMIFS('ON Data'!R:R,'ON Data'!$D:$D,$A$4,'ON Data'!$E:$E,8),SUMIFS('ON Data'!R:R,'ON Data'!$E:$E,8))</f>
        <v>0</v>
      </c>
      <c r="N17" s="216">
        <f xml:space="preserve">
IF($A$4&lt;=12,SUMIFS('ON Data'!S:S,'ON Data'!$D:$D,$A$4,'ON Data'!$E:$E,8),SUMIFS('ON Data'!S:S,'ON Data'!$E:$E,8))</f>
        <v>0</v>
      </c>
      <c r="O17" s="216">
        <f xml:space="preserve">
IF($A$4&lt;=12,SUMIFS('ON Data'!T:T,'ON Data'!$D:$D,$A$4,'ON Data'!$E:$E,8),SUMIFS('ON Data'!T:T,'ON Data'!$E:$E,8))</f>
        <v>0</v>
      </c>
      <c r="P17" s="216">
        <f xml:space="preserve">
IF($A$4&lt;=12,SUMIFS('ON Data'!U:U,'ON Data'!$D:$D,$A$4,'ON Data'!$E:$E,8),SUMIFS('ON Data'!U:U,'ON Data'!$E:$E,8))</f>
        <v>0</v>
      </c>
      <c r="Q17" s="216">
        <f xml:space="preserve">
IF($A$4&lt;=12,SUMIFS('ON Data'!V:V,'ON Data'!$D:$D,$A$4,'ON Data'!$E:$E,8),SUMIFS('ON Data'!V:V,'ON Data'!$E:$E,8))</f>
        <v>0</v>
      </c>
      <c r="R17" s="216">
        <f xml:space="preserve">
IF($A$4&lt;=12,SUMIFS('ON Data'!W:W,'ON Data'!$D:$D,$A$4,'ON Data'!$E:$E,8),SUMIFS('ON Data'!W:W,'ON Data'!$E:$E,8))</f>
        <v>0</v>
      </c>
      <c r="S17" s="216">
        <f xml:space="preserve">
IF($A$4&lt;=12,SUMIFS('ON Data'!X:X,'ON Data'!$D:$D,$A$4,'ON Data'!$E:$E,8),SUMIFS('ON Data'!X:X,'ON Data'!$E:$E,8))</f>
        <v>0</v>
      </c>
      <c r="T17" s="216">
        <f xml:space="preserve">
IF($A$4&lt;=12,SUMIFS('ON Data'!Y:Y,'ON Data'!$D:$D,$A$4,'ON Data'!$E:$E,8),SUMIFS('ON Data'!Y:Y,'ON Data'!$E:$E,8))</f>
        <v>0</v>
      </c>
      <c r="U17" s="216">
        <f xml:space="preserve">
IF($A$4&lt;=12,SUMIFS('ON Data'!Z:Z,'ON Data'!$D:$D,$A$4,'ON Data'!$E:$E,8),SUMIFS('ON Data'!Z:Z,'ON Data'!$E:$E,8))</f>
        <v>0</v>
      </c>
      <c r="V17" s="216">
        <f xml:space="preserve">
IF($A$4&lt;=12,SUMIFS('ON Data'!AA:AA,'ON Data'!$D:$D,$A$4,'ON Data'!$E:$E,8),SUMIFS('ON Data'!AA:AA,'ON Data'!$E:$E,8))</f>
        <v>0</v>
      </c>
      <c r="W17" s="216">
        <f xml:space="preserve">
IF($A$4&lt;=12,SUMIFS('ON Data'!AB:AB,'ON Data'!$D:$D,$A$4,'ON Data'!$E:$E,8),SUMIFS('ON Data'!AB:AB,'ON Data'!$E:$E,8))</f>
        <v>0</v>
      </c>
      <c r="X17" s="216">
        <f xml:space="preserve">
IF($A$4&lt;=12,SUMIFS('ON Data'!AC:AC,'ON Data'!$D:$D,$A$4,'ON Data'!$E:$E,8),SUMIFS('ON Data'!AC:AC,'ON Data'!$E:$E,8))</f>
        <v>0</v>
      </c>
      <c r="Y17" s="216">
        <f xml:space="preserve">
IF($A$4&lt;=12,SUMIFS('ON Data'!AD:AD,'ON Data'!$D:$D,$A$4,'ON Data'!$E:$E,8),SUMIFS('ON Data'!AD:AD,'ON Data'!$E:$E,8))</f>
        <v>0</v>
      </c>
      <c r="Z17" s="216">
        <f xml:space="preserve">
IF($A$4&lt;=12,SUMIFS('ON Data'!AE:AE,'ON Data'!$D:$D,$A$4,'ON Data'!$E:$E,8),SUMIFS('ON Data'!AE:AE,'ON Data'!$E:$E,8))</f>
        <v>0</v>
      </c>
      <c r="AA17" s="216">
        <f xml:space="preserve">
IF($A$4&lt;=12,SUMIFS('ON Data'!AF:AF,'ON Data'!$D:$D,$A$4,'ON Data'!$E:$E,8),SUMIFS('ON Data'!AF:AF,'ON Data'!$E:$E,8))</f>
        <v>0</v>
      </c>
      <c r="AB17" s="216">
        <f xml:space="preserve">
IF($A$4&lt;=12,SUMIFS('ON Data'!AG:AG,'ON Data'!$D:$D,$A$4,'ON Data'!$E:$E,8),SUMIFS('ON Data'!AG:AG,'ON Data'!$E:$E,8))</f>
        <v>0</v>
      </c>
      <c r="AC17" s="216">
        <f xml:space="preserve">
IF($A$4&lt;=12,SUMIFS('ON Data'!AH:AH,'ON Data'!$D:$D,$A$4,'ON Data'!$E:$E,8),SUMIFS('ON Data'!AH:AH,'ON Data'!$E:$E,8))</f>
        <v>0</v>
      </c>
      <c r="AD17" s="216">
        <f xml:space="preserve">
IF($A$4&lt;=12,SUMIFS('ON Data'!AI:AI,'ON Data'!$D:$D,$A$4,'ON Data'!$E:$E,8),SUMIFS('ON Data'!AI:AI,'ON Data'!$E:$E,8))</f>
        <v>0</v>
      </c>
      <c r="AE17" s="216">
        <f xml:space="preserve">
IF($A$4&lt;=12,SUMIFS('ON Data'!AJ:AJ,'ON Data'!$D:$D,$A$4,'ON Data'!$E:$E,8),SUMIFS('ON Data'!AJ:AJ,'ON Data'!$E:$E,8))</f>
        <v>0</v>
      </c>
      <c r="AF17" s="216">
        <f xml:space="preserve">
IF($A$4&lt;=12,SUMIFS('ON Data'!AK:AK,'ON Data'!$D:$D,$A$4,'ON Data'!$E:$E,8),SUMIFS('ON Data'!AK:AK,'ON Data'!$E:$E,8))</f>
        <v>0</v>
      </c>
      <c r="AG17" s="216">
        <f xml:space="preserve">
IF($A$4&lt;=12,SUMIFS('ON Data'!AL:AL,'ON Data'!$D:$D,$A$4,'ON Data'!$E:$E,8),SUMIFS('ON Data'!AL:AL,'ON Data'!$E:$E,8))</f>
        <v>0</v>
      </c>
      <c r="AH17" s="445">
        <f xml:space="preserve">
IF($A$4&lt;=12,SUMIFS('ON Data'!AN:AN,'ON Data'!$D:$D,$A$4,'ON Data'!$E:$E,8),SUMIFS('ON Data'!AN:AN,'ON Data'!$E:$E,8))</f>
        <v>0</v>
      </c>
      <c r="AI17" s="455"/>
    </row>
    <row r="18" spans="1:35" x14ac:dyDescent="0.3">
      <c r="A18" s="199" t="s">
        <v>138</v>
      </c>
      <c r="B18" s="214">
        <f xml:space="preserve">
B19-B16-B17</f>
        <v>617627</v>
      </c>
      <c r="C18" s="215">
        <f t="shared" ref="C18:G18" si="0" xml:space="preserve">
C19-C16-C17</f>
        <v>0</v>
      </c>
      <c r="D18" s="216">
        <f t="shared" si="0"/>
        <v>0</v>
      </c>
      <c r="E18" s="216">
        <f t="shared" si="0"/>
        <v>0</v>
      </c>
      <c r="F18" s="216">
        <f t="shared" si="0"/>
        <v>469113</v>
      </c>
      <c r="G18" s="216">
        <f t="shared" si="0"/>
        <v>0</v>
      </c>
      <c r="H18" s="216">
        <f t="shared" ref="H18:AH18" si="1" xml:space="preserve">
H19-H16-H17</f>
        <v>0</v>
      </c>
      <c r="I18" s="216">
        <f t="shared" si="1"/>
        <v>0</v>
      </c>
      <c r="J18" s="216">
        <f t="shared" si="1"/>
        <v>0</v>
      </c>
      <c r="K18" s="216">
        <f t="shared" si="1"/>
        <v>0</v>
      </c>
      <c r="L18" s="216">
        <f t="shared" si="1"/>
        <v>0</v>
      </c>
      <c r="M18" s="216">
        <f t="shared" si="1"/>
        <v>0</v>
      </c>
      <c r="N18" s="216">
        <f t="shared" si="1"/>
        <v>0</v>
      </c>
      <c r="O18" s="216">
        <f t="shared" si="1"/>
        <v>0</v>
      </c>
      <c r="P18" s="216">
        <f t="shared" si="1"/>
        <v>0</v>
      </c>
      <c r="Q18" s="216">
        <f t="shared" si="1"/>
        <v>0</v>
      </c>
      <c r="R18" s="216">
        <f t="shared" si="1"/>
        <v>0</v>
      </c>
      <c r="S18" s="216">
        <f t="shared" si="1"/>
        <v>0</v>
      </c>
      <c r="T18" s="216">
        <f t="shared" si="1"/>
        <v>0</v>
      </c>
      <c r="U18" s="216">
        <f t="shared" si="1"/>
        <v>0</v>
      </c>
      <c r="V18" s="216">
        <f t="shared" si="1"/>
        <v>0</v>
      </c>
      <c r="W18" s="216">
        <f t="shared" si="1"/>
        <v>0</v>
      </c>
      <c r="X18" s="216">
        <f t="shared" si="1"/>
        <v>0</v>
      </c>
      <c r="Y18" s="216">
        <f t="shared" si="1"/>
        <v>0</v>
      </c>
      <c r="Z18" s="216">
        <f t="shared" si="1"/>
        <v>0</v>
      </c>
      <c r="AA18" s="216">
        <f t="shared" si="1"/>
        <v>0</v>
      </c>
      <c r="AB18" s="216">
        <f t="shared" si="1"/>
        <v>0</v>
      </c>
      <c r="AC18" s="216">
        <f t="shared" si="1"/>
        <v>0</v>
      </c>
      <c r="AD18" s="216">
        <f t="shared" si="1"/>
        <v>148514</v>
      </c>
      <c r="AE18" s="216">
        <f t="shared" si="1"/>
        <v>0</v>
      </c>
      <c r="AF18" s="216">
        <f t="shared" si="1"/>
        <v>0</v>
      </c>
      <c r="AG18" s="216">
        <f t="shared" si="1"/>
        <v>0</v>
      </c>
      <c r="AH18" s="445">
        <f t="shared" si="1"/>
        <v>0</v>
      </c>
      <c r="AI18" s="455"/>
    </row>
    <row r="19" spans="1:35" ht="15" thickBot="1" x14ac:dyDescent="0.35">
      <c r="A19" s="200" t="s">
        <v>139</v>
      </c>
      <c r="B19" s="223">
        <f xml:space="preserve">
IF($A$4&lt;=12,SUMIFS('ON Data'!F:F,'ON Data'!$D:$D,$A$4,'ON Data'!$E:$E,9),SUMIFS('ON Data'!F:F,'ON Data'!$E:$E,9))</f>
        <v>617627</v>
      </c>
      <c r="C19" s="224">
        <f xml:space="preserve">
IF($A$4&lt;=12,SUMIFS('ON Data'!G:G,'ON Data'!$D:$D,$A$4,'ON Data'!$E:$E,9),SUMIFS('ON Data'!G:G,'ON Data'!$E:$E,9))</f>
        <v>0</v>
      </c>
      <c r="D19" s="225">
        <f xml:space="preserve">
IF($A$4&lt;=12,SUMIFS('ON Data'!H:H,'ON Data'!$D:$D,$A$4,'ON Data'!$E:$E,9),SUMIFS('ON Data'!H:H,'ON Data'!$E:$E,9))</f>
        <v>0</v>
      </c>
      <c r="E19" s="225">
        <f xml:space="preserve">
IF($A$4&lt;=12,SUMIFS('ON Data'!I:I,'ON Data'!$D:$D,$A$4,'ON Data'!$E:$E,9),SUMIFS('ON Data'!I:I,'ON Data'!$E:$E,9))</f>
        <v>0</v>
      </c>
      <c r="F19" s="225">
        <f xml:space="preserve">
IF($A$4&lt;=12,SUMIFS('ON Data'!K:K,'ON Data'!$D:$D,$A$4,'ON Data'!$E:$E,9),SUMIFS('ON Data'!K:K,'ON Data'!$E:$E,9))</f>
        <v>469113</v>
      </c>
      <c r="G19" s="225">
        <f xml:space="preserve">
IF($A$4&lt;=12,SUMIFS('ON Data'!L:L,'ON Data'!$D:$D,$A$4,'ON Data'!$E:$E,9),SUMIFS('ON Data'!L:L,'ON Data'!$E:$E,9))</f>
        <v>0</v>
      </c>
      <c r="H19" s="225">
        <f xml:space="preserve">
IF($A$4&lt;=12,SUMIFS('ON Data'!M:M,'ON Data'!$D:$D,$A$4,'ON Data'!$E:$E,9),SUMIFS('ON Data'!M:M,'ON Data'!$E:$E,9))</f>
        <v>0</v>
      </c>
      <c r="I19" s="225">
        <f xml:space="preserve">
IF($A$4&lt;=12,SUMIFS('ON Data'!N:N,'ON Data'!$D:$D,$A$4,'ON Data'!$E:$E,9),SUMIFS('ON Data'!N:N,'ON Data'!$E:$E,9))</f>
        <v>0</v>
      </c>
      <c r="J19" s="225">
        <f xml:space="preserve">
IF($A$4&lt;=12,SUMIFS('ON Data'!O:O,'ON Data'!$D:$D,$A$4,'ON Data'!$E:$E,9),SUMIFS('ON Data'!O:O,'ON Data'!$E:$E,9))</f>
        <v>0</v>
      </c>
      <c r="K19" s="225">
        <f xml:space="preserve">
IF($A$4&lt;=12,SUMIFS('ON Data'!P:P,'ON Data'!$D:$D,$A$4,'ON Data'!$E:$E,9),SUMIFS('ON Data'!P:P,'ON Data'!$E:$E,9))</f>
        <v>0</v>
      </c>
      <c r="L19" s="225">
        <f xml:space="preserve">
IF($A$4&lt;=12,SUMIFS('ON Data'!Q:Q,'ON Data'!$D:$D,$A$4,'ON Data'!$E:$E,9),SUMIFS('ON Data'!Q:Q,'ON Data'!$E:$E,9))</f>
        <v>0</v>
      </c>
      <c r="M19" s="225">
        <f xml:space="preserve">
IF($A$4&lt;=12,SUMIFS('ON Data'!R:R,'ON Data'!$D:$D,$A$4,'ON Data'!$E:$E,9),SUMIFS('ON Data'!R:R,'ON Data'!$E:$E,9))</f>
        <v>0</v>
      </c>
      <c r="N19" s="225">
        <f xml:space="preserve">
IF($A$4&lt;=12,SUMIFS('ON Data'!S:S,'ON Data'!$D:$D,$A$4,'ON Data'!$E:$E,9),SUMIFS('ON Data'!S:S,'ON Data'!$E:$E,9))</f>
        <v>0</v>
      </c>
      <c r="O19" s="225">
        <f xml:space="preserve">
IF($A$4&lt;=12,SUMIFS('ON Data'!T:T,'ON Data'!$D:$D,$A$4,'ON Data'!$E:$E,9),SUMIFS('ON Data'!T:T,'ON Data'!$E:$E,9))</f>
        <v>0</v>
      </c>
      <c r="P19" s="225">
        <f xml:space="preserve">
IF($A$4&lt;=12,SUMIFS('ON Data'!U:U,'ON Data'!$D:$D,$A$4,'ON Data'!$E:$E,9),SUMIFS('ON Data'!U:U,'ON Data'!$E:$E,9))</f>
        <v>0</v>
      </c>
      <c r="Q19" s="225">
        <f xml:space="preserve">
IF($A$4&lt;=12,SUMIFS('ON Data'!V:V,'ON Data'!$D:$D,$A$4,'ON Data'!$E:$E,9),SUMIFS('ON Data'!V:V,'ON Data'!$E:$E,9))</f>
        <v>0</v>
      </c>
      <c r="R19" s="225">
        <f xml:space="preserve">
IF($A$4&lt;=12,SUMIFS('ON Data'!W:W,'ON Data'!$D:$D,$A$4,'ON Data'!$E:$E,9),SUMIFS('ON Data'!W:W,'ON Data'!$E:$E,9))</f>
        <v>0</v>
      </c>
      <c r="S19" s="225">
        <f xml:space="preserve">
IF($A$4&lt;=12,SUMIFS('ON Data'!X:X,'ON Data'!$D:$D,$A$4,'ON Data'!$E:$E,9),SUMIFS('ON Data'!X:X,'ON Data'!$E:$E,9))</f>
        <v>0</v>
      </c>
      <c r="T19" s="225">
        <f xml:space="preserve">
IF($A$4&lt;=12,SUMIFS('ON Data'!Y:Y,'ON Data'!$D:$D,$A$4,'ON Data'!$E:$E,9),SUMIFS('ON Data'!Y:Y,'ON Data'!$E:$E,9))</f>
        <v>0</v>
      </c>
      <c r="U19" s="225">
        <f xml:space="preserve">
IF($A$4&lt;=12,SUMIFS('ON Data'!Z:Z,'ON Data'!$D:$D,$A$4,'ON Data'!$E:$E,9),SUMIFS('ON Data'!Z:Z,'ON Data'!$E:$E,9))</f>
        <v>0</v>
      </c>
      <c r="V19" s="225">
        <f xml:space="preserve">
IF($A$4&lt;=12,SUMIFS('ON Data'!AA:AA,'ON Data'!$D:$D,$A$4,'ON Data'!$E:$E,9),SUMIFS('ON Data'!AA:AA,'ON Data'!$E:$E,9))</f>
        <v>0</v>
      </c>
      <c r="W19" s="225">
        <f xml:space="preserve">
IF($A$4&lt;=12,SUMIFS('ON Data'!AB:AB,'ON Data'!$D:$D,$A$4,'ON Data'!$E:$E,9),SUMIFS('ON Data'!AB:AB,'ON Data'!$E:$E,9))</f>
        <v>0</v>
      </c>
      <c r="X19" s="225">
        <f xml:space="preserve">
IF($A$4&lt;=12,SUMIFS('ON Data'!AC:AC,'ON Data'!$D:$D,$A$4,'ON Data'!$E:$E,9),SUMIFS('ON Data'!AC:AC,'ON Data'!$E:$E,9))</f>
        <v>0</v>
      </c>
      <c r="Y19" s="225">
        <f xml:space="preserve">
IF($A$4&lt;=12,SUMIFS('ON Data'!AD:AD,'ON Data'!$D:$D,$A$4,'ON Data'!$E:$E,9),SUMIFS('ON Data'!AD:AD,'ON Data'!$E:$E,9))</f>
        <v>0</v>
      </c>
      <c r="Z19" s="225">
        <f xml:space="preserve">
IF($A$4&lt;=12,SUMIFS('ON Data'!AE:AE,'ON Data'!$D:$D,$A$4,'ON Data'!$E:$E,9),SUMIFS('ON Data'!AE:AE,'ON Data'!$E:$E,9))</f>
        <v>0</v>
      </c>
      <c r="AA19" s="225">
        <f xml:space="preserve">
IF($A$4&lt;=12,SUMIFS('ON Data'!AF:AF,'ON Data'!$D:$D,$A$4,'ON Data'!$E:$E,9),SUMIFS('ON Data'!AF:AF,'ON Data'!$E:$E,9))</f>
        <v>0</v>
      </c>
      <c r="AB19" s="225">
        <f xml:space="preserve">
IF($A$4&lt;=12,SUMIFS('ON Data'!AG:AG,'ON Data'!$D:$D,$A$4,'ON Data'!$E:$E,9),SUMIFS('ON Data'!AG:AG,'ON Data'!$E:$E,9))</f>
        <v>0</v>
      </c>
      <c r="AC19" s="225">
        <f xml:space="preserve">
IF($A$4&lt;=12,SUMIFS('ON Data'!AH:AH,'ON Data'!$D:$D,$A$4,'ON Data'!$E:$E,9),SUMIFS('ON Data'!AH:AH,'ON Data'!$E:$E,9))</f>
        <v>0</v>
      </c>
      <c r="AD19" s="225">
        <f xml:space="preserve">
IF($A$4&lt;=12,SUMIFS('ON Data'!AI:AI,'ON Data'!$D:$D,$A$4,'ON Data'!$E:$E,9),SUMIFS('ON Data'!AI:AI,'ON Data'!$E:$E,9))</f>
        <v>148514</v>
      </c>
      <c r="AE19" s="225">
        <f xml:space="preserve">
IF($A$4&lt;=12,SUMIFS('ON Data'!AJ:AJ,'ON Data'!$D:$D,$A$4,'ON Data'!$E:$E,9),SUMIFS('ON Data'!AJ:AJ,'ON Data'!$E:$E,9))</f>
        <v>0</v>
      </c>
      <c r="AF19" s="225">
        <f xml:space="preserve">
IF($A$4&lt;=12,SUMIFS('ON Data'!AK:AK,'ON Data'!$D:$D,$A$4,'ON Data'!$E:$E,9),SUMIFS('ON Data'!AK:AK,'ON Data'!$E:$E,9))</f>
        <v>0</v>
      </c>
      <c r="AG19" s="225">
        <f xml:space="preserve">
IF($A$4&lt;=12,SUMIFS('ON Data'!AL:AL,'ON Data'!$D:$D,$A$4,'ON Data'!$E:$E,9),SUMIFS('ON Data'!AL:AL,'ON Data'!$E:$E,9))</f>
        <v>0</v>
      </c>
      <c r="AH19" s="448">
        <f xml:space="preserve">
IF($A$4&lt;=12,SUMIFS('ON Data'!AN:AN,'ON Data'!$D:$D,$A$4,'ON Data'!$E:$E,9),SUMIFS('ON Data'!AN:AN,'ON Data'!$E:$E,9))</f>
        <v>0</v>
      </c>
      <c r="AI19" s="455"/>
    </row>
    <row r="20" spans="1:35" ht="15" collapsed="1" thickBot="1" x14ac:dyDescent="0.35">
      <c r="A20" s="201" t="s">
        <v>58</v>
      </c>
      <c r="B20" s="226">
        <f xml:space="preserve">
IF($A$4&lt;=12,SUMIFS('ON Data'!F:F,'ON Data'!$D:$D,$A$4,'ON Data'!$E:$E,6),SUMIFS('ON Data'!F:F,'ON Data'!$E:$E,6))</f>
        <v>11767367</v>
      </c>
      <c r="C20" s="227">
        <f xml:space="preserve">
IF($A$4&lt;=12,SUMIFS('ON Data'!G:G,'ON Data'!$D:$D,$A$4,'ON Data'!$E:$E,6),SUMIFS('ON Data'!G:G,'ON Data'!$E:$E,6))</f>
        <v>0</v>
      </c>
      <c r="D20" s="228">
        <f xml:space="preserve">
IF($A$4&lt;=12,SUMIFS('ON Data'!H:H,'ON Data'!$D:$D,$A$4,'ON Data'!$E:$E,6),SUMIFS('ON Data'!H:H,'ON Data'!$E:$E,6))</f>
        <v>76675</v>
      </c>
      <c r="E20" s="228">
        <f xml:space="preserve">
IF($A$4&lt;=12,SUMIFS('ON Data'!I:I,'ON Data'!$D:$D,$A$4,'ON Data'!$E:$E,6),SUMIFS('ON Data'!I:I,'ON Data'!$E:$E,6))</f>
        <v>0</v>
      </c>
      <c r="F20" s="228">
        <f xml:space="preserve">
IF($A$4&lt;=12,SUMIFS('ON Data'!K:K,'ON Data'!$D:$D,$A$4,'ON Data'!$E:$E,6),SUMIFS('ON Data'!K:K,'ON Data'!$E:$E,6))</f>
        <v>9449103</v>
      </c>
      <c r="G20" s="228">
        <f xml:space="preserve">
IF($A$4&lt;=12,SUMIFS('ON Data'!L:L,'ON Data'!$D:$D,$A$4,'ON Data'!$E:$E,6),SUMIFS('ON Data'!L:L,'ON Data'!$E:$E,6))</f>
        <v>0</v>
      </c>
      <c r="H20" s="228">
        <f xml:space="preserve">
IF($A$4&lt;=12,SUMIFS('ON Data'!M:M,'ON Data'!$D:$D,$A$4,'ON Data'!$E:$E,6),SUMIFS('ON Data'!M:M,'ON Data'!$E:$E,6))</f>
        <v>0</v>
      </c>
      <c r="I20" s="228">
        <f xml:space="preserve">
IF($A$4&lt;=12,SUMIFS('ON Data'!N:N,'ON Data'!$D:$D,$A$4,'ON Data'!$E:$E,6),SUMIFS('ON Data'!N:N,'ON Data'!$E:$E,6))</f>
        <v>0</v>
      </c>
      <c r="J20" s="228">
        <f xml:space="preserve">
IF($A$4&lt;=12,SUMIFS('ON Data'!O:O,'ON Data'!$D:$D,$A$4,'ON Data'!$E:$E,6),SUMIFS('ON Data'!O:O,'ON Data'!$E:$E,6))</f>
        <v>0</v>
      </c>
      <c r="K20" s="228">
        <f xml:space="preserve">
IF($A$4&lt;=12,SUMIFS('ON Data'!P:P,'ON Data'!$D:$D,$A$4,'ON Data'!$E:$E,6),SUMIFS('ON Data'!P:P,'ON Data'!$E:$E,6))</f>
        <v>0</v>
      </c>
      <c r="L20" s="228">
        <f xml:space="preserve">
IF($A$4&lt;=12,SUMIFS('ON Data'!Q:Q,'ON Data'!$D:$D,$A$4,'ON Data'!$E:$E,6),SUMIFS('ON Data'!Q:Q,'ON Data'!$E:$E,6))</f>
        <v>0</v>
      </c>
      <c r="M20" s="228">
        <f xml:space="preserve">
IF($A$4&lt;=12,SUMIFS('ON Data'!R:R,'ON Data'!$D:$D,$A$4,'ON Data'!$E:$E,6),SUMIFS('ON Data'!R:R,'ON Data'!$E:$E,6))</f>
        <v>0</v>
      </c>
      <c r="N20" s="228">
        <f xml:space="preserve">
IF($A$4&lt;=12,SUMIFS('ON Data'!S:S,'ON Data'!$D:$D,$A$4,'ON Data'!$E:$E,6),SUMIFS('ON Data'!S:S,'ON Data'!$E:$E,6))</f>
        <v>0</v>
      </c>
      <c r="O20" s="228">
        <f xml:space="preserve">
IF($A$4&lt;=12,SUMIFS('ON Data'!T:T,'ON Data'!$D:$D,$A$4,'ON Data'!$E:$E,6),SUMIFS('ON Data'!T:T,'ON Data'!$E:$E,6))</f>
        <v>0</v>
      </c>
      <c r="P20" s="228">
        <f xml:space="preserve">
IF($A$4&lt;=12,SUMIFS('ON Data'!U:U,'ON Data'!$D:$D,$A$4,'ON Data'!$E:$E,6),SUMIFS('ON Data'!U:U,'ON Data'!$E:$E,6))</f>
        <v>0</v>
      </c>
      <c r="Q20" s="228">
        <f xml:space="preserve">
IF($A$4&lt;=12,SUMIFS('ON Data'!V:V,'ON Data'!$D:$D,$A$4,'ON Data'!$E:$E,6),SUMIFS('ON Data'!V:V,'ON Data'!$E:$E,6))</f>
        <v>0</v>
      </c>
      <c r="R20" s="228">
        <f xml:space="preserve">
IF($A$4&lt;=12,SUMIFS('ON Data'!W:W,'ON Data'!$D:$D,$A$4,'ON Data'!$E:$E,6),SUMIFS('ON Data'!W:W,'ON Data'!$E:$E,6))</f>
        <v>0</v>
      </c>
      <c r="S20" s="228">
        <f xml:space="preserve">
IF($A$4&lt;=12,SUMIFS('ON Data'!X:X,'ON Data'!$D:$D,$A$4,'ON Data'!$E:$E,6),SUMIFS('ON Data'!X:X,'ON Data'!$E:$E,6))</f>
        <v>0</v>
      </c>
      <c r="T20" s="228">
        <f xml:space="preserve">
IF($A$4&lt;=12,SUMIFS('ON Data'!Y:Y,'ON Data'!$D:$D,$A$4,'ON Data'!$E:$E,6),SUMIFS('ON Data'!Y:Y,'ON Data'!$E:$E,6))</f>
        <v>0</v>
      </c>
      <c r="U20" s="228">
        <f xml:space="preserve">
IF($A$4&lt;=12,SUMIFS('ON Data'!Z:Z,'ON Data'!$D:$D,$A$4,'ON Data'!$E:$E,6),SUMIFS('ON Data'!Z:Z,'ON Data'!$E:$E,6))</f>
        <v>0</v>
      </c>
      <c r="V20" s="228">
        <f xml:space="preserve">
IF($A$4&lt;=12,SUMIFS('ON Data'!AA:AA,'ON Data'!$D:$D,$A$4,'ON Data'!$E:$E,6),SUMIFS('ON Data'!AA:AA,'ON Data'!$E:$E,6))</f>
        <v>0</v>
      </c>
      <c r="W20" s="228">
        <f xml:space="preserve">
IF($A$4&lt;=12,SUMIFS('ON Data'!AB:AB,'ON Data'!$D:$D,$A$4,'ON Data'!$E:$E,6),SUMIFS('ON Data'!AB:AB,'ON Data'!$E:$E,6))</f>
        <v>0</v>
      </c>
      <c r="X20" s="228">
        <f xml:space="preserve">
IF($A$4&lt;=12,SUMIFS('ON Data'!AC:AC,'ON Data'!$D:$D,$A$4,'ON Data'!$E:$E,6),SUMIFS('ON Data'!AC:AC,'ON Data'!$E:$E,6))</f>
        <v>0</v>
      </c>
      <c r="Y20" s="228">
        <f xml:space="preserve">
IF($A$4&lt;=12,SUMIFS('ON Data'!AD:AD,'ON Data'!$D:$D,$A$4,'ON Data'!$E:$E,6),SUMIFS('ON Data'!AD:AD,'ON Data'!$E:$E,6))</f>
        <v>0</v>
      </c>
      <c r="Z20" s="228">
        <f xml:space="preserve">
IF($A$4&lt;=12,SUMIFS('ON Data'!AE:AE,'ON Data'!$D:$D,$A$4,'ON Data'!$E:$E,6),SUMIFS('ON Data'!AE:AE,'ON Data'!$E:$E,6))</f>
        <v>0</v>
      </c>
      <c r="AA20" s="228">
        <f xml:space="preserve">
IF($A$4&lt;=12,SUMIFS('ON Data'!AF:AF,'ON Data'!$D:$D,$A$4,'ON Data'!$E:$E,6),SUMIFS('ON Data'!AF:AF,'ON Data'!$E:$E,6))</f>
        <v>0</v>
      </c>
      <c r="AB20" s="228">
        <f xml:space="preserve">
IF($A$4&lt;=12,SUMIFS('ON Data'!AG:AG,'ON Data'!$D:$D,$A$4,'ON Data'!$E:$E,6),SUMIFS('ON Data'!AG:AG,'ON Data'!$E:$E,6))</f>
        <v>0</v>
      </c>
      <c r="AC20" s="228">
        <f xml:space="preserve">
IF($A$4&lt;=12,SUMIFS('ON Data'!AH:AH,'ON Data'!$D:$D,$A$4,'ON Data'!$E:$E,6),SUMIFS('ON Data'!AH:AH,'ON Data'!$E:$E,6))</f>
        <v>0</v>
      </c>
      <c r="AD20" s="228">
        <f xml:space="preserve">
IF($A$4&lt;=12,SUMIFS('ON Data'!AI:AI,'ON Data'!$D:$D,$A$4,'ON Data'!$E:$E,6),SUMIFS('ON Data'!AI:AI,'ON Data'!$E:$E,6))</f>
        <v>2241589</v>
      </c>
      <c r="AE20" s="228">
        <f xml:space="preserve">
IF($A$4&lt;=12,SUMIFS('ON Data'!AJ:AJ,'ON Data'!$D:$D,$A$4,'ON Data'!$E:$E,6),SUMIFS('ON Data'!AJ:AJ,'ON Data'!$E:$E,6))</f>
        <v>0</v>
      </c>
      <c r="AF20" s="228">
        <f xml:space="preserve">
IF($A$4&lt;=12,SUMIFS('ON Data'!AK:AK,'ON Data'!$D:$D,$A$4,'ON Data'!$E:$E,6),SUMIFS('ON Data'!AK:AK,'ON Data'!$E:$E,6))</f>
        <v>0</v>
      </c>
      <c r="AG20" s="228">
        <f xml:space="preserve">
IF($A$4&lt;=12,SUMIFS('ON Data'!AL:AL,'ON Data'!$D:$D,$A$4,'ON Data'!$E:$E,6),SUMIFS('ON Data'!AL:AL,'ON Data'!$E:$E,6))</f>
        <v>0</v>
      </c>
      <c r="AH20" s="449">
        <f xml:space="preserve">
IF($A$4&lt;=12,SUMIFS('ON Data'!AN:AN,'ON Data'!$D:$D,$A$4,'ON Data'!$E:$E,6),SUMIFS('ON Data'!AN:AN,'ON Data'!$E:$E,6))</f>
        <v>0</v>
      </c>
      <c r="AI20" s="455"/>
    </row>
    <row r="21" spans="1:35" ht="15" hidden="1" outlineLevel="1" thickBot="1" x14ac:dyDescent="0.35">
      <c r="A21" s="194" t="s">
        <v>65</v>
      </c>
      <c r="B21" s="214">
        <f xml:space="preserve">
IF($A$4&lt;=12,SUMIFS('ON Data'!F:F,'ON Data'!$D:$D,$A$4,'ON Data'!$E:$E,12),SUMIFS('ON Data'!F:F,'ON Data'!$E:$E,12))</f>
        <v>0</v>
      </c>
      <c r="C21" s="215">
        <f xml:space="preserve">
IF($A$4&lt;=12,SUMIFS('ON Data'!G:G,'ON Data'!$D:$D,$A$4,'ON Data'!$E:$E,12),SUMIFS('ON Data'!G:G,'ON Data'!$E:$E,12))</f>
        <v>0</v>
      </c>
      <c r="D21" s="216">
        <f xml:space="preserve">
IF($A$4&lt;=12,SUMIFS('ON Data'!H:H,'ON Data'!$D:$D,$A$4,'ON Data'!$E:$E,12),SUMIFS('ON Data'!H:H,'ON Data'!$E:$E,12))</f>
        <v>0</v>
      </c>
      <c r="E21" s="216">
        <f xml:space="preserve">
IF($A$4&lt;=12,SUMIFS('ON Data'!I:I,'ON Data'!$D:$D,$A$4,'ON Data'!$E:$E,12),SUMIFS('ON Data'!I:I,'ON Data'!$E:$E,12))</f>
        <v>0</v>
      </c>
      <c r="F21" s="216">
        <f xml:space="preserve">
IF($A$4&lt;=12,SUMIFS('ON Data'!K:K,'ON Data'!$D:$D,$A$4,'ON Data'!$E:$E,12),SUMIFS('ON Data'!K:K,'ON Data'!$E:$E,12))</f>
        <v>0</v>
      </c>
      <c r="G21" s="216">
        <f xml:space="preserve">
IF($A$4&lt;=12,SUMIFS('ON Data'!L:L,'ON Data'!$D:$D,$A$4,'ON Data'!$E:$E,12),SUMIFS('ON Data'!L:L,'ON Data'!$E:$E,12))</f>
        <v>0</v>
      </c>
      <c r="H21" s="216">
        <f xml:space="preserve">
IF($A$4&lt;=12,SUMIFS('ON Data'!M:M,'ON Data'!$D:$D,$A$4,'ON Data'!$E:$E,12),SUMIFS('ON Data'!M:M,'ON Data'!$E:$E,12))</f>
        <v>0</v>
      </c>
      <c r="I21" s="216">
        <f xml:space="preserve">
IF($A$4&lt;=12,SUMIFS('ON Data'!N:N,'ON Data'!$D:$D,$A$4,'ON Data'!$E:$E,12),SUMIFS('ON Data'!N:N,'ON Data'!$E:$E,12))</f>
        <v>0</v>
      </c>
      <c r="J21" s="216">
        <f xml:space="preserve">
IF($A$4&lt;=12,SUMIFS('ON Data'!O:O,'ON Data'!$D:$D,$A$4,'ON Data'!$E:$E,12),SUMIFS('ON Data'!O:O,'ON Data'!$E:$E,12))</f>
        <v>0</v>
      </c>
      <c r="K21" s="216">
        <f xml:space="preserve">
IF($A$4&lt;=12,SUMIFS('ON Data'!P:P,'ON Data'!$D:$D,$A$4,'ON Data'!$E:$E,12),SUMIFS('ON Data'!P:P,'ON Data'!$E:$E,12))</f>
        <v>0</v>
      </c>
      <c r="L21" s="216">
        <f xml:space="preserve">
IF($A$4&lt;=12,SUMIFS('ON Data'!Q:Q,'ON Data'!$D:$D,$A$4,'ON Data'!$E:$E,12),SUMIFS('ON Data'!Q:Q,'ON Data'!$E:$E,12))</f>
        <v>0</v>
      </c>
      <c r="M21" s="216">
        <f xml:space="preserve">
IF($A$4&lt;=12,SUMIFS('ON Data'!R:R,'ON Data'!$D:$D,$A$4,'ON Data'!$E:$E,12),SUMIFS('ON Data'!R:R,'ON Data'!$E:$E,12))</f>
        <v>0</v>
      </c>
      <c r="N21" s="216">
        <f xml:space="preserve">
IF($A$4&lt;=12,SUMIFS('ON Data'!S:S,'ON Data'!$D:$D,$A$4,'ON Data'!$E:$E,12),SUMIFS('ON Data'!S:S,'ON Data'!$E:$E,12))</f>
        <v>0</v>
      </c>
      <c r="O21" s="216">
        <f xml:space="preserve">
IF($A$4&lt;=12,SUMIFS('ON Data'!T:T,'ON Data'!$D:$D,$A$4,'ON Data'!$E:$E,12),SUMIFS('ON Data'!T:T,'ON Data'!$E:$E,12))</f>
        <v>0</v>
      </c>
      <c r="P21" s="216">
        <f xml:space="preserve">
IF($A$4&lt;=12,SUMIFS('ON Data'!U:U,'ON Data'!$D:$D,$A$4,'ON Data'!$E:$E,12),SUMIFS('ON Data'!U:U,'ON Data'!$E:$E,12))</f>
        <v>0</v>
      </c>
      <c r="Q21" s="216">
        <f xml:space="preserve">
IF($A$4&lt;=12,SUMIFS('ON Data'!V:V,'ON Data'!$D:$D,$A$4,'ON Data'!$E:$E,12),SUMIFS('ON Data'!V:V,'ON Data'!$E:$E,12))</f>
        <v>0</v>
      </c>
      <c r="R21" s="216">
        <f xml:space="preserve">
IF($A$4&lt;=12,SUMIFS('ON Data'!W:W,'ON Data'!$D:$D,$A$4,'ON Data'!$E:$E,12),SUMIFS('ON Data'!W:W,'ON Data'!$E:$E,12))</f>
        <v>0</v>
      </c>
      <c r="S21" s="216">
        <f xml:space="preserve">
IF($A$4&lt;=12,SUMIFS('ON Data'!X:X,'ON Data'!$D:$D,$A$4,'ON Data'!$E:$E,12),SUMIFS('ON Data'!X:X,'ON Data'!$E:$E,12))</f>
        <v>0</v>
      </c>
      <c r="T21" s="216">
        <f xml:space="preserve">
IF($A$4&lt;=12,SUMIFS('ON Data'!Y:Y,'ON Data'!$D:$D,$A$4,'ON Data'!$E:$E,12),SUMIFS('ON Data'!Y:Y,'ON Data'!$E:$E,12))</f>
        <v>0</v>
      </c>
      <c r="U21" s="216">
        <f xml:space="preserve">
IF($A$4&lt;=12,SUMIFS('ON Data'!Z:Z,'ON Data'!$D:$D,$A$4,'ON Data'!$E:$E,12),SUMIFS('ON Data'!Z:Z,'ON Data'!$E:$E,12))</f>
        <v>0</v>
      </c>
      <c r="V21" s="216">
        <f xml:space="preserve">
IF($A$4&lt;=12,SUMIFS('ON Data'!AA:AA,'ON Data'!$D:$D,$A$4,'ON Data'!$E:$E,12),SUMIFS('ON Data'!AA:AA,'ON Data'!$E:$E,12))</f>
        <v>0</v>
      </c>
      <c r="W21" s="216">
        <f xml:space="preserve">
IF($A$4&lt;=12,SUMIFS('ON Data'!AB:AB,'ON Data'!$D:$D,$A$4,'ON Data'!$E:$E,12),SUMIFS('ON Data'!AB:AB,'ON Data'!$E:$E,12))</f>
        <v>0</v>
      </c>
      <c r="X21" s="216">
        <f xml:space="preserve">
IF($A$4&lt;=12,SUMIFS('ON Data'!AC:AC,'ON Data'!$D:$D,$A$4,'ON Data'!$E:$E,12),SUMIFS('ON Data'!AC:AC,'ON Data'!$E:$E,12))</f>
        <v>0</v>
      </c>
      <c r="Y21" s="216">
        <f xml:space="preserve">
IF($A$4&lt;=12,SUMIFS('ON Data'!AD:AD,'ON Data'!$D:$D,$A$4,'ON Data'!$E:$E,12),SUMIFS('ON Data'!AD:AD,'ON Data'!$E:$E,12))</f>
        <v>0</v>
      </c>
      <c r="Z21" s="216">
        <f xml:space="preserve">
IF($A$4&lt;=12,SUMIFS('ON Data'!AE:AE,'ON Data'!$D:$D,$A$4,'ON Data'!$E:$E,12),SUMIFS('ON Data'!AE:AE,'ON Data'!$E:$E,12))</f>
        <v>0</v>
      </c>
      <c r="AA21" s="216">
        <f xml:space="preserve">
IF($A$4&lt;=12,SUMIFS('ON Data'!AF:AF,'ON Data'!$D:$D,$A$4,'ON Data'!$E:$E,12),SUMIFS('ON Data'!AF:AF,'ON Data'!$E:$E,12))</f>
        <v>0</v>
      </c>
      <c r="AB21" s="216">
        <f xml:space="preserve">
IF($A$4&lt;=12,SUMIFS('ON Data'!AG:AG,'ON Data'!$D:$D,$A$4,'ON Data'!$E:$E,12),SUMIFS('ON Data'!AG:AG,'ON Data'!$E:$E,12))</f>
        <v>0</v>
      </c>
      <c r="AC21" s="216">
        <f xml:space="preserve">
IF($A$4&lt;=12,SUMIFS('ON Data'!AH:AH,'ON Data'!$D:$D,$A$4,'ON Data'!$E:$E,12),SUMIFS('ON Data'!AH:AH,'ON Data'!$E:$E,12))</f>
        <v>0</v>
      </c>
      <c r="AD21" s="216">
        <f xml:space="preserve">
IF($A$4&lt;=12,SUMIFS('ON Data'!AI:AI,'ON Data'!$D:$D,$A$4,'ON Data'!$E:$E,12),SUMIFS('ON Data'!AI:AI,'ON Data'!$E:$E,12))</f>
        <v>0</v>
      </c>
      <c r="AE21" s="216">
        <f xml:space="preserve">
IF($A$4&lt;=12,SUMIFS('ON Data'!AJ:AJ,'ON Data'!$D:$D,$A$4,'ON Data'!$E:$E,12),SUMIFS('ON Data'!AJ:AJ,'ON Data'!$E:$E,12))</f>
        <v>0</v>
      </c>
      <c r="AF21" s="216">
        <f xml:space="preserve">
IF($A$4&lt;=12,SUMIFS('ON Data'!AK:AK,'ON Data'!$D:$D,$A$4,'ON Data'!$E:$E,12),SUMIFS('ON Data'!AK:AK,'ON Data'!$E:$E,12))</f>
        <v>0</v>
      </c>
      <c r="AG21" s="216">
        <f xml:space="preserve">
IF($A$4&lt;=12,SUMIFS('ON Data'!AL:AL,'ON Data'!$D:$D,$A$4,'ON Data'!$E:$E,12),SUMIFS('ON Data'!AL:AL,'ON Data'!$E:$E,12))</f>
        <v>0</v>
      </c>
      <c r="AH21" s="445">
        <f xml:space="preserve">
IF($A$4&lt;=12,SUMIFS('ON Data'!AN:AN,'ON Data'!$D:$D,$A$4,'ON Data'!$E:$E,12),SUMIFS('ON Data'!AN:AN,'ON Data'!$E:$E,12))</f>
        <v>0</v>
      </c>
      <c r="AI21" s="455"/>
    </row>
    <row r="22" spans="1:35" ht="15" hidden="1" outlineLevel="1" thickBot="1" x14ac:dyDescent="0.35">
      <c r="A22" s="194" t="s">
        <v>60</v>
      </c>
      <c r="B22" s="266" t="str">
        <f xml:space="preserve">
IF(OR(B21="",B21=0),"",B20/B21)</f>
        <v/>
      </c>
      <c r="C22" s="267" t="str">
        <f t="shared" ref="C22:G22" si="2" xml:space="preserve">
IF(OR(C21="",C21=0),"",C20/C21)</f>
        <v/>
      </c>
      <c r="D22" s="268" t="str">
        <f t="shared" si="2"/>
        <v/>
      </c>
      <c r="E22" s="268" t="str">
        <f t="shared" si="2"/>
        <v/>
      </c>
      <c r="F22" s="268" t="str">
        <f t="shared" si="2"/>
        <v/>
      </c>
      <c r="G22" s="268" t="str">
        <f t="shared" si="2"/>
        <v/>
      </c>
      <c r="H22" s="268" t="str">
        <f t="shared" ref="H22:AH22" si="3" xml:space="preserve">
IF(OR(H21="",H21=0),"",H20/H21)</f>
        <v/>
      </c>
      <c r="I22" s="268" t="str">
        <f t="shared" si="3"/>
        <v/>
      </c>
      <c r="J22" s="268" t="str">
        <f t="shared" si="3"/>
        <v/>
      </c>
      <c r="K22" s="268" t="str">
        <f t="shared" si="3"/>
        <v/>
      </c>
      <c r="L22" s="268" t="str">
        <f t="shared" si="3"/>
        <v/>
      </c>
      <c r="M22" s="268" t="str">
        <f t="shared" si="3"/>
        <v/>
      </c>
      <c r="N22" s="268" t="str">
        <f t="shared" si="3"/>
        <v/>
      </c>
      <c r="O22" s="268" t="str">
        <f t="shared" si="3"/>
        <v/>
      </c>
      <c r="P22" s="268" t="str">
        <f t="shared" si="3"/>
        <v/>
      </c>
      <c r="Q22" s="268" t="str">
        <f t="shared" si="3"/>
        <v/>
      </c>
      <c r="R22" s="268" t="str">
        <f t="shared" si="3"/>
        <v/>
      </c>
      <c r="S22" s="268" t="str">
        <f t="shared" si="3"/>
        <v/>
      </c>
      <c r="T22" s="268" t="str">
        <f t="shared" si="3"/>
        <v/>
      </c>
      <c r="U22" s="268" t="str">
        <f t="shared" si="3"/>
        <v/>
      </c>
      <c r="V22" s="268" t="str">
        <f t="shared" si="3"/>
        <v/>
      </c>
      <c r="W22" s="268" t="str">
        <f t="shared" si="3"/>
        <v/>
      </c>
      <c r="X22" s="268" t="str">
        <f t="shared" si="3"/>
        <v/>
      </c>
      <c r="Y22" s="268" t="str">
        <f t="shared" si="3"/>
        <v/>
      </c>
      <c r="Z22" s="268" t="str">
        <f t="shared" si="3"/>
        <v/>
      </c>
      <c r="AA22" s="268" t="str">
        <f t="shared" si="3"/>
        <v/>
      </c>
      <c r="AB22" s="268" t="str">
        <f t="shared" si="3"/>
        <v/>
      </c>
      <c r="AC22" s="268" t="str">
        <f t="shared" si="3"/>
        <v/>
      </c>
      <c r="AD22" s="268" t="str">
        <f t="shared" si="3"/>
        <v/>
      </c>
      <c r="AE22" s="268" t="str">
        <f t="shared" si="3"/>
        <v/>
      </c>
      <c r="AF22" s="268" t="str">
        <f t="shared" si="3"/>
        <v/>
      </c>
      <c r="AG22" s="268" t="str">
        <f t="shared" si="3"/>
        <v/>
      </c>
      <c r="AH22" s="450" t="str">
        <f t="shared" si="3"/>
        <v/>
      </c>
      <c r="AI22" s="455"/>
    </row>
    <row r="23" spans="1:35" ht="15" hidden="1" outlineLevel="1" thickBot="1" x14ac:dyDescent="0.35">
      <c r="A23" s="202" t="s">
        <v>55</v>
      </c>
      <c r="B23" s="217">
        <f xml:space="preserve">
IF(B21="","",B20-B21)</f>
        <v>11767367</v>
      </c>
      <c r="C23" s="218">
        <f t="shared" ref="C23:G23" si="4" xml:space="preserve">
IF(C21="","",C20-C21)</f>
        <v>0</v>
      </c>
      <c r="D23" s="219">
        <f t="shared" si="4"/>
        <v>76675</v>
      </c>
      <c r="E23" s="219">
        <f t="shared" si="4"/>
        <v>0</v>
      </c>
      <c r="F23" s="219">
        <f t="shared" si="4"/>
        <v>9449103</v>
      </c>
      <c r="G23" s="219">
        <f t="shared" si="4"/>
        <v>0</v>
      </c>
      <c r="H23" s="219">
        <f t="shared" ref="H23:AH23" si="5" xml:space="preserve">
IF(H21="","",H20-H21)</f>
        <v>0</v>
      </c>
      <c r="I23" s="219">
        <f t="shared" si="5"/>
        <v>0</v>
      </c>
      <c r="J23" s="219">
        <f t="shared" si="5"/>
        <v>0</v>
      </c>
      <c r="K23" s="219">
        <f t="shared" si="5"/>
        <v>0</v>
      </c>
      <c r="L23" s="219">
        <f t="shared" si="5"/>
        <v>0</v>
      </c>
      <c r="M23" s="219">
        <f t="shared" si="5"/>
        <v>0</v>
      </c>
      <c r="N23" s="219">
        <f t="shared" si="5"/>
        <v>0</v>
      </c>
      <c r="O23" s="219">
        <f t="shared" si="5"/>
        <v>0</v>
      </c>
      <c r="P23" s="219">
        <f t="shared" si="5"/>
        <v>0</v>
      </c>
      <c r="Q23" s="219">
        <f t="shared" si="5"/>
        <v>0</v>
      </c>
      <c r="R23" s="219">
        <f t="shared" si="5"/>
        <v>0</v>
      </c>
      <c r="S23" s="219">
        <f t="shared" si="5"/>
        <v>0</v>
      </c>
      <c r="T23" s="219">
        <f t="shared" si="5"/>
        <v>0</v>
      </c>
      <c r="U23" s="219">
        <f t="shared" si="5"/>
        <v>0</v>
      </c>
      <c r="V23" s="219">
        <f t="shared" si="5"/>
        <v>0</v>
      </c>
      <c r="W23" s="219">
        <f t="shared" si="5"/>
        <v>0</v>
      </c>
      <c r="X23" s="219">
        <f t="shared" si="5"/>
        <v>0</v>
      </c>
      <c r="Y23" s="219">
        <f t="shared" si="5"/>
        <v>0</v>
      </c>
      <c r="Z23" s="219">
        <f t="shared" si="5"/>
        <v>0</v>
      </c>
      <c r="AA23" s="219">
        <f t="shared" si="5"/>
        <v>0</v>
      </c>
      <c r="AB23" s="219">
        <f t="shared" si="5"/>
        <v>0</v>
      </c>
      <c r="AC23" s="219">
        <f t="shared" si="5"/>
        <v>0</v>
      </c>
      <c r="AD23" s="219">
        <f t="shared" si="5"/>
        <v>2241589</v>
      </c>
      <c r="AE23" s="219">
        <f t="shared" si="5"/>
        <v>0</v>
      </c>
      <c r="AF23" s="219">
        <f t="shared" si="5"/>
        <v>0</v>
      </c>
      <c r="AG23" s="219">
        <f t="shared" si="5"/>
        <v>0</v>
      </c>
      <c r="AH23" s="446">
        <f t="shared" si="5"/>
        <v>0</v>
      </c>
      <c r="AI23" s="455"/>
    </row>
    <row r="24" spans="1:35" x14ac:dyDescent="0.3">
      <c r="A24" s="196" t="s">
        <v>140</v>
      </c>
      <c r="B24" s="243" t="s">
        <v>3</v>
      </c>
      <c r="C24" s="456" t="s">
        <v>151</v>
      </c>
      <c r="D24" s="430"/>
      <c r="E24" s="431"/>
      <c r="F24" s="431" t="s">
        <v>152</v>
      </c>
      <c r="G24" s="431"/>
      <c r="H24" s="431"/>
      <c r="I24" s="431"/>
      <c r="J24" s="431"/>
      <c r="K24" s="431"/>
      <c r="L24" s="431"/>
      <c r="M24" s="431"/>
      <c r="N24" s="431"/>
      <c r="O24" s="431"/>
      <c r="P24" s="431"/>
      <c r="Q24" s="431"/>
      <c r="R24" s="431"/>
      <c r="S24" s="431"/>
      <c r="T24" s="431"/>
      <c r="U24" s="431"/>
      <c r="V24" s="431"/>
      <c r="W24" s="431"/>
      <c r="X24" s="431"/>
      <c r="Y24" s="431"/>
      <c r="Z24" s="431"/>
      <c r="AA24" s="431"/>
      <c r="AB24" s="431"/>
      <c r="AC24" s="431"/>
      <c r="AD24" s="431"/>
      <c r="AE24" s="431"/>
      <c r="AF24" s="431"/>
      <c r="AG24" s="431"/>
      <c r="AH24" s="451" t="s">
        <v>153</v>
      </c>
      <c r="AI24" s="455"/>
    </row>
    <row r="25" spans="1:35" x14ac:dyDescent="0.3">
      <c r="A25" s="197" t="s">
        <v>58</v>
      </c>
      <c r="B25" s="214">
        <f xml:space="preserve">
SUM(C25:AH25)</f>
        <v>42768</v>
      </c>
      <c r="C25" s="457">
        <f xml:space="preserve">
IF($A$4&lt;=12,SUMIFS('ON Data'!H:H,'ON Data'!$D:$D,$A$4,'ON Data'!$E:$E,10),SUMIFS('ON Data'!H:H,'ON Data'!$E:$E,10))</f>
        <v>900</v>
      </c>
      <c r="D25" s="432"/>
      <c r="E25" s="433"/>
      <c r="F25" s="433">
        <f xml:space="preserve">
IF($A$4&lt;=12,SUMIFS('ON Data'!K:K,'ON Data'!$D:$D,$A$4,'ON Data'!$E:$E,10),SUMIFS('ON Data'!K:K,'ON Data'!$E:$E,10))</f>
        <v>41868</v>
      </c>
      <c r="G25" s="433"/>
      <c r="H25" s="433"/>
      <c r="I25" s="433"/>
      <c r="J25" s="433"/>
      <c r="K25" s="433"/>
      <c r="L25" s="433"/>
      <c r="M25" s="433"/>
      <c r="N25" s="433"/>
      <c r="O25" s="433"/>
      <c r="P25" s="433"/>
      <c r="Q25" s="433"/>
      <c r="R25" s="433"/>
      <c r="S25" s="433"/>
      <c r="T25" s="433"/>
      <c r="U25" s="433"/>
      <c r="V25" s="433"/>
      <c r="W25" s="433"/>
      <c r="X25" s="433"/>
      <c r="Y25" s="433"/>
      <c r="Z25" s="433"/>
      <c r="AA25" s="433"/>
      <c r="AB25" s="433"/>
      <c r="AC25" s="433"/>
      <c r="AD25" s="433"/>
      <c r="AE25" s="433"/>
      <c r="AF25" s="433"/>
      <c r="AG25" s="433"/>
      <c r="AH25" s="452">
        <f xml:space="preserve">
IF($A$4&lt;=12,SUMIFS('ON Data'!AN:AN,'ON Data'!$D:$D,$A$4,'ON Data'!$E:$E,10),SUMIFS('ON Data'!AN:AN,'ON Data'!$E:$E,10))</f>
        <v>0</v>
      </c>
      <c r="AI25" s="455"/>
    </row>
    <row r="26" spans="1:35" x14ac:dyDescent="0.3">
      <c r="A26" s="203" t="s">
        <v>150</v>
      </c>
      <c r="B26" s="223">
        <f xml:space="preserve">
SUM(C26:AH26)</f>
        <v>66892.90635733532</v>
      </c>
      <c r="C26" s="457">
        <f xml:space="preserve">
IF($A$4&lt;=12,SUMIFS('ON Data'!H:H,'ON Data'!$D:$D,$A$4,'ON Data'!$E:$E,11),SUMIFS('ON Data'!H:H,'ON Data'!$E:$E,11))</f>
        <v>226.23969066864112</v>
      </c>
      <c r="D26" s="432"/>
      <c r="E26" s="433"/>
      <c r="F26" s="434">
        <f xml:space="preserve">
IF($A$4&lt;=12,SUMIFS('ON Data'!K:K,'ON Data'!$D:$D,$A$4,'ON Data'!$E:$E,11),SUMIFS('ON Data'!K:K,'ON Data'!$E:$E,11))</f>
        <v>66666.666666666672</v>
      </c>
      <c r="G26" s="434"/>
      <c r="H26" s="434"/>
      <c r="I26" s="434"/>
      <c r="J26" s="434"/>
      <c r="K26" s="434"/>
      <c r="L26" s="434"/>
      <c r="M26" s="434"/>
      <c r="N26" s="434"/>
      <c r="O26" s="434"/>
      <c r="P26" s="434"/>
      <c r="Q26" s="434"/>
      <c r="R26" s="434"/>
      <c r="S26" s="434"/>
      <c r="T26" s="434"/>
      <c r="U26" s="434"/>
      <c r="V26" s="434"/>
      <c r="W26" s="434"/>
      <c r="X26" s="434"/>
      <c r="Y26" s="434"/>
      <c r="Z26" s="434"/>
      <c r="AA26" s="434"/>
      <c r="AB26" s="434"/>
      <c r="AC26" s="434"/>
      <c r="AD26" s="434"/>
      <c r="AE26" s="434"/>
      <c r="AF26" s="434"/>
      <c r="AG26" s="434"/>
      <c r="AH26" s="452">
        <f xml:space="preserve">
IF($A$4&lt;=12,SUMIFS('ON Data'!AN:AN,'ON Data'!$D:$D,$A$4,'ON Data'!$E:$E,11),SUMIFS('ON Data'!AN:AN,'ON Data'!$E:$E,11))</f>
        <v>0</v>
      </c>
      <c r="AI26" s="455"/>
    </row>
    <row r="27" spans="1:35" x14ac:dyDescent="0.3">
      <c r="A27" s="203" t="s">
        <v>60</v>
      </c>
      <c r="B27" s="244">
        <f xml:space="preserve">
IF(B26=0,0,B25/B26)</f>
        <v>0.63935030377567326</v>
      </c>
      <c r="C27" s="458">
        <f xml:space="preserve">
IF(C26=0,0,C25/C26)</f>
        <v>3.9780818181818183</v>
      </c>
      <c r="D27" s="435"/>
      <c r="E27" s="436"/>
      <c r="F27" s="436">
        <f xml:space="preserve">
IF(F26=0,0,F25/F26)</f>
        <v>0.62801999999999991</v>
      </c>
      <c r="G27" s="436"/>
      <c r="H27" s="436"/>
      <c r="I27" s="436"/>
      <c r="J27" s="436"/>
      <c r="K27" s="436"/>
      <c r="L27" s="436"/>
      <c r="M27" s="436"/>
      <c r="N27" s="436"/>
      <c r="O27" s="436"/>
      <c r="P27" s="436"/>
      <c r="Q27" s="436"/>
      <c r="R27" s="436"/>
      <c r="S27" s="436"/>
      <c r="T27" s="436"/>
      <c r="U27" s="436"/>
      <c r="V27" s="436"/>
      <c r="W27" s="436"/>
      <c r="X27" s="436"/>
      <c r="Y27" s="436"/>
      <c r="Z27" s="436"/>
      <c r="AA27" s="436"/>
      <c r="AB27" s="436"/>
      <c r="AC27" s="436"/>
      <c r="AD27" s="436"/>
      <c r="AE27" s="436"/>
      <c r="AF27" s="436"/>
      <c r="AG27" s="436"/>
      <c r="AH27" s="453">
        <f xml:space="preserve">
IF(AH26=0,0,AH25/AH26)</f>
        <v>0</v>
      </c>
      <c r="AI27" s="455"/>
    </row>
    <row r="28" spans="1:35" ht="15" thickBot="1" x14ac:dyDescent="0.35">
      <c r="A28" s="203" t="s">
        <v>149</v>
      </c>
      <c r="B28" s="223">
        <f xml:space="preserve">
SUM(C28:AH28)</f>
        <v>24124.906357335312</v>
      </c>
      <c r="C28" s="459">
        <f xml:space="preserve">
C26-C25</f>
        <v>-673.76030933135894</v>
      </c>
      <c r="D28" s="437"/>
      <c r="E28" s="438"/>
      <c r="F28" s="438">
        <f xml:space="preserve">
F26-F25</f>
        <v>24798.666666666672</v>
      </c>
      <c r="G28" s="438"/>
      <c r="H28" s="438"/>
      <c r="I28" s="438"/>
      <c r="J28" s="438"/>
      <c r="K28" s="438"/>
      <c r="L28" s="438"/>
      <c r="M28" s="438"/>
      <c r="N28" s="438"/>
      <c r="O28" s="438"/>
      <c r="P28" s="438"/>
      <c r="Q28" s="438"/>
      <c r="R28" s="438"/>
      <c r="S28" s="438"/>
      <c r="T28" s="438"/>
      <c r="U28" s="438"/>
      <c r="V28" s="438"/>
      <c r="W28" s="438"/>
      <c r="X28" s="438"/>
      <c r="Y28" s="438"/>
      <c r="Z28" s="438"/>
      <c r="AA28" s="438"/>
      <c r="AB28" s="438"/>
      <c r="AC28" s="438"/>
      <c r="AD28" s="438"/>
      <c r="AE28" s="438"/>
      <c r="AF28" s="438"/>
      <c r="AG28" s="438"/>
      <c r="AH28" s="454">
        <f xml:space="preserve">
AH26-AH25</f>
        <v>0</v>
      </c>
      <c r="AI28" s="455"/>
    </row>
    <row r="29" spans="1:35" x14ac:dyDescent="0.3">
      <c r="A29" s="204"/>
      <c r="B29" s="204"/>
      <c r="C29" s="205"/>
      <c r="D29" s="204"/>
      <c r="E29" s="204"/>
      <c r="F29" s="205"/>
      <c r="G29" s="205"/>
      <c r="H29" s="205"/>
      <c r="I29" s="205"/>
      <c r="J29" s="205"/>
      <c r="K29" s="205"/>
      <c r="L29" s="205"/>
      <c r="M29" s="205"/>
      <c r="N29" s="205"/>
      <c r="O29" s="205"/>
      <c r="P29" s="205"/>
      <c r="Q29" s="205"/>
      <c r="R29" s="205"/>
      <c r="S29" s="205"/>
      <c r="T29" s="205"/>
      <c r="U29" s="205"/>
      <c r="V29" s="205"/>
      <c r="W29" s="205"/>
      <c r="X29" s="205"/>
      <c r="Y29" s="205"/>
      <c r="Z29" s="205"/>
      <c r="AA29" s="205"/>
      <c r="AB29" s="205"/>
      <c r="AC29" s="205"/>
      <c r="AD29" s="205"/>
      <c r="AE29" s="205"/>
      <c r="AF29" s="204"/>
      <c r="AG29" s="204"/>
      <c r="AH29" s="204"/>
    </row>
    <row r="30" spans="1:35" x14ac:dyDescent="0.3">
      <c r="A30" s="90" t="s">
        <v>103</v>
      </c>
      <c r="B30" s="107"/>
      <c r="C30" s="107"/>
      <c r="D30" s="107"/>
      <c r="E30" s="107"/>
      <c r="F30" s="107"/>
      <c r="G30" s="107"/>
      <c r="H30" s="107"/>
      <c r="I30" s="107"/>
      <c r="J30" s="107"/>
      <c r="K30" s="107"/>
      <c r="L30" s="107"/>
      <c r="M30" s="107"/>
      <c r="N30" s="107"/>
      <c r="O30" s="107"/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  <c r="AB30" s="107"/>
      <c r="AC30" s="107"/>
      <c r="AD30" s="107"/>
      <c r="AE30" s="107"/>
      <c r="AF30" s="107"/>
      <c r="AG30" s="107"/>
      <c r="AH30" s="125"/>
    </row>
    <row r="31" spans="1:35" x14ac:dyDescent="0.3">
      <c r="A31" s="91" t="s">
        <v>147</v>
      </c>
      <c r="B31" s="107"/>
      <c r="C31" s="107"/>
      <c r="D31" s="107"/>
      <c r="E31" s="107"/>
      <c r="F31" s="107"/>
      <c r="G31" s="107"/>
      <c r="H31" s="107"/>
      <c r="I31" s="107"/>
      <c r="J31" s="107"/>
      <c r="K31" s="107"/>
      <c r="L31" s="107"/>
      <c r="M31" s="107"/>
      <c r="N31" s="107"/>
      <c r="O31" s="107"/>
      <c r="P31" s="107"/>
      <c r="Q31" s="107"/>
      <c r="R31" s="107"/>
      <c r="S31" s="107"/>
      <c r="T31" s="107"/>
      <c r="U31" s="107"/>
      <c r="V31" s="107"/>
      <c r="W31" s="107"/>
      <c r="X31" s="107"/>
      <c r="Y31" s="107"/>
      <c r="Z31" s="107"/>
      <c r="AA31" s="107"/>
      <c r="AB31" s="107"/>
      <c r="AC31" s="107"/>
      <c r="AD31" s="107"/>
      <c r="AE31" s="107"/>
      <c r="AF31" s="107"/>
      <c r="AG31" s="107"/>
      <c r="AH31" s="125"/>
    </row>
    <row r="32" spans="1:35" ht="14.4" customHeight="1" x14ac:dyDescent="0.3">
      <c r="A32" s="240" t="s">
        <v>144</v>
      </c>
      <c r="B32" s="241"/>
      <c r="C32" s="241"/>
      <c r="D32" s="241"/>
      <c r="E32" s="241"/>
      <c r="F32" s="241"/>
      <c r="G32" s="241"/>
      <c r="H32" s="241"/>
      <c r="I32" s="241"/>
      <c r="J32" s="241"/>
      <c r="K32" s="241"/>
      <c r="L32" s="241"/>
      <c r="M32" s="241"/>
      <c r="N32" s="241"/>
      <c r="O32" s="241"/>
      <c r="P32" s="241"/>
      <c r="Q32" s="241"/>
      <c r="R32" s="241"/>
      <c r="S32" s="241"/>
      <c r="T32" s="241"/>
      <c r="U32" s="241"/>
      <c r="V32" s="241"/>
      <c r="W32" s="241"/>
      <c r="X32" s="241"/>
      <c r="Y32" s="241"/>
      <c r="Z32" s="241"/>
      <c r="AA32" s="241"/>
      <c r="AB32" s="241"/>
      <c r="AC32" s="241"/>
      <c r="AD32" s="241"/>
      <c r="AE32" s="241"/>
      <c r="AF32" s="241"/>
      <c r="AG32" s="241"/>
    </row>
    <row r="33" spans="1:1" x14ac:dyDescent="0.3">
      <c r="A33" s="242" t="s">
        <v>154</v>
      </c>
    </row>
    <row r="34" spans="1:1" x14ac:dyDescent="0.3">
      <c r="A34" s="242" t="s">
        <v>155</v>
      </c>
    </row>
    <row r="35" spans="1:1" x14ac:dyDescent="0.3">
      <c r="A35" s="242" t="s">
        <v>156</v>
      </c>
    </row>
    <row r="36" spans="1:1" x14ac:dyDescent="0.3">
      <c r="A36" s="242" t="s">
        <v>157</v>
      </c>
    </row>
  </sheetData>
  <mergeCells count="12">
    <mergeCell ref="C28:E28"/>
    <mergeCell ref="C27:E27"/>
    <mergeCell ref="F27:AG27"/>
    <mergeCell ref="F28:AG28"/>
    <mergeCell ref="C25:E25"/>
    <mergeCell ref="C26:E26"/>
    <mergeCell ref="F24:AG24"/>
    <mergeCell ref="F25:AG25"/>
    <mergeCell ref="F26:AG26"/>
    <mergeCell ref="A1:AH1"/>
    <mergeCell ref="B3:B4"/>
    <mergeCell ref="C24:E24"/>
  </mergeCells>
  <conditionalFormatting sqref="C27 AH27 F27">
    <cfRule type="cellIs" dxfId="3" priority="4" operator="greaterThan">
      <formula>1</formula>
    </cfRule>
  </conditionalFormatting>
  <conditionalFormatting sqref="C28 AH28 F28">
    <cfRule type="cellIs" dxfId="2" priority="3" operator="lessThan">
      <formula>0</formula>
    </cfRule>
  </conditionalFormatting>
  <conditionalFormatting sqref="B22:AH22">
    <cfRule type="cellIs" dxfId="1" priority="2" operator="greaterThan">
      <formula>1</formula>
    </cfRule>
  </conditionalFormatting>
  <conditionalFormatting sqref="B23:AH23">
    <cfRule type="cellIs" dxfId="0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'ON Data'!$B$3:$B$16</xm:f>
          </x14:formula1>
          <xm:sqref>A4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O60"/>
  <sheetViews>
    <sheetView showGridLines="0" showRowColHeaders="0" workbookViewId="0"/>
  </sheetViews>
  <sheetFormatPr defaultRowHeight="14.4" x14ac:dyDescent="0.3"/>
  <cols>
    <col min="1" max="16384" width="8.88671875" style="183"/>
  </cols>
  <sheetData>
    <row r="1" spans="1:41" x14ac:dyDescent="0.3">
      <c r="A1" s="183" t="s">
        <v>1315</v>
      </c>
    </row>
    <row r="2" spans="1:41" x14ac:dyDescent="0.3">
      <c r="A2" s="187" t="s">
        <v>220</v>
      </c>
    </row>
    <row r="3" spans="1:41" x14ac:dyDescent="0.3">
      <c r="A3" s="183" t="s">
        <v>114</v>
      </c>
      <c r="B3" s="208">
        <v>2015</v>
      </c>
      <c r="D3" s="184">
        <f>MAX(D5:D1048576)</f>
        <v>8</v>
      </c>
      <c r="F3" s="184">
        <f>SUMIF($E5:$E1048576,"&lt;10",F5:F1048576)</f>
        <v>12448475.789999999</v>
      </c>
      <c r="G3" s="184">
        <f t="shared" ref="G3:AO3" si="0">SUMIF($E5:$E1048576,"&lt;10",G5:G1048576)</f>
        <v>0</v>
      </c>
      <c r="H3" s="184">
        <f t="shared" si="0"/>
        <v>76897.400000000009</v>
      </c>
      <c r="I3" s="184">
        <f t="shared" si="0"/>
        <v>0</v>
      </c>
      <c r="J3" s="184">
        <f t="shared" si="0"/>
        <v>0</v>
      </c>
      <c r="K3" s="184">
        <f t="shared" si="0"/>
        <v>9965674.6400000006</v>
      </c>
      <c r="L3" s="184">
        <f t="shared" si="0"/>
        <v>0</v>
      </c>
      <c r="M3" s="184">
        <f t="shared" si="0"/>
        <v>0</v>
      </c>
      <c r="N3" s="184">
        <f t="shared" si="0"/>
        <v>0</v>
      </c>
      <c r="O3" s="184">
        <f t="shared" si="0"/>
        <v>0</v>
      </c>
      <c r="P3" s="184">
        <f t="shared" si="0"/>
        <v>0</v>
      </c>
      <c r="Q3" s="184">
        <f t="shared" si="0"/>
        <v>0</v>
      </c>
      <c r="R3" s="184">
        <f t="shared" si="0"/>
        <v>0</v>
      </c>
      <c r="S3" s="184">
        <f t="shared" si="0"/>
        <v>0</v>
      </c>
      <c r="T3" s="184">
        <f t="shared" si="0"/>
        <v>0</v>
      </c>
      <c r="U3" s="184">
        <f t="shared" si="0"/>
        <v>0</v>
      </c>
      <c r="V3" s="184">
        <f t="shared" si="0"/>
        <v>0</v>
      </c>
      <c r="W3" s="184">
        <f t="shared" si="0"/>
        <v>0</v>
      </c>
      <c r="X3" s="184">
        <f t="shared" si="0"/>
        <v>0</v>
      </c>
      <c r="Y3" s="184">
        <f t="shared" si="0"/>
        <v>0</v>
      </c>
      <c r="Z3" s="184">
        <f t="shared" si="0"/>
        <v>0</v>
      </c>
      <c r="AA3" s="184">
        <f t="shared" si="0"/>
        <v>0</v>
      </c>
      <c r="AB3" s="184">
        <f t="shared" si="0"/>
        <v>0</v>
      </c>
      <c r="AC3" s="184">
        <f t="shared" si="0"/>
        <v>0</v>
      </c>
      <c r="AD3" s="184">
        <f t="shared" si="0"/>
        <v>0</v>
      </c>
      <c r="AE3" s="184">
        <f t="shared" si="0"/>
        <v>0</v>
      </c>
      <c r="AF3" s="184">
        <f t="shared" si="0"/>
        <v>0</v>
      </c>
      <c r="AG3" s="184">
        <f t="shared" si="0"/>
        <v>0</v>
      </c>
      <c r="AH3" s="184">
        <f t="shared" si="0"/>
        <v>0</v>
      </c>
      <c r="AI3" s="184">
        <f t="shared" si="0"/>
        <v>2405903.75</v>
      </c>
      <c r="AJ3" s="184">
        <f t="shared" si="0"/>
        <v>0</v>
      </c>
      <c r="AK3" s="184">
        <f t="shared" si="0"/>
        <v>0</v>
      </c>
      <c r="AL3" s="184">
        <f t="shared" si="0"/>
        <v>0</v>
      </c>
      <c r="AM3" s="184">
        <f t="shared" si="0"/>
        <v>0</v>
      </c>
      <c r="AN3" s="184">
        <f t="shared" si="0"/>
        <v>0</v>
      </c>
      <c r="AO3" s="184">
        <f t="shared" si="0"/>
        <v>0</v>
      </c>
    </row>
    <row r="4" spans="1:41" x14ac:dyDescent="0.3">
      <c r="A4" s="183" t="s">
        <v>115</v>
      </c>
      <c r="B4" s="208">
        <v>1</v>
      </c>
      <c r="C4" s="185" t="s">
        <v>5</v>
      </c>
      <c r="D4" s="186" t="s">
        <v>54</v>
      </c>
      <c r="E4" s="186" t="s">
        <v>109</v>
      </c>
      <c r="F4" s="186" t="s">
        <v>3</v>
      </c>
      <c r="G4" s="186" t="s">
        <v>110</v>
      </c>
      <c r="H4" s="186" t="s">
        <v>111</v>
      </c>
      <c r="I4" s="186" t="s">
        <v>112</v>
      </c>
      <c r="J4" s="186" t="s">
        <v>113</v>
      </c>
      <c r="K4" s="186">
        <v>305</v>
      </c>
      <c r="L4" s="186">
        <v>306</v>
      </c>
      <c r="M4" s="186">
        <v>407</v>
      </c>
      <c r="N4" s="186">
        <v>408</v>
      </c>
      <c r="O4" s="186">
        <v>409</v>
      </c>
      <c r="P4" s="186">
        <v>410</v>
      </c>
      <c r="Q4" s="186">
        <v>415</v>
      </c>
      <c r="R4" s="186">
        <v>416</v>
      </c>
      <c r="S4" s="186">
        <v>418</v>
      </c>
      <c r="T4" s="186">
        <v>419</v>
      </c>
      <c r="U4" s="186">
        <v>420</v>
      </c>
      <c r="V4" s="186">
        <v>421</v>
      </c>
      <c r="W4" s="186">
        <v>522</v>
      </c>
      <c r="X4" s="186">
        <v>523</v>
      </c>
      <c r="Y4" s="186">
        <v>524</v>
      </c>
      <c r="Z4" s="186">
        <v>525</v>
      </c>
      <c r="AA4" s="186">
        <v>526</v>
      </c>
      <c r="AB4" s="186">
        <v>527</v>
      </c>
      <c r="AC4" s="186">
        <v>528</v>
      </c>
      <c r="AD4" s="186">
        <v>629</v>
      </c>
      <c r="AE4" s="186">
        <v>630</v>
      </c>
      <c r="AF4" s="186">
        <v>636</v>
      </c>
      <c r="AG4" s="186">
        <v>637</v>
      </c>
      <c r="AH4" s="186">
        <v>640</v>
      </c>
      <c r="AI4" s="186">
        <v>642</v>
      </c>
      <c r="AJ4" s="186">
        <v>743</v>
      </c>
      <c r="AK4" s="186">
        <v>745</v>
      </c>
      <c r="AL4" s="186">
        <v>746</v>
      </c>
      <c r="AM4" s="186">
        <v>747</v>
      </c>
      <c r="AN4" s="186">
        <v>930</v>
      </c>
      <c r="AO4" s="186">
        <v>940</v>
      </c>
    </row>
    <row r="5" spans="1:41" x14ac:dyDescent="0.3">
      <c r="A5" s="183" t="s">
        <v>116</v>
      </c>
      <c r="B5" s="208">
        <v>2</v>
      </c>
      <c r="C5" s="183">
        <v>47</v>
      </c>
      <c r="D5" s="183">
        <v>1</v>
      </c>
      <c r="E5" s="183">
        <v>1</v>
      </c>
      <c r="F5" s="183">
        <v>54.35</v>
      </c>
      <c r="G5" s="183">
        <v>0</v>
      </c>
      <c r="H5" s="183">
        <v>0.1</v>
      </c>
      <c r="I5" s="183">
        <v>0</v>
      </c>
      <c r="J5" s="183">
        <v>0</v>
      </c>
      <c r="K5" s="183">
        <v>41.25</v>
      </c>
      <c r="L5" s="183">
        <v>0</v>
      </c>
      <c r="M5" s="183">
        <v>0</v>
      </c>
      <c r="N5" s="183">
        <v>0</v>
      </c>
      <c r="O5" s="183">
        <v>0</v>
      </c>
      <c r="P5" s="183">
        <v>0</v>
      </c>
      <c r="Q5" s="183">
        <v>0</v>
      </c>
      <c r="R5" s="183">
        <v>0</v>
      </c>
      <c r="S5" s="183">
        <v>0</v>
      </c>
      <c r="T5" s="183">
        <v>0</v>
      </c>
      <c r="U5" s="183">
        <v>0</v>
      </c>
      <c r="V5" s="183">
        <v>0</v>
      </c>
      <c r="W5" s="183">
        <v>0</v>
      </c>
      <c r="X5" s="183">
        <v>0</v>
      </c>
      <c r="Y5" s="183">
        <v>0</v>
      </c>
      <c r="Z5" s="183">
        <v>0</v>
      </c>
      <c r="AA5" s="183">
        <v>0</v>
      </c>
      <c r="AB5" s="183">
        <v>0</v>
      </c>
      <c r="AC5" s="183">
        <v>0</v>
      </c>
      <c r="AD5" s="183">
        <v>0</v>
      </c>
      <c r="AE5" s="183">
        <v>0</v>
      </c>
      <c r="AF5" s="183">
        <v>0</v>
      </c>
      <c r="AG5" s="183">
        <v>0</v>
      </c>
      <c r="AH5" s="183">
        <v>0</v>
      </c>
      <c r="AI5" s="183">
        <v>13</v>
      </c>
      <c r="AJ5" s="183">
        <v>0</v>
      </c>
      <c r="AK5" s="183">
        <v>0</v>
      </c>
      <c r="AL5" s="183">
        <v>0</v>
      </c>
      <c r="AM5" s="183">
        <v>0</v>
      </c>
      <c r="AN5" s="183">
        <v>0</v>
      </c>
      <c r="AO5" s="183">
        <v>0</v>
      </c>
    </row>
    <row r="6" spans="1:41" x14ac:dyDescent="0.3">
      <c r="A6" s="183" t="s">
        <v>117</v>
      </c>
      <c r="B6" s="208">
        <v>3</v>
      </c>
      <c r="C6" s="183">
        <v>47</v>
      </c>
      <c r="D6" s="183">
        <v>1</v>
      </c>
      <c r="E6" s="183">
        <v>2</v>
      </c>
      <c r="F6" s="183">
        <v>8170.1</v>
      </c>
      <c r="G6" s="183">
        <v>0</v>
      </c>
      <c r="H6" s="183">
        <v>17.600000000000001</v>
      </c>
      <c r="I6" s="183">
        <v>0</v>
      </c>
      <c r="J6" s="183">
        <v>0</v>
      </c>
      <c r="K6" s="183">
        <v>6198.5</v>
      </c>
      <c r="L6" s="183">
        <v>0</v>
      </c>
      <c r="M6" s="183">
        <v>0</v>
      </c>
      <c r="N6" s="183">
        <v>0</v>
      </c>
      <c r="O6" s="183">
        <v>0</v>
      </c>
      <c r="P6" s="183">
        <v>0</v>
      </c>
      <c r="Q6" s="183">
        <v>0</v>
      </c>
      <c r="R6" s="183">
        <v>0</v>
      </c>
      <c r="S6" s="183">
        <v>0</v>
      </c>
      <c r="T6" s="183">
        <v>0</v>
      </c>
      <c r="U6" s="183">
        <v>0</v>
      </c>
      <c r="V6" s="183">
        <v>0</v>
      </c>
      <c r="W6" s="183">
        <v>0</v>
      </c>
      <c r="X6" s="183">
        <v>0</v>
      </c>
      <c r="Y6" s="183">
        <v>0</v>
      </c>
      <c r="Z6" s="183">
        <v>0</v>
      </c>
      <c r="AA6" s="183">
        <v>0</v>
      </c>
      <c r="AB6" s="183">
        <v>0</v>
      </c>
      <c r="AC6" s="183">
        <v>0</v>
      </c>
      <c r="AD6" s="183">
        <v>0</v>
      </c>
      <c r="AE6" s="183">
        <v>0</v>
      </c>
      <c r="AF6" s="183">
        <v>0</v>
      </c>
      <c r="AG6" s="183">
        <v>0</v>
      </c>
      <c r="AH6" s="183">
        <v>0</v>
      </c>
      <c r="AI6" s="183">
        <v>1954</v>
      </c>
      <c r="AJ6" s="183">
        <v>0</v>
      </c>
      <c r="AK6" s="183">
        <v>0</v>
      </c>
      <c r="AL6" s="183">
        <v>0</v>
      </c>
      <c r="AM6" s="183">
        <v>0</v>
      </c>
      <c r="AN6" s="183">
        <v>0</v>
      </c>
      <c r="AO6" s="183">
        <v>0</v>
      </c>
    </row>
    <row r="7" spans="1:41" x14ac:dyDescent="0.3">
      <c r="A7" s="183" t="s">
        <v>118</v>
      </c>
      <c r="B7" s="208">
        <v>4</v>
      </c>
      <c r="C7" s="183">
        <v>47</v>
      </c>
      <c r="D7" s="183">
        <v>1</v>
      </c>
      <c r="E7" s="183">
        <v>4</v>
      </c>
      <c r="F7" s="183">
        <v>255</v>
      </c>
      <c r="G7" s="183">
        <v>0</v>
      </c>
      <c r="H7" s="183">
        <v>0</v>
      </c>
      <c r="I7" s="183">
        <v>0</v>
      </c>
      <c r="J7" s="183">
        <v>0</v>
      </c>
      <c r="K7" s="183">
        <v>155</v>
      </c>
      <c r="L7" s="183">
        <v>0</v>
      </c>
      <c r="M7" s="183">
        <v>0</v>
      </c>
      <c r="N7" s="183">
        <v>0</v>
      </c>
      <c r="O7" s="183">
        <v>0</v>
      </c>
      <c r="P7" s="183">
        <v>0</v>
      </c>
      <c r="Q7" s="183">
        <v>0</v>
      </c>
      <c r="R7" s="183">
        <v>0</v>
      </c>
      <c r="S7" s="183">
        <v>0</v>
      </c>
      <c r="T7" s="183">
        <v>0</v>
      </c>
      <c r="U7" s="183">
        <v>0</v>
      </c>
      <c r="V7" s="183">
        <v>0</v>
      </c>
      <c r="W7" s="183">
        <v>0</v>
      </c>
      <c r="X7" s="183">
        <v>0</v>
      </c>
      <c r="Y7" s="183">
        <v>0</v>
      </c>
      <c r="Z7" s="183">
        <v>0</v>
      </c>
      <c r="AA7" s="183">
        <v>0</v>
      </c>
      <c r="AB7" s="183">
        <v>0</v>
      </c>
      <c r="AC7" s="183">
        <v>0</v>
      </c>
      <c r="AD7" s="183">
        <v>0</v>
      </c>
      <c r="AE7" s="183">
        <v>0</v>
      </c>
      <c r="AF7" s="183">
        <v>0</v>
      </c>
      <c r="AG7" s="183">
        <v>0</v>
      </c>
      <c r="AH7" s="183">
        <v>0</v>
      </c>
      <c r="AI7" s="183">
        <v>100</v>
      </c>
      <c r="AJ7" s="183">
        <v>0</v>
      </c>
      <c r="AK7" s="183">
        <v>0</v>
      </c>
      <c r="AL7" s="183">
        <v>0</v>
      </c>
      <c r="AM7" s="183">
        <v>0</v>
      </c>
      <c r="AN7" s="183">
        <v>0</v>
      </c>
      <c r="AO7" s="183">
        <v>0</v>
      </c>
    </row>
    <row r="8" spans="1:41" x14ac:dyDescent="0.3">
      <c r="A8" s="183" t="s">
        <v>119</v>
      </c>
      <c r="B8" s="208">
        <v>5</v>
      </c>
      <c r="C8" s="183">
        <v>47</v>
      </c>
      <c r="D8" s="183">
        <v>1</v>
      </c>
      <c r="E8" s="183">
        <v>6</v>
      </c>
      <c r="F8" s="183">
        <v>1395278</v>
      </c>
      <c r="G8" s="183">
        <v>0</v>
      </c>
      <c r="H8" s="183">
        <v>9605</v>
      </c>
      <c r="I8" s="183">
        <v>0</v>
      </c>
      <c r="J8" s="183">
        <v>0</v>
      </c>
      <c r="K8" s="183">
        <v>1129589</v>
      </c>
      <c r="L8" s="183">
        <v>0</v>
      </c>
      <c r="M8" s="183">
        <v>0</v>
      </c>
      <c r="N8" s="183">
        <v>0</v>
      </c>
      <c r="O8" s="183">
        <v>0</v>
      </c>
      <c r="P8" s="183">
        <v>0</v>
      </c>
      <c r="Q8" s="183">
        <v>0</v>
      </c>
      <c r="R8" s="183">
        <v>0</v>
      </c>
      <c r="S8" s="183">
        <v>0</v>
      </c>
      <c r="T8" s="183">
        <v>0</v>
      </c>
      <c r="U8" s="183">
        <v>0</v>
      </c>
      <c r="V8" s="183">
        <v>0</v>
      </c>
      <c r="W8" s="183">
        <v>0</v>
      </c>
      <c r="X8" s="183">
        <v>0</v>
      </c>
      <c r="Y8" s="183">
        <v>0</v>
      </c>
      <c r="Z8" s="183">
        <v>0</v>
      </c>
      <c r="AA8" s="183">
        <v>0</v>
      </c>
      <c r="AB8" s="183">
        <v>0</v>
      </c>
      <c r="AC8" s="183">
        <v>0</v>
      </c>
      <c r="AD8" s="183">
        <v>0</v>
      </c>
      <c r="AE8" s="183">
        <v>0</v>
      </c>
      <c r="AF8" s="183">
        <v>0</v>
      </c>
      <c r="AG8" s="183">
        <v>0</v>
      </c>
      <c r="AH8" s="183">
        <v>0</v>
      </c>
      <c r="AI8" s="183">
        <v>256084</v>
      </c>
      <c r="AJ8" s="183">
        <v>0</v>
      </c>
      <c r="AK8" s="183">
        <v>0</v>
      </c>
      <c r="AL8" s="183">
        <v>0</v>
      </c>
      <c r="AM8" s="183">
        <v>0</v>
      </c>
      <c r="AN8" s="183">
        <v>0</v>
      </c>
      <c r="AO8" s="183">
        <v>0</v>
      </c>
    </row>
    <row r="9" spans="1:41" x14ac:dyDescent="0.3">
      <c r="A9" s="183" t="s">
        <v>120</v>
      </c>
      <c r="B9" s="208">
        <v>6</v>
      </c>
      <c r="C9" s="183">
        <v>47</v>
      </c>
      <c r="D9" s="183">
        <v>1</v>
      </c>
      <c r="E9" s="183">
        <v>9</v>
      </c>
      <c r="F9" s="183">
        <v>24050</v>
      </c>
      <c r="G9" s="183">
        <v>0</v>
      </c>
      <c r="H9" s="183">
        <v>0</v>
      </c>
      <c r="I9" s="183">
        <v>0</v>
      </c>
      <c r="J9" s="183">
        <v>0</v>
      </c>
      <c r="K9" s="183">
        <v>18150</v>
      </c>
      <c r="L9" s="183">
        <v>0</v>
      </c>
      <c r="M9" s="183">
        <v>0</v>
      </c>
      <c r="N9" s="183">
        <v>0</v>
      </c>
      <c r="O9" s="183">
        <v>0</v>
      </c>
      <c r="P9" s="183">
        <v>0</v>
      </c>
      <c r="Q9" s="183">
        <v>0</v>
      </c>
      <c r="R9" s="183">
        <v>0</v>
      </c>
      <c r="S9" s="183">
        <v>0</v>
      </c>
      <c r="T9" s="183">
        <v>0</v>
      </c>
      <c r="U9" s="183">
        <v>0</v>
      </c>
      <c r="V9" s="183">
        <v>0</v>
      </c>
      <c r="W9" s="183">
        <v>0</v>
      </c>
      <c r="X9" s="183">
        <v>0</v>
      </c>
      <c r="Y9" s="183">
        <v>0</v>
      </c>
      <c r="Z9" s="183">
        <v>0</v>
      </c>
      <c r="AA9" s="183">
        <v>0</v>
      </c>
      <c r="AB9" s="183">
        <v>0</v>
      </c>
      <c r="AC9" s="183">
        <v>0</v>
      </c>
      <c r="AD9" s="183">
        <v>0</v>
      </c>
      <c r="AE9" s="183">
        <v>0</v>
      </c>
      <c r="AF9" s="183">
        <v>0</v>
      </c>
      <c r="AG9" s="183">
        <v>0</v>
      </c>
      <c r="AH9" s="183">
        <v>0</v>
      </c>
      <c r="AI9" s="183">
        <v>5900</v>
      </c>
      <c r="AJ9" s="183">
        <v>0</v>
      </c>
      <c r="AK9" s="183">
        <v>0</v>
      </c>
      <c r="AL9" s="183">
        <v>0</v>
      </c>
      <c r="AM9" s="183">
        <v>0</v>
      </c>
      <c r="AN9" s="183">
        <v>0</v>
      </c>
      <c r="AO9" s="183">
        <v>0</v>
      </c>
    </row>
    <row r="10" spans="1:41" x14ac:dyDescent="0.3">
      <c r="A10" s="183" t="s">
        <v>121</v>
      </c>
      <c r="B10" s="208">
        <v>7</v>
      </c>
      <c r="C10" s="183">
        <v>47</v>
      </c>
      <c r="D10" s="183">
        <v>1</v>
      </c>
      <c r="E10" s="183">
        <v>10</v>
      </c>
      <c r="F10" s="183">
        <v>6000</v>
      </c>
      <c r="G10" s="183">
        <v>0</v>
      </c>
      <c r="H10" s="183">
        <v>0</v>
      </c>
      <c r="I10" s="183">
        <v>0</v>
      </c>
      <c r="J10" s="183">
        <v>0</v>
      </c>
      <c r="K10" s="183">
        <v>6000</v>
      </c>
      <c r="L10" s="183">
        <v>0</v>
      </c>
      <c r="M10" s="183">
        <v>0</v>
      </c>
      <c r="N10" s="183">
        <v>0</v>
      </c>
      <c r="O10" s="183">
        <v>0</v>
      </c>
      <c r="P10" s="183">
        <v>0</v>
      </c>
      <c r="Q10" s="183">
        <v>0</v>
      </c>
      <c r="R10" s="183">
        <v>0</v>
      </c>
      <c r="S10" s="183">
        <v>0</v>
      </c>
      <c r="T10" s="183">
        <v>0</v>
      </c>
      <c r="U10" s="183">
        <v>0</v>
      </c>
      <c r="V10" s="183">
        <v>0</v>
      </c>
      <c r="W10" s="183">
        <v>0</v>
      </c>
      <c r="X10" s="183">
        <v>0</v>
      </c>
      <c r="Y10" s="183">
        <v>0</v>
      </c>
      <c r="Z10" s="183">
        <v>0</v>
      </c>
      <c r="AA10" s="183">
        <v>0</v>
      </c>
      <c r="AB10" s="183">
        <v>0</v>
      </c>
      <c r="AC10" s="183">
        <v>0</v>
      </c>
      <c r="AD10" s="183">
        <v>0</v>
      </c>
      <c r="AE10" s="183">
        <v>0</v>
      </c>
      <c r="AF10" s="183">
        <v>0</v>
      </c>
      <c r="AG10" s="183">
        <v>0</v>
      </c>
      <c r="AH10" s="183">
        <v>0</v>
      </c>
      <c r="AI10" s="183">
        <v>0</v>
      </c>
      <c r="AJ10" s="183">
        <v>0</v>
      </c>
      <c r="AK10" s="183">
        <v>0</v>
      </c>
      <c r="AL10" s="183">
        <v>0</v>
      </c>
      <c r="AM10" s="183">
        <v>0</v>
      </c>
      <c r="AN10" s="183">
        <v>0</v>
      </c>
      <c r="AO10" s="183">
        <v>0</v>
      </c>
    </row>
    <row r="11" spans="1:41" x14ac:dyDescent="0.3">
      <c r="A11" s="183" t="s">
        <v>122</v>
      </c>
      <c r="B11" s="208">
        <v>8</v>
      </c>
      <c r="C11" s="183">
        <v>47</v>
      </c>
      <c r="D11" s="183">
        <v>1</v>
      </c>
      <c r="E11" s="183">
        <v>11</v>
      </c>
      <c r="F11" s="183">
        <v>8361.613294666915</v>
      </c>
      <c r="G11" s="183">
        <v>0</v>
      </c>
      <c r="H11" s="183">
        <v>28.279961333580143</v>
      </c>
      <c r="I11" s="183">
        <v>0</v>
      </c>
      <c r="J11" s="183">
        <v>0</v>
      </c>
      <c r="K11" s="183">
        <v>8333.3333333333339</v>
      </c>
      <c r="L11" s="183">
        <v>0</v>
      </c>
      <c r="M11" s="183">
        <v>0</v>
      </c>
      <c r="N11" s="183">
        <v>0</v>
      </c>
      <c r="O11" s="183">
        <v>0</v>
      </c>
      <c r="P11" s="183">
        <v>0</v>
      </c>
      <c r="Q11" s="183">
        <v>0</v>
      </c>
      <c r="R11" s="183">
        <v>0</v>
      </c>
      <c r="S11" s="183">
        <v>0</v>
      </c>
      <c r="T11" s="183">
        <v>0</v>
      </c>
      <c r="U11" s="183">
        <v>0</v>
      </c>
      <c r="V11" s="183">
        <v>0</v>
      </c>
      <c r="W11" s="183">
        <v>0</v>
      </c>
      <c r="X11" s="183">
        <v>0</v>
      </c>
      <c r="Y11" s="183">
        <v>0</v>
      </c>
      <c r="Z11" s="183">
        <v>0</v>
      </c>
      <c r="AA11" s="183">
        <v>0</v>
      </c>
      <c r="AB11" s="183">
        <v>0</v>
      </c>
      <c r="AC11" s="183">
        <v>0</v>
      </c>
      <c r="AD11" s="183">
        <v>0</v>
      </c>
      <c r="AE11" s="183">
        <v>0</v>
      </c>
      <c r="AF11" s="183">
        <v>0</v>
      </c>
      <c r="AG11" s="183">
        <v>0</v>
      </c>
      <c r="AH11" s="183">
        <v>0</v>
      </c>
      <c r="AI11" s="183">
        <v>0</v>
      </c>
      <c r="AJ11" s="183">
        <v>0</v>
      </c>
      <c r="AK11" s="183">
        <v>0</v>
      </c>
      <c r="AL11" s="183">
        <v>0</v>
      </c>
      <c r="AM11" s="183">
        <v>0</v>
      </c>
      <c r="AN11" s="183">
        <v>0</v>
      </c>
      <c r="AO11" s="183">
        <v>0</v>
      </c>
    </row>
    <row r="12" spans="1:41" x14ac:dyDescent="0.3">
      <c r="A12" s="183" t="s">
        <v>123</v>
      </c>
      <c r="B12" s="208">
        <v>9</v>
      </c>
      <c r="C12" s="183">
        <v>47</v>
      </c>
      <c r="D12" s="183">
        <v>2</v>
      </c>
      <c r="E12" s="183">
        <v>1</v>
      </c>
      <c r="F12" s="183">
        <v>53.85</v>
      </c>
      <c r="G12" s="183">
        <v>0</v>
      </c>
      <c r="H12" s="183">
        <v>0.1</v>
      </c>
      <c r="I12" s="183">
        <v>0</v>
      </c>
      <c r="J12" s="183">
        <v>0</v>
      </c>
      <c r="K12" s="183">
        <v>40.75</v>
      </c>
      <c r="L12" s="183">
        <v>0</v>
      </c>
      <c r="M12" s="183">
        <v>0</v>
      </c>
      <c r="N12" s="183">
        <v>0</v>
      </c>
      <c r="O12" s="183">
        <v>0</v>
      </c>
      <c r="P12" s="183">
        <v>0</v>
      </c>
      <c r="Q12" s="183">
        <v>0</v>
      </c>
      <c r="R12" s="183">
        <v>0</v>
      </c>
      <c r="S12" s="183">
        <v>0</v>
      </c>
      <c r="T12" s="183">
        <v>0</v>
      </c>
      <c r="U12" s="183">
        <v>0</v>
      </c>
      <c r="V12" s="183">
        <v>0</v>
      </c>
      <c r="W12" s="183">
        <v>0</v>
      </c>
      <c r="X12" s="183">
        <v>0</v>
      </c>
      <c r="Y12" s="183">
        <v>0</v>
      </c>
      <c r="Z12" s="183">
        <v>0</v>
      </c>
      <c r="AA12" s="183">
        <v>0</v>
      </c>
      <c r="AB12" s="183">
        <v>0</v>
      </c>
      <c r="AC12" s="183">
        <v>0</v>
      </c>
      <c r="AD12" s="183">
        <v>0</v>
      </c>
      <c r="AE12" s="183">
        <v>0</v>
      </c>
      <c r="AF12" s="183">
        <v>0</v>
      </c>
      <c r="AG12" s="183">
        <v>0</v>
      </c>
      <c r="AH12" s="183">
        <v>0</v>
      </c>
      <c r="AI12" s="183">
        <v>13</v>
      </c>
      <c r="AJ12" s="183">
        <v>0</v>
      </c>
      <c r="AK12" s="183">
        <v>0</v>
      </c>
      <c r="AL12" s="183">
        <v>0</v>
      </c>
      <c r="AM12" s="183">
        <v>0</v>
      </c>
      <c r="AN12" s="183">
        <v>0</v>
      </c>
      <c r="AO12" s="183">
        <v>0</v>
      </c>
    </row>
    <row r="13" spans="1:41" x14ac:dyDescent="0.3">
      <c r="A13" s="183" t="s">
        <v>124</v>
      </c>
      <c r="B13" s="208">
        <v>10</v>
      </c>
      <c r="C13" s="183">
        <v>47</v>
      </c>
      <c r="D13" s="183">
        <v>2</v>
      </c>
      <c r="E13" s="183">
        <v>2</v>
      </c>
      <c r="F13" s="183">
        <v>6759.5</v>
      </c>
      <c r="G13" s="183">
        <v>0</v>
      </c>
      <c r="H13" s="183">
        <v>12</v>
      </c>
      <c r="I13" s="183">
        <v>0</v>
      </c>
      <c r="J13" s="183">
        <v>0</v>
      </c>
      <c r="K13" s="183">
        <v>5161</v>
      </c>
      <c r="L13" s="183">
        <v>0</v>
      </c>
      <c r="M13" s="183">
        <v>0</v>
      </c>
      <c r="N13" s="183">
        <v>0</v>
      </c>
      <c r="O13" s="183">
        <v>0</v>
      </c>
      <c r="P13" s="183">
        <v>0</v>
      </c>
      <c r="Q13" s="183">
        <v>0</v>
      </c>
      <c r="R13" s="183">
        <v>0</v>
      </c>
      <c r="S13" s="183">
        <v>0</v>
      </c>
      <c r="T13" s="183">
        <v>0</v>
      </c>
      <c r="U13" s="183">
        <v>0</v>
      </c>
      <c r="V13" s="183">
        <v>0</v>
      </c>
      <c r="W13" s="183">
        <v>0</v>
      </c>
      <c r="X13" s="183">
        <v>0</v>
      </c>
      <c r="Y13" s="183">
        <v>0</v>
      </c>
      <c r="Z13" s="183">
        <v>0</v>
      </c>
      <c r="AA13" s="183">
        <v>0</v>
      </c>
      <c r="AB13" s="183">
        <v>0</v>
      </c>
      <c r="AC13" s="183">
        <v>0</v>
      </c>
      <c r="AD13" s="183">
        <v>0</v>
      </c>
      <c r="AE13" s="183">
        <v>0</v>
      </c>
      <c r="AF13" s="183">
        <v>0</v>
      </c>
      <c r="AG13" s="183">
        <v>0</v>
      </c>
      <c r="AH13" s="183">
        <v>0</v>
      </c>
      <c r="AI13" s="183">
        <v>1586.5</v>
      </c>
      <c r="AJ13" s="183">
        <v>0</v>
      </c>
      <c r="AK13" s="183">
        <v>0</v>
      </c>
      <c r="AL13" s="183">
        <v>0</v>
      </c>
      <c r="AM13" s="183">
        <v>0</v>
      </c>
      <c r="AN13" s="183">
        <v>0</v>
      </c>
      <c r="AO13" s="183">
        <v>0</v>
      </c>
    </row>
    <row r="14" spans="1:41" x14ac:dyDescent="0.3">
      <c r="A14" s="183" t="s">
        <v>125</v>
      </c>
      <c r="B14" s="208">
        <v>11</v>
      </c>
      <c r="C14" s="183">
        <v>47</v>
      </c>
      <c r="D14" s="183">
        <v>2</v>
      </c>
      <c r="E14" s="183">
        <v>4</v>
      </c>
      <c r="F14" s="183">
        <v>705</v>
      </c>
      <c r="G14" s="183">
        <v>0</v>
      </c>
      <c r="H14" s="183">
        <v>0</v>
      </c>
      <c r="I14" s="183">
        <v>0</v>
      </c>
      <c r="J14" s="183">
        <v>0</v>
      </c>
      <c r="K14" s="183">
        <v>495</v>
      </c>
      <c r="L14" s="183">
        <v>0</v>
      </c>
      <c r="M14" s="183">
        <v>0</v>
      </c>
      <c r="N14" s="183">
        <v>0</v>
      </c>
      <c r="O14" s="183">
        <v>0</v>
      </c>
      <c r="P14" s="183">
        <v>0</v>
      </c>
      <c r="Q14" s="183">
        <v>0</v>
      </c>
      <c r="R14" s="183">
        <v>0</v>
      </c>
      <c r="S14" s="183">
        <v>0</v>
      </c>
      <c r="T14" s="183">
        <v>0</v>
      </c>
      <c r="U14" s="183">
        <v>0</v>
      </c>
      <c r="V14" s="183">
        <v>0</v>
      </c>
      <c r="W14" s="183">
        <v>0</v>
      </c>
      <c r="X14" s="183">
        <v>0</v>
      </c>
      <c r="Y14" s="183">
        <v>0</v>
      </c>
      <c r="Z14" s="183">
        <v>0</v>
      </c>
      <c r="AA14" s="183">
        <v>0</v>
      </c>
      <c r="AB14" s="183">
        <v>0</v>
      </c>
      <c r="AC14" s="183">
        <v>0</v>
      </c>
      <c r="AD14" s="183">
        <v>0</v>
      </c>
      <c r="AE14" s="183">
        <v>0</v>
      </c>
      <c r="AF14" s="183">
        <v>0</v>
      </c>
      <c r="AG14" s="183">
        <v>0</v>
      </c>
      <c r="AH14" s="183">
        <v>0</v>
      </c>
      <c r="AI14" s="183">
        <v>210</v>
      </c>
      <c r="AJ14" s="183">
        <v>0</v>
      </c>
      <c r="AK14" s="183">
        <v>0</v>
      </c>
      <c r="AL14" s="183">
        <v>0</v>
      </c>
      <c r="AM14" s="183">
        <v>0</v>
      </c>
      <c r="AN14" s="183">
        <v>0</v>
      </c>
      <c r="AO14" s="183">
        <v>0</v>
      </c>
    </row>
    <row r="15" spans="1:41" x14ac:dyDescent="0.3">
      <c r="A15" s="183" t="s">
        <v>126</v>
      </c>
      <c r="B15" s="208">
        <v>12</v>
      </c>
      <c r="C15" s="183">
        <v>47</v>
      </c>
      <c r="D15" s="183">
        <v>2</v>
      </c>
      <c r="E15" s="183">
        <v>6</v>
      </c>
      <c r="F15" s="183">
        <v>1374119</v>
      </c>
      <c r="G15" s="183">
        <v>0</v>
      </c>
      <c r="H15" s="183">
        <v>9440</v>
      </c>
      <c r="I15" s="183">
        <v>0</v>
      </c>
      <c r="J15" s="183">
        <v>0</v>
      </c>
      <c r="K15" s="183">
        <v>1116062</v>
      </c>
      <c r="L15" s="183">
        <v>0</v>
      </c>
      <c r="M15" s="183">
        <v>0</v>
      </c>
      <c r="N15" s="183">
        <v>0</v>
      </c>
      <c r="O15" s="183">
        <v>0</v>
      </c>
      <c r="P15" s="183">
        <v>0</v>
      </c>
      <c r="Q15" s="183">
        <v>0</v>
      </c>
      <c r="R15" s="183">
        <v>0</v>
      </c>
      <c r="S15" s="183">
        <v>0</v>
      </c>
      <c r="T15" s="183">
        <v>0</v>
      </c>
      <c r="U15" s="183">
        <v>0</v>
      </c>
      <c r="V15" s="183">
        <v>0</v>
      </c>
      <c r="W15" s="183">
        <v>0</v>
      </c>
      <c r="X15" s="183">
        <v>0</v>
      </c>
      <c r="Y15" s="183">
        <v>0</v>
      </c>
      <c r="Z15" s="183">
        <v>0</v>
      </c>
      <c r="AA15" s="183">
        <v>0</v>
      </c>
      <c r="AB15" s="183">
        <v>0</v>
      </c>
      <c r="AC15" s="183">
        <v>0</v>
      </c>
      <c r="AD15" s="183">
        <v>0</v>
      </c>
      <c r="AE15" s="183">
        <v>0</v>
      </c>
      <c r="AF15" s="183">
        <v>0</v>
      </c>
      <c r="AG15" s="183">
        <v>0</v>
      </c>
      <c r="AH15" s="183">
        <v>0</v>
      </c>
      <c r="AI15" s="183">
        <v>248617</v>
      </c>
      <c r="AJ15" s="183">
        <v>0</v>
      </c>
      <c r="AK15" s="183">
        <v>0</v>
      </c>
      <c r="AL15" s="183">
        <v>0</v>
      </c>
      <c r="AM15" s="183">
        <v>0</v>
      </c>
      <c r="AN15" s="183">
        <v>0</v>
      </c>
      <c r="AO15" s="183">
        <v>0</v>
      </c>
    </row>
    <row r="16" spans="1:41" x14ac:dyDescent="0.3">
      <c r="A16" s="183" t="s">
        <v>114</v>
      </c>
      <c r="B16" s="208">
        <v>2015</v>
      </c>
      <c r="C16" s="183">
        <v>47</v>
      </c>
      <c r="D16" s="183">
        <v>2</v>
      </c>
      <c r="E16" s="183">
        <v>9</v>
      </c>
      <c r="F16" s="183">
        <v>28012</v>
      </c>
      <c r="G16" s="183">
        <v>0</v>
      </c>
      <c r="H16" s="183">
        <v>0</v>
      </c>
      <c r="I16" s="183">
        <v>0</v>
      </c>
      <c r="J16" s="183">
        <v>0</v>
      </c>
      <c r="K16" s="183">
        <v>22256</v>
      </c>
      <c r="L16" s="183">
        <v>0</v>
      </c>
      <c r="M16" s="183">
        <v>0</v>
      </c>
      <c r="N16" s="183">
        <v>0</v>
      </c>
      <c r="O16" s="183">
        <v>0</v>
      </c>
      <c r="P16" s="183">
        <v>0</v>
      </c>
      <c r="Q16" s="183">
        <v>0</v>
      </c>
      <c r="R16" s="183">
        <v>0</v>
      </c>
      <c r="S16" s="183">
        <v>0</v>
      </c>
      <c r="T16" s="183">
        <v>0</v>
      </c>
      <c r="U16" s="183">
        <v>0</v>
      </c>
      <c r="V16" s="183">
        <v>0</v>
      </c>
      <c r="W16" s="183">
        <v>0</v>
      </c>
      <c r="X16" s="183">
        <v>0</v>
      </c>
      <c r="Y16" s="183">
        <v>0</v>
      </c>
      <c r="Z16" s="183">
        <v>0</v>
      </c>
      <c r="AA16" s="183">
        <v>0</v>
      </c>
      <c r="AB16" s="183">
        <v>0</v>
      </c>
      <c r="AC16" s="183">
        <v>0</v>
      </c>
      <c r="AD16" s="183">
        <v>0</v>
      </c>
      <c r="AE16" s="183">
        <v>0</v>
      </c>
      <c r="AF16" s="183">
        <v>0</v>
      </c>
      <c r="AG16" s="183">
        <v>0</v>
      </c>
      <c r="AH16" s="183">
        <v>0</v>
      </c>
      <c r="AI16" s="183">
        <v>5756</v>
      </c>
      <c r="AJ16" s="183">
        <v>0</v>
      </c>
      <c r="AK16" s="183">
        <v>0</v>
      </c>
      <c r="AL16" s="183">
        <v>0</v>
      </c>
      <c r="AM16" s="183">
        <v>0</v>
      </c>
      <c r="AN16" s="183">
        <v>0</v>
      </c>
      <c r="AO16" s="183">
        <v>0</v>
      </c>
    </row>
    <row r="17" spans="3:41" x14ac:dyDescent="0.3">
      <c r="C17" s="183">
        <v>47</v>
      </c>
      <c r="D17" s="183">
        <v>2</v>
      </c>
      <c r="E17" s="183">
        <v>10</v>
      </c>
      <c r="F17" s="183">
        <v>15834</v>
      </c>
      <c r="G17" s="183">
        <v>0</v>
      </c>
      <c r="H17" s="183">
        <v>0</v>
      </c>
      <c r="I17" s="183">
        <v>0</v>
      </c>
      <c r="J17" s="183">
        <v>0</v>
      </c>
      <c r="K17" s="183">
        <v>15834</v>
      </c>
      <c r="L17" s="183">
        <v>0</v>
      </c>
      <c r="M17" s="183">
        <v>0</v>
      </c>
      <c r="N17" s="183">
        <v>0</v>
      </c>
      <c r="O17" s="183">
        <v>0</v>
      </c>
      <c r="P17" s="183">
        <v>0</v>
      </c>
      <c r="Q17" s="183">
        <v>0</v>
      </c>
      <c r="R17" s="183">
        <v>0</v>
      </c>
      <c r="S17" s="183">
        <v>0</v>
      </c>
      <c r="T17" s="183">
        <v>0</v>
      </c>
      <c r="U17" s="183">
        <v>0</v>
      </c>
      <c r="V17" s="183">
        <v>0</v>
      </c>
      <c r="W17" s="183">
        <v>0</v>
      </c>
      <c r="X17" s="183">
        <v>0</v>
      </c>
      <c r="Y17" s="183">
        <v>0</v>
      </c>
      <c r="Z17" s="183">
        <v>0</v>
      </c>
      <c r="AA17" s="183">
        <v>0</v>
      </c>
      <c r="AB17" s="183">
        <v>0</v>
      </c>
      <c r="AC17" s="183">
        <v>0</v>
      </c>
      <c r="AD17" s="183">
        <v>0</v>
      </c>
      <c r="AE17" s="183">
        <v>0</v>
      </c>
      <c r="AF17" s="183">
        <v>0</v>
      </c>
      <c r="AG17" s="183">
        <v>0</v>
      </c>
      <c r="AH17" s="183">
        <v>0</v>
      </c>
      <c r="AI17" s="183">
        <v>0</v>
      </c>
      <c r="AJ17" s="183">
        <v>0</v>
      </c>
      <c r="AK17" s="183">
        <v>0</v>
      </c>
      <c r="AL17" s="183">
        <v>0</v>
      </c>
      <c r="AM17" s="183">
        <v>0</v>
      </c>
      <c r="AN17" s="183">
        <v>0</v>
      </c>
      <c r="AO17" s="183">
        <v>0</v>
      </c>
    </row>
    <row r="18" spans="3:41" x14ac:dyDescent="0.3">
      <c r="C18" s="183">
        <v>47</v>
      </c>
      <c r="D18" s="183">
        <v>2</v>
      </c>
      <c r="E18" s="183">
        <v>11</v>
      </c>
      <c r="F18" s="183">
        <v>8361.613294666915</v>
      </c>
      <c r="G18" s="183">
        <v>0</v>
      </c>
      <c r="H18" s="183">
        <v>28.279961333580143</v>
      </c>
      <c r="I18" s="183">
        <v>0</v>
      </c>
      <c r="J18" s="183">
        <v>0</v>
      </c>
      <c r="K18" s="183">
        <v>8333.3333333333339</v>
      </c>
      <c r="L18" s="183">
        <v>0</v>
      </c>
      <c r="M18" s="183">
        <v>0</v>
      </c>
      <c r="N18" s="183">
        <v>0</v>
      </c>
      <c r="O18" s="183">
        <v>0</v>
      </c>
      <c r="P18" s="183">
        <v>0</v>
      </c>
      <c r="Q18" s="183">
        <v>0</v>
      </c>
      <c r="R18" s="183">
        <v>0</v>
      </c>
      <c r="S18" s="183">
        <v>0</v>
      </c>
      <c r="T18" s="183">
        <v>0</v>
      </c>
      <c r="U18" s="183">
        <v>0</v>
      </c>
      <c r="V18" s="183">
        <v>0</v>
      </c>
      <c r="W18" s="183">
        <v>0</v>
      </c>
      <c r="X18" s="183">
        <v>0</v>
      </c>
      <c r="Y18" s="183">
        <v>0</v>
      </c>
      <c r="Z18" s="183">
        <v>0</v>
      </c>
      <c r="AA18" s="183">
        <v>0</v>
      </c>
      <c r="AB18" s="183">
        <v>0</v>
      </c>
      <c r="AC18" s="183">
        <v>0</v>
      </c>
      <c r="AD18" s="183">
        <v>0</v>
      </c>
      <c r="AE18" s="183">
        <v>0</v>
      </c>
      <c r="AF18" s="183">
        <v>0</v>
      </c>
      <c r="AG18" s="183">
        <v>0</v>
      </c>
      <c r="AH18" s="183">
        <v>0</v>
      </c>
      <c r="AI18" s="183">
        <v>0</v>
      </c>
      <c r="AJ18" s="183">
        <v>0</v>
      </c>
      <c r="AK18" s="183">
        <v>0</v>
      </c>
      <c r="AL18" s="183">
        <v>0</v>
      </c>
      <c r="AM18" s="183">
        <v>0</v>
      </c>
      <c r="AN18" s="183">
        <v>0</v>
      </c>
      <c r="AO18" s="183">
        <v>0</v>
      </c>
    </row>
    <row r="19" spans="3:41" x14ac:dyDescent="0.3">
      <c r="C19" s="183">
        <v>47</v>
      </c>
      <c r="D19" s="183">
        <v>3</v>
      </c>
      <c r="E19" s="183">
        <v>1</v>
      </c>
      <c r="F19" s="183">
        <v>53.35</v>
      </c>
      <c r="G19" s="183">
        <v>0</v>
      </c>
      <c r="H19" s="183">
        <v>0.1</v>
      </c>
      <c r="I19" s="183">
        <v>0</v>
      </c>
      <c r="J19" s="183">
        <v>0</v>
      </c>
      <c r="K19" s="183">
        <v>40.25</v>
      </c>
      <c r="L19" s="183">
        <v>0</v>
      </c>
      <c r="M19" s="183">
        <v>0</v>
      </c>
      <c r="N19" s="183">
        <v>0</v>
      </c>
      <c r="O19" s="183">
        <v>0</v>
      </c>
      <c r="P19" s="183">
        <v>0</v>
      </c>
      <c r="Q19" s="183">
        <v>0</v>
      </c>
      <c r="R19" s="183">
        <v>0</v>
      </c>
      <c r="S19" s="183">
        <v>0</v>
      </c>
      <c r="T19" s="183">
        <v>0</v>
      </c>
      <c r="U19" s="183">
        <v>0</v>
      </c>
      <c r="V19" s="183">
        <v>0</v>
      </c>
      <c r="W19" s="183">
        <v>0</v>
      </c>
      <c r="X19" s="183">
        <v>0</v>
      </c>
      <c r="Y19" s="183">
        <v>0</v>
      </c>
      <c r="Z19" s="183">
        <v>0</v>
      </c>
      <c r="AA19" s="183">
        <v>0</v>
      </c>
      <c r="AB19" s="183">
        <v>0</v>
      </c>
      <c r="AC19" s="183">
        <v>0</v>
      </c>
      <c r="AD19" s="183">
        <v>0</v>
      </c>
      <c r="AE19" s="183">
        <v>0</v>
      </c>
      <c r="AF19" s="183">
        <v>0</v>
      </c>
      <c r="AG19" s="183">
        <v>0</v>
      </c>
      <c r="AH19" s="183">
        <v>0</v>
      </c>
      <c r="AI19" s="183">
        <v>13</v>
      </c>
      <c r="AJ19" s="183">
        <v>0</v>
      </c>
      <c r="AK19" s="183">
        <v>0</v>
      </c>
      <c r="AL19" s="183">
        <v>0</v>
      </c>
      <c r="AM19" s="183">
        <v>0</v>
      </c>
      <c r="AN19" s="183">
        <v>0</v>
      </c>
      <c r="AO19" s="183">
        <v>0</v>
      </c>
    </row>
    <row r="20" spans="3:41" x14ac:dyDescent="0.3">
      <c r="C20" s="183">
        <v>47</v>
      </c>
      <c r="D20" s="183">
        <v>3</v>
      </c>
      <c r="E20" s="183">
        <v>2</v>
      </c>
      <c r="F20" s="183">
        <v>7569.1</v>
      </c>
      <c r="G20" s="183">
        <v>0</v>
      </c>
      <c r="H20" s="183">
        <v>17.600000000000001</v>
      </c>
      <c r="I20" s="183">
        <v>0</v>
      </c>
      <c r="J20" s="183">
        <v>0</v>
      </c>
      <c r="K20" s="183">
        <v>5774.5</v>
      </c>
      <c r="L20" s="183">
        <v>0</v>
      </c>
      <c r="M20" s="183">
        <v>0</v>
      </c>
      <c r="N20" s="183">
        <v>0</v>
      </c>
      <c r="O20" s="183">
        <v>0</v>
      </c>
      <c r="P20" s="183">
        <v>0</v>
      </c>
      <c r="Q20" s="183">
        <v>0</v>
      </c>
      <c r="R20" s="183">
        <v>0</v>
      </c>
      <c r="S20" s="183">
        <v>0</v>
      </c>
      <c r="T20" s="183">
        <v>0</v>
      </c>
      <c r="U20" s="183">
        <v>0</v>
      </c>
      <c r="V20" s="183">
        <v>0</v>
      </c>
      <c r="W20" s="183">
        <v>0</v>
      </c>
      <c r="X20" s="183">
        <v>0</v>
      </c>
      <c r="Y20" s="183">
        <v>0</v>
      </c>
      <c r="Z20" s="183">
        <v>0</v>
      </c>
      <c r="AA20" s="183">
        <v>0</v>
      </c>
      <c r="AB20" s="183">
        <v>0</v>
      </c>
      <c r="AC20" s="183">
        <v>0</v>
      </c>
      <c r="AD20" s="183">
        <v>0</v>
      </c>
      <c r="AE20" s="183">
        <v>0</v>
      </c>
      <c r="AF20" s="183">
        <v>0</v>
      </c>
      <c r="AG20" s="183">
        <v>0</v>
      </c>
      <c r="AH20" s="183">
        <v>0</v>
      </c>
      <c r="AI20" s="183">
        <v>1777</v>
      </c>
      <c r="AJ20" s="183">
        <v>0</v>
      </c>
      <c r="AK20" s="183">
        <v>0</v>
      </c>
      <c r="AL20" s="183">
        <v>0</v>
      </c>
      <c r="AM20" s="183">
        <v>0</v>
      </c>
      <c r="AN20" s="183">
        <v>0</v>
      </c>
      <c r="AO20" s="183">
        <v>0</v>
      </c>
    </row>
    <row r="21" spans="3:41" x14ac:dyDescent="0.3">
      <c r="C21" s="183">
        <v>47</v>
      </c>
      <c r="D21" s="183">
        <v>3</v>
      </c>
      <c r="E21" s="183">
        <v>4</v>
      </c>
      <c r="F21" s="183">
        <v>757</v>
      </c>
      <c r="G21" s="183">
        <v>0</v>
      </c>
      <c r="H21" s="183">
        <v>0</v>
      </c>
      <c r="I21" s="183">
        <v>0</v>
      </c>
      <c r="J21" s="183">
        <v>0</v>
      </c>
      <c r="K21" s="183">
        <v>507</v>
      </c>
      <c r="L21" s="183">
        <v>0</v>
      </c>
      <c r="M21" s="183">
        <v>0</v>
      </c>
      <c r="N21" s="183">
        <v>0</v>
      </c>
      <c r="O21" s="183">
        <v>0</v>
      </c>
      <c r="P21" s="183">
        <v>0</v>
      </c>
      <c r="Q21" s="183">
        <v>0</v>
      </c>
      <c r="R21" s="183">
        <v>0</v>
      </c>
      <c r="S21" s="183">
        <v>0</v>
      </c>
      <c r="T21" s="183">
        <v>0</v>
      </c>
      <c r="U21" s="183">
        <v>0</v>
      </c>
      <c r="V21" s="183">
        <v>0</v>
      </c>
      <c r="W21" s="183">
        <v>0</v>
      </c>
      <c r="X21" s="183">
        <v>0</v>
      </c>
      <c r="Y21" s="183">
        <v>0</v>
      </c>
      <c r="Z21" s="183">
        <v>0</v>
      </c>
      <c r="AA21" s="183">
        <v>0</v>
      </c>
      <c r="AB21" s="183">
        <v>0</v>
      </c>
      <c r="AC21" s="183">
        <v>0</v>
      </c>
      <c r="AD21" s="183">
        <v>0</v>
      </c>
      <c r="AE21" s="183">
        <v>0</v>
      </c>
      <c r="AF21" s="183">
        <v>0</v>
      </c>
      <c r="AG21" s="183">
        <v>0</v>
      </c>
      <c r="AH21" s="183">
        <v>0</v>
      </c>
      <c r="AI21" s="183">
        <v>250</v>
      </c>
      <c r="AJ21" s="183">
        <v>0</v>
      </c>
      <c r="AK21" s="183">
        <v>0</v>
      </c>
      <c r="AL21" s="183">
        <v>0</v>
      </c>
      <c r="AM21" s="183">
        <v>0</v>
      </c>
      <c r="AN21" s="183">
        <v>0</v>
      </c>
      <c r="AO21" s="183">
        <v>0</v>
      </c>
    </row>
    <row r="22" spans="3:41" x14ac:dyDescent="0.3">
      <c r="C22" s="183">
        <v>47</v>
      </c>
      <c r="D22" s="183">
        <v>3</v>
      </c>
      <c r="E22" s="183">
        <v>6</v>
      </c>
      <c r="F22" s="183">
        <v>1410966</v>
      </c>
      <c r="G22" s="183">
        <v>0</v>
      </c>
      <c r="H22" s="183">
        <v>9605</v>
      </c>
      <c r="I22" s="183">
        <v>0</v>
      </c>
      <c r="J22" s="183">
        <v>0</v>
      </c>
      <c r="K22" s="183">
        <v>1146344</v>
      </c>
      <c r="L22" s="183">
        <v>0</v>
      </c>
      <c r="M22" s="183">
        <v>0</v>
      </c>
      <c r="N22" s="183">
        <v>0</v>
      </c>
      <c r="O22" s="183">
        <v>0</v>
      </c>
      <c r="P22" s="183">
        <v>0</v>
      </c>
      <c r="Q22" s="183">
        <v>0</v>
      </c>
      <c r="R22" s="183">
        <v>0</v>
      </c>
      <c r="S22" s="183">
        <v>0</v>
      </c>
      <c r="T22" s="183">
        <v>0</v>
      </c>
      <c r="U22" s="183">
        <v>0</v>
      </c>
      <c r="V22" s="183">
        <v>0</v>
      </c>
      <c r="W22" s="183">
        <v>0</v>
      </c>
      <c r="X22" s="183">
        <v>0</v>
      </c>
      <c r="Y22" s="183">
        <v>0</v>
      </c>
      <c r="Z22" s="183">
        <v>0</v>
      </c>
      <c r="AA22" s="183">
        <v>0</v>
      </c>
      <c r="AB22" s="183">
        <v>0</v>
      </c>
      <c r="AC22" s="183">
        <v>0</v>
      </c>
      <c r="AD22" s="183">
        <v>0</v>
      </c>
      <c r="AE22" s="183">
        <v>0</v>
      </c>
      <c r="AF22" s="183">
        <v>0</v>
      </c>
      <c r="AG22" s="183">
        <v>0</v>
      </c>
      <c r="AH22" s="183">
        <v>0</v>
      </c>
      <c r="AI22" s="183">
        <v>255017</v>
      </c>
      <c r="AJ22" s="183">
        <v>0</v>
      </c>
      <c r="AK22" s="183">
        <v>0</v>
      </c>
      <c r="AL22" s="183">
        <v>0</v>
      </c>
      <c r="AM22" s="183">
        <v>0</v>
      </c>
      <c r="AN22" s="183">
        <v>0</v>
      </c>
      <c r="AO22" s="183">
        <v>0</v>
      </c>
    </row>
    <row r="23" spans="3:41" x14ac:dyDescent="0.3">
      <c r="C23" s="183">
        <v>47</v>
      </c>
      <c r="D23" s="183">
        <v>3</v>
      </c>
      <c r="E23" s="183">
        <v>9</v>
      </c>
      <c r="F23" s="183">
        <v>20724</v>
      </c>
      <c r="G23" s="183">
        <v>0</v>
      </c>
      <c r="H23" s="183">
        <v>0</v>
      </c>
      <c r="I23" s="183">
        <v>0</v>
      </c>
      <c r="J23" s="183">
        <v>0</v>
      </c>
      <c r="K23" s="183">
        <v>8000</v>
      </c>
      <c r="L23" s="183">
        <v>0</v>
      </c>
      <c r="M23" s="183">
        <v>0</v>
      </c>
      <c r="N23" s="183">
        <v>0</v>
      </c>
      <c r="O23" s="183">
        <v>0</v>
      </c>
      <c r="P23" s="183">
        <v>0</v>
      </c>
      <c r="Q23" s="183">
        <v>0</v>
      </c>
      <c r="R23" s="183">
        <v>0</v>
      </c>
      <c r="S23" s="183">
        <v>0</v>
      </c>
      <c r="T23" s="183">
        <v>0</v>
      </c>
      <c r="U23" s="183">
        <v>0</v>
      </c>
      <c r="V23" s="183">
        <v>0</v>
      </c>
      <c r="W23" s="183">
        <v>0</v>
      </c>
      <c r="X23" s="183">
        <v>0</v>
      </c>
      <c r="Y23" s="183">
        <v>0</v>
      </c>
      <c r="Z23" s="183">
        <v>0</v>
      </c>
      <c r="AA23" s="183">
        <v>0</v>
      </c>
      <c r="AB23" s="183">
        <v>0</v>
      </c>
      <c r="AC23" s="183">
        <v>0</v>
      </c>
      <c r="AD23" s="183">
        <v>0</v>
      </c>
      <c r="AE23" s="183">
        <v>0</v>
      </c>
      <c r="AF23" s="183">
        <v>0</v>
      </c>
      <c r="AG23" s="183">
        <v>0</v>
      </c>
      <c r="AH23" s="183">
        <v>0</v>
      </c>
      <c r="AI23" s="183">
        <v>12724</v>
      </c>
      <c r="AJ23" s="183">
        <v>0</v>
      </c>
      <c r="AK23" s="183">
        <v>0</v>
      </c>
      <c r="AL23" s="183">
        <v>0</v>
      </c>
      <c r="AM23" s="183">
        <v>0</v>
      </c>
      <c r="AN23" s="183">
        <v>0</v>
      </c>
      <c r="AO23" s="183">
        <v>0</v>
      </c>
    </row>
    <row r="24" spans="3:41" x14ac:dyDescent="0.3">
      <c r="C24" s="183">
        <v>47</v>
      </c>
      <c r="D24" s="183">
        <v>3</v>
      </c>
      <c r="E24" s="183">
        <v>11</v>
      </c>
      <c r="F24" s="183">
        <v>8361.613294666915</v>
      </c>
      <c r="G24" s="183">
        <v>0</v>
      </c>
      <c r="H24" s="183">
        <v>28.279961333580143</v>
      </c>
      <c r="I24" s="183">
        <v>0</v>
      </c>
      <c r="J24" s="183">
        <v>0</v>
      </c>
      <c r="K24" s="183">
        <v>8333.3333333333339</v>
      </c>
      <c r="L24" s="183">
        <v>0</v>
      </c>
      <c r="M24" s="183">
        <v>0</v>
      </c>
      <c r="N24" s="183">
        <v>0</v>
      </c>
      <c r="O24" s="183">
        <v>0</v>
      </c>
      <c r="P24" s="183">
        <v>0</v>
      </c>
      <c r="Q24" s="183">
        <v>0</v>
      </c>
      <c r="R24" s="183">
        <v>0</v>
      </c>
      <c r="S24" s="183">
        <v>0</v>
      </c>
      <c r="T24" s="183">
        <v>0</v>
      </c>
      <c r="U24" s="183">
        <v>0</v>
      </c>
      <c r="V24" s="183">
        <v>0</v>
      </c>
      <c r="W24" s="183">
        <v>0</v>
      </c>
      <c r="X24" s="183">
        <v>0</v>
      </c>
      <c r="Y24" s="183">
        <v>0</v>
      </c>
      <c r="Z24" s="183">
        <v>0</v>
      </c>
      <c r="AA24" s="183">
        <v>0</v>
      </c>
      <c r="AB24" s="183">
        <v>0</v>
      </c>
      <c r="AC24" s="183">
        <v>0</v>
      </c>
      <c r="AD24" s="183">
        <v>0</v>
      </c>
      <c r="AE24" s="183">
        <v>0</v>
      </c>
      <c r="AF24" s="183">
        <v>0</v>
      </c>
      <c r="AG24" s="183">
        <v>0</v>
      </c>
      <c r="AH24" s="183">
        <v>0</v>
      </c>
      <c r="AI24" s="183">
        <v>0</v>
      </c>
      <c r="AJ24" s="183">
        <v>0</v>
      </c>
      <c r="AK24" s="183">
        <v>0</v>
      </c>
      <c r="AL24" s="183">
        <v>0</v>
      </c>
      <c r="AM24" s="183">
        <v>0</v>
      </c>
      <c r="AN24" s="183">
        <v>0</v>
      </c>
      <c r="AO24" s="183">
        <v>0</v>
      </c>
    </row>
    <row r="25" spans="3:41" x14ac:dyDescent="0.3">
      <c r="C25" s="183">
        <v>47</v>
      </c>
      <c r="D25" s="183">
        <v>4</v>
      </c>
      <c r="E25" s="183">
        <v>1</v>
      </c>
      <c r="F25" s="183">
        <v>55.35</v>
      </c>
      <c r="G25" s="183">
        <v>0</v>
      </c>
      <c r="H25" s="183">
        <v>0.1</v>
      </c>
      <c r="I25" s="183">
        <v>0</v>
      </c>
      <c r="J25" s="183">
        <v>0</v>
      </c>
      <c r="K25" s="183">
        <v>42.25</v>
      </c>
      <c r="L25" s="183">
        <v>0</v>
      </c>
      <c r="M25" s="183">
        <v>0</v>
      </c>
      <c r="N25" s="183">
        <v>0</v>
      </c>
      <c r="O25" s="183">
        <v>0</v>
      </c>
      <c r="P25" s="183">
        <v>0</v>
      </c>
      <c r="Q25" s="183">
        <v>0</v>
      </c>
      <c r="R25" s="183">
        <v>0</v>
      </c>
      <c r="S25" s="183">
        <v>0</v>
      </c>
      <c r="T25" s="183">
        <v>0</v>
      </c>
      <c r="U25" s="183">
        <v>0</v>
      </c>
      <c r="V25" s="183">
        <v>0</v>
      </c>
      <c r="W25" s="183">
        <v>0</v>
      </c>
      <c r="X25" s="183">
        <v>0</v>
      </c>
      <c r="Y25" s="183">
        <v>0</v>
      </c>
      <c r="Z25" s="183">
        <v>0</v>
      </c>
      <c r="AA25" s="183">
        <v>0</v>
      </c>
      <c r="AB25" s="183">
        <v>0</v>
      </c>
      <c r="AC25" s="183">
        <v>0</v>
      </c>
      <c r="AD25" s="183">
        <v>0</v>
      </c>
      <c r="AE25" s="183">
        <v>0</v>
      </c>
      <c r="AF25" s="183">
        <v>0</v>
      </c>
      <c r="AG25" s="183">
        <v>0</v>
      </c>
      <c r="AH25" s="183">
        <v>0</v>
      </c>
      <c r="AI25" s="183">
        <v>13</v>
      </c>
      <c r="AJ25" s="183">
        <v>0</v>
      </c>
      <c r="AK25" s="183">
        <v>0</v>
      </c>
      <c r="AL25" s="183">
        <v>0</v>
      </c>
      <c r="AM25" s="183">
        <v>0</v>
      </c>
      <c r="AN25" s="183">
        <v>0</v>
      </c>
      <c r="AO25" s="183">
        <v>0</v>
      </c>
    </row>
    <row r="26" spans="3:41" x14ac:dyDescent="0.3">
      <c r="C26" s="183">
        <v>47</v>
      </c>
      <c r="D26" s="183">
        <v>4</v>
      </c>
      <c r="E26" s="183">
        <v>2</v>
      </c>
      <c r="F26" s="183">
        <v>8591.2000000000007</v>
      </c>
      <c r="G26" s="183">
        <v>0</v>
      </c>
      <c r="H26" s="183">
        <v>35.200000000000003</v>
      </c>
      <c r="I26" s="183">
        <v>0</v>
      </c>
      <c r="J26" s="183">
        <v>0</v>
      </c>
      <c r="K26" s="183">
        <v>6481.25</v>
      </c>
      <c r="L26" s="183">
        <v>0</v>
      </c>
      <c r="M26" s="183">
        <v>0</v>
      </c>
      <c r="N26" s="183">
        <v>0</v>
      </c>
      <c r="O26" s="183">
        <v>0</v>
      </c>
      <c r="P26" s="183">
        <v>0</v>
      </c>
      <c r="Q26" s="183">
        <v>0</v>
      </c>
      <c r="R26" s="183">
        <v>0</v>
      </c>
      <c r="S26" s="183">
        <v>0</v>
      </c>
      <c r="T26" s="183">
        <v>0</v>
      </c>
      <c r="U26" s="183">
        <v>0</v>
      </c>
      <c r="V26" s="183">
        <v>0</v>
      </c>
      <c r="W26" s="183">
        <v>0</v>
      </c>
      <c r="X26" s="183">
        <v>0</v>
      </c>
      <c r="Y26" s="183">
        <v>0</v>
      </c>
      <c r="Z26" s="183">
        <v>0</v>
      </c>
      <c r="AA26" s="183">
        <v>0</v>
      </c>
      <c r="AB26" s="183">
        <v>0</v>
      </c>
      <c r="AC26" s="183">
        <v>0</v>
      </c>
      <c r="AD26" s="183">
        <v>0</v>
      </c>
      <c r="AE26" s="183">
        <v>0</v>
      </c>
      <c r="AF26" s="183">
        <v>0</v>
      </c>
      <c r="AG26" s="183">
        <v>0</v>
      </c>
      <c r="AH26" s="183">
        <v>0</v>
      </c>
      <c r="AI26" s="183">
        <v>2074.75</v>
      </c>
      <c r="AJ26" s="183">
        <v>0</v>
      </c>
      <c r="AK26" s="183">
        <v>0</v>
      </c>
      <c r="AL26" s="183">
        <v>0</v>
      </c>
      <c r="AM26" s="183">
        <v>0</v>
      </c>
      <c r="AN26" s="183">
        <v>0</v>
      </c>
      <c r="AO26" s="183">
        <v>0</v>
      </c>
    </row>
    <row r="27" spans="3:41" x14ac:dyDescent="0.3">
      <c r="C27" s="183">
        <v>47</v>
      </c>
      <c r="D27" s="183">
        <v>4</v>
      </c>
      <c r="E27" s="183">
        <v>4</v>
      </c>
      <c r="F27" s="183">
        <v>410</v>
      </c>
      <c r="G27" s="183">
        <v>0</v>
      </c>
      <c r="H27" s="183">
        <v>0</v>
      </c>
      <c r="I27" s="183">
        <v>0</v>
      </c>
      <c r="J27" s="183">
        <v>0</v>
      </c>
      <c r="K27" s="183">
        <v>180</v>
      </c>
      <c r="L27" s="183">
        <v>0</v>
      </c>
      <c r="M27" s="183">
        <v>0</v>
      </c>
      <c r="N27" s="183">
        <v>0</v>
      </c>
      <c r="O27" s="183">
        <v>0</v>
      </c>
      <c r="P27" s="183">
        <v>0</v>
      </c>
      <c r="Q27" s="183">
        <v>0</v>
      </c>
      <c r="R27" s="183">
        <v>0</v>
      </c>
      <c r="S27" s="183">
        <v>0</v>
      </c>
      <c r="T27" s="183">
        <v>0</v>
      </c>
      <c r="U27" s="183">
        <v>0</v>
      </c>
      <c r="V27" s="183">
        <v>0</v>
      </c>
      <c r="W27" s="183">
        <v>0</v>
      </c>
      <c r="X27" s="183">
        <v>0</v>
      </c>
      <c r="Y27" s="183">
        <v>0</v>
      </c>
      <c r="Z27" s="183">
        <v>0</v>
      </c>
      <c r="AA27" s="183">
        <v>0</v>
      </c>
      <c r="AB27" s="183">
        <v>0</v>
      </c>
      <c r="AC27" s="183">
        <v>0</v>
      </c>
      <c r="AD27" s="183">
        <v>0</v>
      </c>
      <c r="AE27" s="183">
        <v>0</v>
      </c>
      <c r="AF27" s="183">
        <v>0</v>
      </c>
      <c r="AG27" s="183">
        <v>0</v>
      </c>
      <c r="AH27" s="183">
        <v>0</v>
      </c>
      <c r="AI27" s="183">
        <v>230</v>
      </c>
      <c r="AJ27" s="183">
        <v>0</v>
      </c>
      <c r="AK27" s="183">
        <v>0</v>
      </c>
      <c r="AL27" s="183">
        <v>0</v>
      </c>
      <c r="AM27" s="183">
        <v>0</v>
      </c>
      <c r="AN27" s="183">
        <v>0</v>
      </c>
      <c r="AO27" s="183">
        <v>0</v>
      </c>
    </row>
    <row r="28" spans="3:41" x14ac:dyDescent="0.3">
      <c r="C28" s="183">
        <v>47</v>
      </c>
      <c r="D28" s="183">
        <v>4</v>
      </c>
      <c r="E28" s="183">
        <v>6</v>
      </c>
      <c r="F28" s="183">
        <v>1400039</v>
      </c>
      <c r="G28" s="183">
        <v>0</v>
      </c>
      <c r="H28" s="183">
        <v>9605</v>
      </c>
      <c r="I28" s="183">
        <v>0</v>
      </c>
      <c r="J28" s="183">
        <v>0</v>
      </c>
      <c r="K28" s="183">
        <v>1116901</v>
      </c>
      <c r="L28" s="183">
        <v>0</v>
      </c>
      <c r="M28" s="183">
        <v>0</v>
      </c>
      <c r="N28" s="183">
        <v>0</v>
      </c>
      <c r="O28" s="183">
        <v>0</v>
      </c>
      <c r="P28" s="183">
        <v>0</v>
      </c>
      <c r="Q28" s="183">
        <v>0</v>
      </c>
      <c r="R28" s="183">
        <v>0</v>
      </c>
      <c r="S28" s="183">
        <v>0</v>
      </c>
      <c r="T28" s="183">
        <v>0</v>
      </c>
      <c r="U28" s="183">
        <v>0</v>
      </c>
      <c r="V28" s="183">
        <v>0</v>
      </c>
      <c r="W28" s="183">
        <v>0</v>
      </c>
      <c r="X28" s="183">
        <v>0</v>
      </c>
      <c r="Y28" s="183">
        <v>0</v>
      </c>
      <c r="Z28" s="183">
        <v>0</v>
      </c>
      <c r="AA28" s="183">
        <v>0</v>
      </c>
      <c r="AB28" s="183">
        <v>0</v>
      </c>
      <c r="AC28" s="183">
        <v>0</v>
      </c>
      <c r="AD28" s="183">
        <v>0</v>
      </c>
      <c r="AE28" s="183">
        <v>0</v>
      </c>
      <c r="AF28" s="183">
        <v>0</v>
      </c>
      <c r="AG28" s="183">
        <v>0</v>
      </c>
      <c r="AH28" s="183">
        <v>0</v>
      </c>
      <c r="AI28" s="183">
        <v>273533</v>
      </c>
      <c r="AJ28" s="183">
        <v>0</v>
      </c>
      <c r="AK28" s="183">
        <v>0</v>
      </c>
      <c r="AL28" s="183">
        <v>0</v>
      </c>
      <c r="AM28" s="183">
        <v>0</v>
      </c>
      <c r="AN28" s="183">
        <v>0</v>
      </c>
      <c r="AO28" s="183">
        <v>0</v>
      </c>
    </row>
    <row r="29" spans="3:41" x14ac:dyDescent="0.3">
      <c r="C29" s="183">
        <v>47</v>
      </c>
      <c r="D29" s="183">
        <v>4</v>
      </c>
      <c r="E29" s="183">
        <v>9</v>
      </c>
      <c r="F29" s="183">
        <v>8772</v>
      </c>
      <c r="G29" s="183">
        <v>0</v>
      </c>
      <c r="H29" s="183">
        <v>0</v>
      </c>
      <c r="I29" s="183">
        <v>0</v>
      </c>
      <c r="J29" s="183">
        <v>0</v>
      </c>
      <c r="K29" s="183">
        <v>8000</v>
      </c>
      <c r="L29" s="183">
        <v>0</v>
      </c>
      <c r="M29" s="183">
        <v>0</v>
      </c>
      <c r="N29" s="183">
        <v>0</v>
      </c>
      <c r="O29" s="183">
        <v>0</v>
      </c>
      <c r="P29" s="183">
        <v>0</v>
      </c>
      <c r="Q29" s="183">
        <v>0</v>
      </c>
      <c r="R29" s="183">
        <v>0</v>
      </c>
      <c r="S29" s="183">
        <v>0</v>
      </c>
      <c r="T29" s="183">
        <v>0</v>
      </c>
      <c r="U29" s="183">
        <v>0</v>
      </c>
      <c r="V29" s="183">
        <v>0</v>
      </c>
      <c r="W29" s="183">
        <v>0</v>
      </c>
      <c r="X29" s="183">
        <v>0</v>
      </c>
      <c r="Y29" s="183">
        <v>0</v>
      </c>
      <c r="Z29" s="183">
        <v>0</v>
      </c>
      <c r="AA29" s="183">
        <v>0</v>
      </c>
      <c r="AB29" s="183">
        <v>0</v>
      </c>
      <c r="AC29" s="183">
        <v>0</v>
      </c>
      <c r="AD29" s="183">
        <v>0</v>
      </c>
      <c r="AE29" s="183">
        <v>0</v>
      </c>
      <c r="AF29" s="183">
        <v>0</v>
      </c>
      <c r="AG29" s="183">
        <v>0</v>
      </c>
      <c r="AH29" s="183">
        <v>0</v>
      </c>
      <c r="AI29" s="183">
        <v>772</v>
      </c>
      <c r="AJ29" s="183">
        <v>0</v>
      </c>
      <c r="AK29" s="183">
        <v>0</v>
      </c>
      <c r="AL29" s="183">
        <v>0</v>
      </c>
      <c r="AM29" s="183">
        <v>0</v>
      </c>
      <c r="AN29" s="183">
        <v>0</v>
      </c>
      <c r="AO29" s="183">
        <v>0</v>
      </c>
    </row>
    <row r="30" spans="3:41" x14ac:dyDescent="0.3">
      <c r="C30" s="183">
        <v>47</v>
      </c>
      <c r="D30" s="183">
        <v>4</v>
      </c>
      <c r="E30" s="183">
        <v>10</v>
      </c>
      <c r="F30" s="183">
        <v>1000</v>
      </c>
      <c r="G30" s="183">
        <v>0</v>
      </c>
      <c r="H30" s="183">
        <v>0</v>
      </c>
      <c r="I30" s="183">
        <v>0</v>
      </c>
      <c r="J30" s="183">
        <v>0</v>
      </c>
      <c r="K30" s="183">
        <v>1000</v>
      </c>
      <c r="L30" s="183">
        <v>0</v>
      </c>
      <c r="M30" s="183">
        <v>0</v>
      </c>
      <c r="N30" s="183">
        <v>0</v>
      </c>
      <c r="O30" s="183">
        <v>0</v>
      </c>
      <c r="P30" s="183">
        <v>0</v>
      </c>
      <c r="Q30" s="183">
        <v>0</v>
      </c>
      <c r="R30" s="183">
        <v>0</v>
      </c>
      <c r="S30" s="183">
        <v>0</v>
      </c>
      <c r="T30" s="183">
        <v>0</v>
      </c>
      <c r="U30" s="183">
        <v>0</v>
      </c>
      <c r="V30" s="183">
        <v>0</v>
      </c>
      <c r="W30" s="183">
        <v>0</v>
      </c>
      <c r="X30" s="183">
        <v>0</v>
      </c>
      <c r="Y30" s="183">
        <v>0</v>
      </c>
      <c r="Z30" s="183">
        <v>0</v>
      </c>
      <c r="AA30" s="183">
        <v>0</v>
      </c>
      <c r="AB30" s="183">
        <v>0</v>
      </c>
      <c r="AC30" s="183">
        <v>0</v>
      </c>
      <c r="AD30" s="183">
        <v>0</v>
      </c>
      <c r="AE30" s="183">
        <v>0</v>
      </c>
      <c r="AF30" s="183">
        <v>0</v>
      </c>
      <c r="AG30" s="183">
        <v>0</v>
      </c>
      <c r="AH30" s="183">
        <v>0</v>
      </c>
      <c r="AI30" s="183">
        <v>0</v>
      </c>
      <c r="AJ30" s="183">
        <v>0</v>
      </c>
      <c r="AK30" s="183">
        <v>0</v>
      </c>
      <c r="AL30" s="183">
        <v>0</v>
      </c>
      <c r="AM30" s="183">
        <v>0</v>
      </c>
      <c r="AN30" s="183">
        <v>0</v>
      </c>
      <c r="AO30" s="183">
        <v>0</v>
      </c>
    </row>
    <row r="31" spans="3:41" x14ac:dyDescent="0.3">
      <c r="C31" s="183">
        <v>47</v>
      </c>
      <c r="D31" s="183">
        <v>4</v>
      </c>
      <c r="E31" s="183">
        <v>11</v>
      </c>
      <c r="F31" s="183">
        <v>8361.613294666915</v>
      </c>
      <c r="G31" s="183">
        <v>0</v>
      </c>
      <c r="H31" s="183">
        <v>28.279961333580143</v>
      </c>
      <c r="I31" s="183">
        <v>0</v>
      </c>
      <c r="J31" s="183">
        <v>0</v>
      </c>
      <c r="K31" s="183">
        <v>8333.3333333333339</v>
      </c>
      <c r="L31" s="183">
        <v>0</v>
      </c>
      <c r="M31" s="183">
        <v>0</v>
      </c>
      <c r="N31" s="183">
        <v>0</v>
      </c>
      <c r="O31" s="183">
        <v>0</v>
      </c>
      <c r="P31" s="183">
        <v>0</v>
      </c>
      <c r="Q31" s="183">
        <v>0</v>
      </c>
      <c r="R31" s="183">
        <v>0</v>
      </c>
      <c r="S31" s="183">
        <v>0</v>
      </c>
      <c r="T31" s="183">
        <v>0</v>
      </c>
      <c r="U31" s="183">
        <v>0</v>
      </c>
      <c r="V31" s="183">
        <v>0</v>
      </c>
      <c r="W31" s="183">
        <v>0</v>
      </c>
      <c r="X31" s="183">
        <v>0</v>
      </c>
      <c r="Y31" s="183">
        <v>0</v>
      </c>
      <c r="Z31" s="183">
        <v>0</v>
      </c>
      <c r="AA31" s="183">
        <v>0</v>
      </c>
      <c r="AB31" s="183">
        <v>0</v>
      </c>
      <c r="AC31" s="183">
        <v>0</v>
      </c>
      <c r="AD31" s="183">
        <v>0</v>
      </c>
      <c r="AE31" s="183">
        <v>0</v>
      </c>
      <c r="AF31" s="183">
        <v>0</v>
      </c>
      <c r="AG31" s="183">
        <v>0</v>
      </c>
      <c r="AH31" s="183">
        <v>0</v>
      </c>
      <c r="AI31" s="183">
        <v>0</v>
      </c>
      <c r="AJ31" s="183">
        <v>0</v>
      </c>
      <c r="AK31" s="183">
        <v>0</v>
      </c>
      <c r="AL31" s="183">
        <v>0</v>
      </c>
      <c r="AM31" s="183">
        <v>0</v>
      </c>
      <c r="AN31" s="183">
        <v>0</v>
      </c>
      <c r="AO31" s="183">
        <v>0</v>
      </c>
    </row>
    <row r="32" spans="3:41" x14ac:dyDescent="0.3">
      <c r="C32" s="183">
        <v>47</v>
      </c>
      <c r="D32" s="183">
        <v>5</v>
      </c>
      <c r="E32" s="183">
        <v>1</v>
      </c>
      <c r="F32" s="183">
        <v>55.35</v>
      </c>
      <c r="G32" s="183">
        <v>0</v>
      </c>
      <c r="H32" s="183">
        <v>0.1</v>
      </c>
      <c r="I32" s="183">
        <v>0</v>
      </c>
      <c r="J32" s="183">
        <v>0</v>
      </c>
      <c r="K32" s="183">
        <v>42.25</v>
      </c>
      <c r="L32" s="183">
        <v>0</v>
      </c>
      <c r="M32" s="183">
        <v>0</v>
      </c>
      <c r="N32" s="183">
        <v>0</v>
      </c>
      <c r="O32" s="183">
        <v>0</v>
      </c>
      <c r="P32" s="183">
        <v>0</v>
      </c>
      <c r="Q32" s="183">
        <v>0</v>
      </c>
      <c r="R32" s="183">
        <v>0</v>
      </c>
      <c r="S32" s="183">
        <v>0</v>
      </c>
      <c r="T32" s="183">
        <v>0</v>
      </c>
      <c r="U32" s="183">
        <v>0</v>
      </c>
      <c r="V32" s="183">
        <v>0</v>
      </c>
      <c r="W32" s="183">
        <v>0</v>
      </c>
      <c r="X32" s="183">
        <v>0</v>
      </c>
      <c r="Y32" s="183">
        <v>0</v>
      </c>
      <c r="Z32" s="183">
        <v>0</v>
      </c>
      <c r="AA32" s="183">
        <v>0</v>
      </c>
      <c r="AB32" s="183">
        <v>0</v>
      </c>
      <c r="AC32" s="183">
        <v>0</v>
      </c>
      <c r="AD32" s="183">
        <v>0</v>
      </c>
      <c r="AE32" s="183">
        <v>0</v>
      </c>
      <c r="AF32" s="183">
        <v>0</v>
      </c>
      <c r="AG32" s="183">
        <v>0</v>
      </c>
      <c r="AH32" s="183">
        <v>0</v>
      </c>
      <c r="AI32" s="183">
        <v>13</v>
      </c>
      <c r="AJ32" s="183">
        <v>0</v>
      </c>
      <c r="AK32" s="183">
        <v>0</v>
      </c>
      <c r="AL32" s="183">
        <v>0</v>
      </c>
      <c r="AM32" s="183">
        <v>0</v>
      </c>
      <c r="AN32" s="183">
        <v>0</v>
      </c>
      <c r="AO32" s="183">
        <v>0</v>
      </c>
    </row>
    <row r="33" spans="3:41" x14ac:dyDescent="0.3">
      <c r="C33" s="183">
        <v>47</v>
      </c>
      <c r="D33" s="183">
        <v>5</v>
      </c>
      <c r="E33" s="183">
        <v>2</v>
      </c>
      <c r="F33" s="183">
        <v>7921.99</v>
      </c>
      <c r="G33" s="183">
        <v>0</v>
      </c>
      <c r="H33" s="183">
        <v>33.6</v>
      </c>
      <c r="I33" s="183">
        <v>0</v>
      </c>
      <c r="J33" s="183">
        <v>0</v>
      </c>
      <c r="K33" s="183">
        <v>5927.39</v>
      </c>
      <c r="L33" s="183">
        <v>0</v>
      </c>
      <c r="M33" s="183">
        <v>0</v>
      </c>
      <c r="N33" s="183">
        <v>0</v>
      </c>
      <c r="O33" s="183">
        <v>0</v>
      </c>
      <c r="P33" s="183">
        <v>0</v>
      </c>
      <c r="Q33" s="183">
        <v>0</v>
      </c>
      <c r="R33" s="183">
        <v>0</v>
      </c>
      <c r="S33" s="183">
        <v>0</v>
      </c>
      <c r="T33" s="183">
        <v>0</v>
      </c>
      <c r="U33" s="183">
        <v>0</v>
      </c>
      <c r="V33" s="183">
        <v>0</v>
      </c>
      <c r="W33" s="183">
        <v>0</v>
      </c>
      <c r="X33" s="183">
        <v>0</v>
      </c>
      <c r="Y33" s="183">
        <v>0</v>
      </c>
      <c r="Z33" s="183">
        <v>0</v>
      </c>
      <c r="AA33" s="183">
        <v>0</v>
      </c>
      <c r="AB33" s="183">
        <v>0</v>
      </c>
      <c r="AC33" s="183">
        <v>0</v>
      </c>
      <c r="AD33" s="183">
        <v>0</v>
      </c>
      <c r="AE33" s="183">
        <v>0</v>
      </c>
      <c r="AF33" s="183">
        <v>0</v>
      </c>
      <c r="AG33" s="183">
        <v>0</v>
      </c>
      <c r="AH33" s="183">
        <v>0</v>
      </c>
      <c r="AI33" s="183">
        <v>1961</v>
      </c>
      <c r="AJ33" s="183">
        <v>0</v>
      </c>
      <c r="AK33" s="183">
        <v>0</v>
      </c>
      <c r="AL33" s="183">
        <v>0</v>
      </c>
      <c r="AM33" s="183">
        <v>0</v>
      </c>
      <c r="AN33" s="183">
        <v>0</v>
      </c>
      <c r="AO33" s="183">
        <v>0</v>
      </c>
    </row>
    <row r="34" spans="3:41" x14ac:dyDescent="0.3">
      <c r="C34" s="183">
        <v>47</v>
      </c>
      <c r="D34" s="183">
        <v>5</v>
      </c>
      <c r="E34" s="183">
        <v>3</v>
      </c>
      <c r="F34" s="183">
        <v>40</v>
      </c>
      <c r="G34" s="183">
        <v>0</v>
      </c>
      <c r="H34" s="183">
        <v>0</v>
      </c>
      <c r="I34" s="183">
        <v>0</v>
      </c>
      <c r="J34" s="183">
        <v>0</v>
      </c>
      <c r="K34" s="183">
        <v>40</v>
      </c>
      <c r="L34" s="183">
        <v>0</v>
      </c>
      <c r="M34" s="183">
        <v>0</v>
      </c>
      <c r="N34" s="183">
        <v>0</v>
      </c>
      <c r="O34" s="183">
        <v>0</v>
      </c>
      <c r="P34" s="183">
        <v>0</v>
      </c>
      <c r="Q34" s="183">
        <v>0</v>
      </c>
      <c r="R34" s="183">
        <v>0</v>
      </c>
      <c r="S34" s="183">
        <v>0</v>
      </c>
      <c r="T34" s="183">
        <v>0</v>
      </c>
      <c r="U34" s="183">
        <v>0</v>
      </c>
      <c r="V34" s="183">
        <v>0</v>
      </c>
      <c r="W34" s="183">
        <v>0</v>
      </c>
      <c r="X34" s="183">
        <v>0</v>
      </c>
      <c r="Y34" s="183">
        <v>0</v>
      </c>
      <c r="Z34" s="183">
        <v>0</v>
      </c>
      <c r="AA34" s="183">
        <v>0</v>
      </c>
      <c r="AB34" s="183">
        <v>0</v>
      </c>
      <c r="AC34" s="183">
        <v>0</v>
      </c>
      <c r="AD34" s="183">
        <v>0</v>
      </c>
      <c r="AE34" s="183">
        <v>0</v>
      </c>
      <c r="AF34" s="183">
        <v>0</v>
      </c>
      <c r="AG34" s="183">
        <v>0</v>
      </c>
      <c r="AH34" s="183">
        <v>0</v>
      </c>
      <c r="AI34" s="183">
        <v>0</v>
      </c>
      <c r="AJ34" s="183">
        <v>0</v>
      </c>
      <c r="AK34" s="183">
        <v>0</v>
      </c>
      <c r="AL34" s="183">
        <v>0</v>
      </c>
      <c r="AM34" s="183">
        <v>0</v>
      </c>
      <c r="AN34" s="183">
        <v>0</v>
      </c>
      <c r="AO34" s="183">
        <v>0</v>
      </c>
    </row>
    <row r="35" spans="3:41" x14ac:dyDescent="0.3">
      <c r="C35" s="183">
        <v>47</v>
      </c>
      <c r="D35" s="183">
        <v>5</v>
      </c>
      <c r="E35" s="183">
        <v>4</v>
      </c>
      <c r="F35" s="183">
        <v>495</v>
      </c>
      <c r="G35" s="183">
        <v>0</v>
      </c>
      <c r="H35" s="183">
        <v>0</v>
      </c>
      <c r="I35" s="183">
        <v>0</v>
      </c>
      <c r="J35" s="183">
        <v>0</v>
      </c>
      <c r="K35" s="183">
        <v>310</v>
      </c>
      <c r="L35" s="183">
        <v>0</v>
      </c>
      <c r="M35" s="183">
        <v>0</v>
      </c>
      <c r="N35" s="183">
        <v>0</v>
      </c>
      <c r="O35" s="183">
        <v>0</v>
      </c>
      <c r="P35" s="183">
        <v>0</v>
      </c>
      <c r="Q35" s="183">
        <v>0</v>
      </c>
      <c r="R35" s="183">
        <v>0</v>
      </c>
      <c r="S35" s="183">
        <v>0</v>
      </c>
      <c r="T35" s="183">
        <v>0</v>
      </c>
      <c r="U35" s="183">
        <v>0</v>
      </c>
      <c r="V35" s="183">
        <v>0</v>
      </c>
      <c r="W35" s="183">
        <v>0</v>
      </c>
      <c r="X35" s="183">
        <v>0</v>
      </c>
      <c r="Y35" s="183">
        <v>0</v>
      </c>
      <c r="Z35" s="183">
        <v>0</v>
      </c>
      <c r="AA35" s="183">
        <v>0</v>
      </c>
      <c r="AB35" s="183">
        <v>0</v>
      </c>
      <c r="AC35" s="183">
        <v>0</v>
      </c>
      <c r="AD35" s="183">
        <v>0</v>
      </c>
      <c r="AE35" s="183">
        <v>0</v>
      </c>
      <c r="AF35" s="183">
        <v>0</v>
      </c>
      <c r="AG35" s="183">
        <v>0</v>
      </c>
      <c r="AH35" s="183">
        <v>0</v>
      </c>
      <c r="AI35" s="183">
        <v>185</v>
      </c>
      <c r="AJ35" s="183">
        <v>0</v>
      </c>
      <c r="AK35" s="183">
        <v>0</v>
      </c>
      <c r="AL35" s="183">
        <v>0</v>
      </c>
      <c r="AM35" s="183">
        <v>0</v>
      </c>
      <c r="AN35" s="183">
        <v>0</v>
      </c>
      <c r="AO35" s="183">
        <v>0</v>
      </c>
    </row>
    <row r="36" spans="3:41" x14ac:dyDescent="0.3">
      <c r="C36" s="183">
        <v>47</v>
      </c>
      <c r="D36" s="183">
        <v>5</v>
      </c>
      <c r="E36" s="183">
        <v>6</v>
      </c>
      <c r="F36" s="183">
        <v>1489061</v>
      </c>
      <c r="G36" s="183">
        <v>0</v>
      </c>
      <c r="H36" s="183">
        <v>9605</v>
      </c>
      <c r="I36" s="183">
        <v>0</v>
      </c>
      <c r="J36" s="183">
        <v>0</v>
      </c>
      <c r="K36" s="183">
        <v>1201978</v>
      </c>
      <c r="L36" s="183">
        <v>0</v>
      </c>
      <c r="M36" s="183">
        <v>0</v>
      </c>
      <c r="N36" s="183">
        <v>0</v>
      </c>
      <c r="O36" s="183">
        <v>0</v>
      </c>
      <c r="P36" s="183">
        <v>0</v>
      </c>
      <c r="Q36" s="183">
        <v>0</v>
      </c>
      <c r="R36" s="183">
        <v>0</v>
      </c>
      <c r="S36" s="183">
        <v>0</v>
      </c>
      <c r="T36" s="183">
        <v>0</v>
      </c>
      <c r="U36" s="183">
        <v>0</v>
      </c>
      <c r="V36" s="183">
        <v>0</v>
      </c>
      <c r="W36" s="183">
        <v>0</v>
      </c>
      <c r="X36" s="183">
        <v>0</v>
      </c>
      <c r="Y36" s="183">
        <v>0</v>
      </c>
      <c r="Z36" s="183">
        <v>0</v>
      </c>
      <c r="AA36" s="183">
        <v>0</v>
      </c>
      <c r="AB36" s="183">
        <v>0</v>
      </c>
      <c r="AC36" s="183">
        <v>0</v>
      </c>
      <c r="AD36" s="183">
        <v>0</v>
      </c>
      <c r="AE36" s="183">
        <v>0</v>
      </c>
      <c r="AF36" s="183">
        <v>0</v>
      </c>
      <c r="AG36" s="183">
        <v>0</v>
      </c>
      <c r="AH36" s="183">
        <v>0</v>
      </c>
      <c r="AI36" s="183">
        <v>277478</v>
      </c>
      <c r="AJ36" s="183">
        <v>0</v>
      </c>
      <c r="AK36" s="183">
        <v>0</v>
      </c>
      <c r="AL36" s="183">
        <v>0</v>
      </c>
      <c r="AM36" s="183">
        <v>0</v>
      </c>
      <c r="AN36" s="183">
        <v>0</v>
      </c>
      <c r="AO36" s="183">
        <v>0</v>
      </c>
    </row>
    <row r="37" spans="3:41" x14ac:dyDescent="0.3">
      <c r="C37" s="183">
        <v>47</v>
      </c>
      <c r="D37" s="183">
        <v>5</v>
      </c>
      <c r="E37" s="183">
        <v>9</v>
      </c>
      <c r="F37" s="183">
        <v>8772</v>
      </c>
      <c r="G37" s="183">
        <v>0</v>
      </c>
      <c r="H37" s="183">
        <v>0</v>
      </c>
      <c r="I37" s="183">
        <v>0</v>
      </c>
      <c r="J37" s="183">
        <v>0</v>
      </c>
      <c r="K37" s="183">
        <v>8000</v>
      </c>
      <c r="L37" s="183">
        <v>0</v>
      </c>
      <c r="M37" s="183">
        <v>0</v>
      </c>
      <c r="N37" s="183">
        <v>0</v>
      </c>
      <c r="O37" s="183">
        <v>0</v>
      </c>
      <c r="P37" s="183">
        <v>0</v>
      </c>
      <c r="Q37" s="183">
        <v>0</v>
      </c>
      <c r="R37" s="183">
        <v>0</v>
      </c>
      <c r="S37" s="183">
        <v>0</v>
      </c>
      <c r="T37" s="183">
        <v>0</v>
      </c>
      <c r="U37" s="183">
        <v>0</v>
      </c>
      <c r="V37" s="183">
        <v>0</v>
      </c>
      <c r="W37" s="183">
        <v>0</v>
      </c>
      <c r="X37" s="183">
        <v>0</v>
      </c>
      <c r="Y37" s="183">
        <v>0</v>
      </c>
      <c r="Z37" s="183">
        <v>0</v>
      </c>
      <c r="AA37" s="183">
        <v>0</v>
      </c>
      <c r="AB37" s="183">
        <v>0</v>
      </c>
      <c r="AC37" s="183">
        <v>0</v>
      </c>
      <c r="AD37" s="183">
        <v>0</v>
      </c>
      <c r="AE37" s="183">
        <v>0</v>
      </c>
      <c r="AF37" s="183">
        <v>0</v>
      </c>
      <c r="AG37" s="183">
        <v>0</v>
      </c>
      <c r="AH37" s="183">
        <v>0</v>
      </c>
      <c r="AI37" s="183">
        <v>772</v>
      </c>
      <c r="AJ37" s="183">
        <v>0</v>
      </c>
      <c r="AK37" s="183">
        <v>0</v>
      </c>
      <c r="AL37" s="183">
        <v>0</v>
      </c>
      <c r="AM37" s="183">
        <v>0</v>
      </c>
      <c r="AN37" s="183">
        <v>0</v>
      </c>
      <c r="AO37" s="183">
        <v>0</v>
      </c>
    </row>
    <row r="38" spans="3:41" x14ac:dyDescent="0.3">
      <c r="C38" s="183">
        <v>47</v>
      </c>
      <c r="D38" s="183">
        <v>5</v>
      </c>
      <c r="E38" s="183">
        <v>10</v>
      </c>
      <c r="F38" s="183">
        <v>900</v>
      </c>
      <c r="G38" s="183">
        <v>0</v>
      </c>
      <c r="H38" s="183">
        <v>900</v>
      </c>
      <c r="I38" s="183">
        <v>0</v>
      </c>
      <c r="J38" s="183">
        <v>0</v>
      </c>
      <c r="K38" s="183">
        <v>0</v>
      </c>
      <c r="L38" s="183">
        <v>0</v>
      </c>
      <c r="M38" s="183">
        <v>0</v>
      </c>
      <c r="N38" s="183">
        <v>0</v>
      </c>
      <c r="O38" s="183">
        <v>0</v>
      </c>
      <c r="P38" s="183">
        <v>0</v>
      </c>
      <c r="Q38" s="183">
        <v>0</v>
      </c>
      <c r="R38" s="183">
        <v>0</v>
      </c>
      <c r="S38" s="183">
        <v>0</v>
      </c>
      <c r="T38" s="183">
        <v>0</v>
      </c>
      <c r="U38" s="183">
        <v>0</v>
      </c>
      <c r="V38" s="183">
        <v>0</v>
      </c>
      <c r="W38" s="183">
        <v>0</v>
      </c>
      <c r="X38" s="183">
        <v>0</v>
      </c>
      <c r="Y38" s="183">
        <v>0</v>
      </c>
      <c r="Z38" s="183">
        <v>0</v>
      </c>
      <c r="AA38" s="183">
        <v>0</v>
      </c>
      <c r="AB38" s="183">
        <v>0</v>
      </c>
      <c r="AC38" s="183">
        <v>0</v>
      </c>
      <c r="AD38" s="183">
        <v>0</v>
      </c>
      <c r="AE38" s="183">
        <v>0</v>
      </c>
      <c r="AF38" s="183">
        <v>0</v>
      </c>
      <c r="AG38" s="183">
        <v>0</v>
      </c>
      <c r="AH38" s="183">
        <v>0</v>
      </c>
      <c r="AI38" s="183">
        <v>0</v>
      </c>
      <c r="AJ38" s="183">
        <v>0</v>
      </c>
      <c r="AK38" s="183">
        <v>0</v>
      </c>
      <c r="AL38" s="183">
        <v>0</v>
      </c>
      <c r="AM38" s="183">
        <v>0</v>
      </c>
      <c r="AN38" s="183">
        <v>0</v>
      </c>
      <c r="AO38" s="183">
        <v>0</v>
      </c>
    </row>
    <row r="39" spans="3:41" x14ac:dyDescent="0.3">
      <c r="C39" s="183">
        <v>47</v>
      </c>
      <c r="D39" s="183">
        <v>5</v>
      </c>
      <c r="E39" s="183">
        <v>11</v>
      </c>
      <c r="F39" s="183">
        <v>8361.613294666915</v>
      </c>
      <c r="G39" s="183">
        <v>0</v>
      </c>
      <c r="H39" s="183">
        <v>28.279961333580143</v>
      </c>
      <c r="I39" s="183">
        <v>0</v>
      </c>
      <c r="J39" s="183">
        <v>0</v>
      </c>
      <c r="K39" s="183">
        <v>8333.3333333333339</v>
      </c>
      <c r="L39" s="183">
        <v>0</v>
      </c>
      <c r="M39" s="183">
        <v>0</v>
      </c>
      <c r="N39" s="183">
        <v>0</v>
      </c>
      <c r="O39" s="183">
        <v>0</v>
      </c>
      <c r="P39" s="183">
        <v>0</v>
      </c>
      <c r="Q39" s="183">
        <v>0</v>
      </c>
      <c r="R39" s="183">
        <v>0</v>
      </c>
      <c r="S39" s="183">
        <v>0</v>
      </c>
      <c r="T39" s="183">
        <v>0</v>
      </c>
      <c r="U39" s="183">
        <v>0</v>
      </c>
      <c r="V39" s="183">
        <v>0</v>
      </c>
      <c r="W39" s="183">
        <v>0</v>
      </c>
      <c r="X39" s="183">
        <v>0</v>
      </c>
      <c r="Y39" s="183">
        <v>0</v>
      </c>
      <c r="Z39" s="183">
        <v>0</v>
      </c>
      <c r="AA39" s="183">
        <v>0</v>
      </c>
      <c r="AB39" s="183">
        <v>0</v>
      </c>
      <c r="AC39" s="183">
        <v>0</v>
      </c>
      <c r="AD39" s="183">
        <v>0</v>
      </c>
      <c r="AE39" s="183">
        <v>0</v>
      </c>
      <c r="AF39" s="183">
        <v>0</v>
      </c>
      <c r="AG39" s="183">
        <v>0</v>
      </c>
      <c r="AH39" s="183">
        <v>0</v>
      </c>
      <c r="AI39" s="183">
        <v>0</v>
      </c>
      <c r="AJ39" s="183">
        <v>0</v>
      </c>
      <c r="AK39" s="183">
        <v>0</v>
      </c>
      <c r="AL39" s="183">
        <v>0</v>
      </c>
      <c r="AM39" s="183">
        <v>0</v>
      </c>
      <c r="AN39" s="183">
        <v>0</v>
      </c>
      <c r="AO39" s="183">
        <v>0</v>
      </c>
    </row>
    <row r="40" spans="3:41" x14ac:dyDescent="0.3">
      <c r="C40" s="183">
        <v>47</v>
      </c>
      <c r="D40" s="183">
        <v>6</v>
      </c>
      <c r="E40" s="183">
        <v>1</v>
      </c>
      <c r="F40" s="183">
        <v>52.35</v>
      </c>
      <c r="G40" s="183">
        <v>0</v>
      </c>
      <c r="H40" s="183">
        <v>0.1</v>
      </c>
      <c r="I40" s="183">
        <v>0</v>
      </c>
      <c r="J40" s="183">
        <v>0</v>
      </c>
      <c r="K40" s="183">
        <v>39.25</v>
      </c>
      <c r="L40" s="183">
        <v>0</v>
      </c>
      <c r="M40" s="183">
        <v>0</v>
      </c>
      <c r="N40" s="183">
        <v>0</v>
      </c>
      <c r="O40" s="183">
        <v>0</v>
      </c>
      <c r="P40" s="183">
        <v>0</v>
      </c>
      <c r="Q40" s="183">
        <v>0</v>
      </c>
      <c r="R40" s="183">
        <v>0</v>
      </c>
      <c r="S40" s="183">
        <v>0</v>
      </c>
      <c r="T40" s="183">
        <v>0</v>
      </c>
      <c r="U40" s="183">
        <v>0</v>
      </c>
      <c r="V40" s="183">
        <v>0</v>
      </c>
      <c r="W40" s="183">
        <v>0</v>
      </c>
      <c r="X40" s="183">
        <v>0</v>
      </c>
      <c r="Y40" s="183">
        <v>0</v>
      </c>
      <c r="Z40" s="183">
        <v>0</v>
      </c>
      <c r="AA40" s="183">
        <v>0</v>
      </c>
      <c r="AB40" s="183">
        <v>0</v>
      </c>
      <c r="AC40" s="183">
        <v>0</v>
      </c>
      <c r="AD40" s="183">
        <v>0</v>
      </c>
      <c r="AE40" s="183">
        <v>0</v>
      </c>
      <c r="AF40" s="183">
        <v>0</v>
      </c>
      <c r="AG40" s="183">
        <v>0</v>
      </c>
      <c r="AH40" s="183">
        <v>0</v>
      </c>
      <c r="AI40" s="183">
        <v>13</v>
      </c>
      <c r="AJ40" s="183">
        <v>0</v>
      </c>
      <c r="AK40" s="183">
        <v>0</v>
      </c>
      <c r="AL40" s="183">
        <v>0</v>
      </c>
      <c r="AM40" s="183">
        <v>0</v>
      </c>
      <c r="AN40" s="183">
        <v>0</v>
      </c>
      <c r="AO40" s="183">
        <v>0</v>
      </c>
    </row>
    <row r="41" spans="3:41" x14ac:dyDescent="0.3">
      <c r="C41" s="183">
        <v>47</v>
      </c>
      <c r="D41" s="183">
        <v>6</v>
      </c>
      <c r="E41" s="183">
        <v>2</v>
      </c>
      <c r="F41" s="183">
        <v>7250.2</v>
      </c>
      <c r="G41" s="183">
        <v>0</v>
      </c>
      <c r="H41" s="183">
        <v>35.200000000000003</v>
      </c>
      <c r="I41" s="183">
        <v>0</v>
      </c>
      <c r="J41" s="183">
        <v>0</v>
      </c>
      <c r="K41" s="183">
        <v>5274.5</v>
      </c>
      <c r="L41" s="183">
        <v>0</v>
      </c>
      <c r="M41" s="183">
        <v>0</v>
      </c>
      <c r="N41" s="183">
        <v>0</v>
      </c>
      <c r="O41" s="183">
        <v>0</v>
      </c>
      <c r="P41" s="183">
        <v>0</v>
      </c>
      <c r="Q41" s="183">
        <v>0</v>
      </c>
      <c r="R41" s="183">
        <v>0</v>
      </c>
      <c r="S41" s="183">
        <v>0</v>
      </c>
      <c r="T41" s="183">
        <v>0</v>
      </c>
      <c r="U41" s="183">
        <v>0</v>
      </c>
      <c r="V41" s="183">
        <v>0</v>
      </c>
      <c r="W41" s="183">
        <v>0</v>
      </c>
      <c r="X41" s="183">
        <v>0</v>
      </c>
      <c r="Y41" s="183">
        <v>0</v>
      </c>
      <c r="Z41" s="183">
        <v>0</v>
      </c>
      <c r="AA41" s="183">
        <v>0</v>
      </c>
      <c r="AB41" s="183">
        <v>0</v>
      </c>
      <c r="AC41" s="183">
        <v>0</v>
      </c>
      <c r="AD41" s="183">
        <v>0</v>
      </c>
      <c r="AE41" s="183">
        <v>0</v>
      </c>
      <c r="AF41" s="183">
        <v>0</v>
      </c>
      <c r="AG41" s="183">
        <v>0</v>
      </c>
      <c r="AH41" s="183">
        <v>0</v>
      </c>
      <c r="AI41" s="183">
        <v>1940.5</v>
      </c>
      <c r="AJ41" s="183">
        <v>0</v>
      </c>
      <c r="AK41" s="183">
        <v>0</v>
      </c>
      <c r="AL41" s="183">
        <v>0</v>
      </c>
      <c r="AM41" s="183">
        <v>0</v>
      </c>
      <c r="AN41" s="183">
        <v>0</v>
      </c>
      <c r="AO41" s="183">
        <v>0</v>
      </c>
    </row>
    <row r="42" spans="3:41" x14ac:dyDescent="0.3">
      <c r="C42" s="183">
        <v>47</v>
      </c>
      <c r="D42" s="183">
        <v>6</v>
      </c>
      <c r="E42" s="183">
        <v>3</v>
      </c>
      <c r="F42" s="183">
        <v>50</v>
      </c>
      <c r="G42" s="183">
        <v>0</v>
      </c>
      <c r="H42" s="183">
        <v>0</v>
      </c>
      <c r="I42" s="183">
        <v>0</v>
      </c>
      <c r="J42" s="183">
        <v>0</v>
      </c>
      <c r="K42" s="183">
        <v>50</v>
      </c>
      <c r="L42" s="183">
        <v>0</v>
      </c>
      <c r="M42" s="183">
        <v>0</v>
      </c>
      <c r="N42" s="183">
        <v>0</v>
      </c>
      <c r="O42" s="183">
        <v>0</v>
      </c>
      <c r="P42" s="183">
        <v>0</v>
      </c>
      <c r="Q42" s="183">
        <v>0</v>
      </c>
      <c r="R42" s="183">
        <v>0</v>
      </c>
      <c r="S42" s="183">
        <v>0</v>
      </c>
      <c r="T42" s="183">
        <v>0</v>
      </c>
      <c r="U42" s="183">
        <v>0</v>
      </c>
      <c r="V42" s="183">
        <v>0</v>
      </c>
      <c r="W42" s="183">
        <v>0</v>
      </c>
      <c r="X42" s="183">
        <v>0</v>
      </c>
      <c r="Y42" s="183">
        <v>0</v>
      </c>
      <c r="Z42" s="183">
        <v>0</v>
      </c>
      <c r="AA42" s="183">
        <v>0</v>
      </c>
      <c r="AB42" s="183">
        <v>0</v>
      </c>
      <c r="AC42" s="183">
        <v>0</v>
      </c>
      <c r="AD42" s="183">
        <v>0</v>
      </c>
      <c r="AE42" s="183">
        <v>0</v>
      </c>
      <c r="AF42" s="183">
        <v>0</v>
      </c>
      <c r="AG42" s="183">
        <v>0</v>
      </c>
      <c r="AH42" s="183">
        <v>0</v>
      </c>
      <c r="AI42" s="183">
        <v>0</v>
      </c>
      <c r="AJ42" s="183">
        <v>0</v>
      </c>
      <c r="AK42" s="183">
        <v>0</v>
      </c>
      <c r="AL42" s="183">
        <v>0</v>
      </c>
      <c r="AM42" s="183">
        <v>0</v>
      </c>
      <c r="AN42" s="183">
        <v>0</v>
      </c>
      <c r="AO42" s="183">
        <v>0</v>
      </c>
    </row>
    <row r="43" spans="3:41" x14ac:dyDescent="0.3">
      <c r="C43" s="183">
        <v>47</v>
      </c>
      <c r="D43" s="183">
        <v>6</v>
      </c>
      <c r="E43" s="183">
        <v>4</v>
      </c>
      <c r="F43" s="183">
        <v>596.5</v>
      </c>
      <c r="G43" s="183">
        <v>0</v>
      </c>
      <c r="H43" s="183">
        <v>0</v>
      </c>
      <c r="I43" s="183">
        <v>0</v>
      </c>
      <c r="J43" s="183">
        <v>0</v>
      </c>
      <c r="K43" s="183">
        <v>371.5</v>
      </c>
      <c r="L43" s="183">
        <v>0</v>
      </c>
      <c r="M43" s="183">
        <v>0</v>
      </c>
      <c r="N43" s="183">
        <v>0</v>
      </c>
      <c r="O43" s="183">
        <v>0</v>
      </c>
      <c r="P43" s="183">
        <v>0</v>
      </c>
      <c r="Q43" s="183">
        <v>0</v>
      </c>
      <c r="R43" s="183">
        <v>0</v>
      </c>
      <c r="S43" s="183">
        <v>0</v>
      </c>
      <c r="T43" s="183">
        <v>0</v>
      </c>
      <c r="U43" s="183">
        <v>0</v>
      </c>
      <c r="V43" s="183">
        <v>0</v>
      </c>
      <c r="W43" s="183">
        <v>0</v>
      </c>
      <c r="X43" s="183">
        <v>0</v>
      </c>
      <c r="Y43" s="183">
        <v>0</v>
      </c>
      <c r="Z43" s="183">
        <v>0</v>
      </c>
      <c r="AA43" s="183">
        <v>0</v>
      </c>
      <c r="AB43" s="183">
        <v>0</v>
      </c>
      <c r="AC43" s="183">
        <v>0</v>
      </c>
      <c r="AD43" s="183">
        <v>0</v>
      </c>
      <c r="AE43" s="183">
        <v>0</v>
      </c>
      <c r="AF43" s="183">
        <v>0</v>
      </c>
      <c r="AG43" s="183">
        <v>0</v>
      </c>
      <c r="AH43" s="183">
        <v>0</v>
      </c>
      <c r="AI43" s="183">
        <v>225</v>
      </c>
      <c r="AJ43" s="183">
        <v>0</v>
      </c>
      <c r="AK43" s="183">
        <v>0</v>
      </c>
      <c r="AL43" s="183">
        <v>0</v>
      </c>
      <c r="AM43" s="183">
        <v>0</v>
      </c>
      <c r="AN43" s="183">
        <v>0</v>
      </c>
      <c r="AO43" s="183">
        <v>0</v>
      </c>
    </row>
    <row r="44" spans="3:41" x14ac:dyDescent="0.3">
      <c r="C44" s="183">
        <v>47</v>
      </c>
      <c r="D44" s="183">
        <v>6</v>
      </c>
      <c r="E44" s="183">
        <v>6</v>
      </c>
      <c r="F44" s="183">
        <v>1437580</v>
      </c>
      <c r="G44" s="183">
        <v>0</v>
      </c>
      <c r="H44" s="183">
        <v>9605</v>
      </c>
      <c r="I44" s="183">
        <v>0</v>
      </c>
      <c r="J44" s="183">
        <v>0</v>
      </c>
      <c r="K44" s="183">
        <v>1138037</v>
      </c>
      <c r="L44" s="183">
        <v>0</v>
      </c>
      <c r="M44" s="183">
        <v>0</v>
      </c>
      <c r="N44" s="183">
        <v>0</v>
      </c>
      <c r="O44" s="183">
        <v>0</v>
      </c>
      <c r="P44" s="183">
        <v>0</v>
      </c>
      <c r="Q44" s="183">
        <v>0</v>
      </c>
      <c r="R44" s="183">
        <v>0</v>
      </c>
      <c r="S44" s="183">
        <v>0</v>
      </c>
      <c r="T44" s="183">
        <v>0</v>
      </c>
      <c r="U44" s="183">
        <v>0</v>
      </c>
      <c r="V44" s="183">
        <v>0</v>
      </c>
      <c r="W44" s="183">
        <v>0</v>
      </c>
      <c r="X44" s="183">
        <v>0</v>
      </c>
      <c r="Y44" s="183">
        <v>0</v>
      </c>
      <c r="Z44" s="183">
        <v>0</v>
      </c>
      <c r="AA44" s="183">
        <v>0</v>
      </c>
      <c r="AB44" s="183">
        <v>0</v>
      </c>
      <c r="AC44" s="183">
        <v>0</v>
      </c>
      <c r="AD44" s="183">
        <v>0</v>
      </c>
      <c r="AE44" s="183">
        <v>0</v>
      </c>
      <c r="AF44" s="183">
        <v>0</v>
      </c>
      <c r="AG44" s="183">
        <v>0</v>
      </c>
      <c r="AH44" s="183">
        <v>0</v>
      </c>
      <c r="AI44" s="183">
        <v>289938</v>
      </c>
      <c r="AJ44" s="183">
        <v>0</v>
      </c>
      <c r="AK44" s="183">
        <v>0</v>
      </c>
      <c r="AL44" s="183">
        <v>0</v>
      </c>
      <c r="AM44" s="183">
        <v>0</v>
      </c>
      <c r="AN44" s="183">
        <v>0</v>
      </c>
      <c r="AO44" s="183">
        <v>0</v>
      </c>
    </row>
    <row r="45" spans="3:41" x14ac:dyDescent="0.3">
      <c r="C45" s="183">
        <v>47</v>
      </c>
      <c r="D45" s="183">
        <v>6</v>
      </c>
      <c r="E45" s="183">
        <v>9</v>
      </c>
      <c r="F45" s="183">
        <v>23444</v>
      </c>
      <c r="G45" s="183">
        <v>0</v>
      </c>
      <c r="H45" s="183">
        <v>0</v>
      </c>
      <c r="I45" s="183">
        <v>0</v>
      </c>
      <c r="J45" s="183">
        <v>0</v>
      </c>
      <c r="K45" s="183">
        <v>7500</v>
      </c>
      <c r="L45" s="183">
        <v>0</v>
      </c>
      <c r="M45" s="183">
        <v>0</v>
      </c>
      <c r="N45" s="183">
        <v>0</v>
      </c>
      <c r="O45" s="183">
        <v>0</v>
      </c>
      <c r="P45" s="183">
        <v>0</v>
      </c>
      <c r="Q45" s="183">
        <v>0</v>
      </c>
      <c r="R45" s="183">
        <v>0</v>
      </c>
      <c r="S45" s="183">
        <v>0</v>
      </c>
      <c r="T45" s="183">
        <v>0</v>
      </c>
      <c r="U45" s="183">
        <v>0</v>
      </c>
      <c r="V45" s="183">
        <v>0</v>
      </c>
      <c r="W45" s="183">
        <v>0</v>
      </c>
      <c r="X45" s="183">
        <v>0</v>
      </c>
      <c r="Y45" s="183">
        <v>0</v>
      </c>
      <c r="Z45" s="183">
        <v>0</v>
      </c>
      <c r="AA45" s="183">
        <v>0</v>
      </c>
      <c r="AB45" s="183">
        <v>0</v>
      </c>
      <c r="AC45" s="183">
        <v>0</v>
      </c>
      <c r="AD45" s="183">
        <v>0</v>
      </c>
      <c r="AE45" s="183">
        <v>0</v>
      </c>
      <c r="AF45" s="183">
        <v>0</v>
      </c>
      <c r="AG45" s="183">
        <v>0</v>
      </c>
      <c r="AH45" s="183">
        <v>0</v>
      </c>
      <c r="AI45" s="183">
        <v>15944</v>
      </c>
      <c r="AJ45" s="183">
        <v>0</v>
      </c>
      <c r="AK45" s="183">
        <v>0</v>
      </c>
      <c r="AL45" s="183">
        <v>0</v>
      </c>
      <c r="AM45" s="183">
        <v>0</v>
      </c>
      <c r="AN45" s="183">
        <v>0</v>
      </c>
      <c r="AO45" s="183">
        <v>0</v>
      </c>
    </row>
    <row r="46" spans="3:41" x14ac:dyDescent="0.3">
      <c r="C46" s="183">
        <v>47</v>
      </c>
      <c r="D46" s="183">
        <v>6</v>
      </c>
      <c r="E46" s="183">
        <v>11</v>
      </c>
      <c r="F46" s="183">
        <v>8361.613294666915</v>
      </c>
      <c r="G46" s="183">
        <v>0</v>
      </c>
      <c r="H46" s="183">
        <v>28.279961333580143</v>
      </c>
      <c r="I46" s="183">
        <v>0</v>
      </c>
      <c r="J46" s="183">
        <v>0</v>
      </c>
      <c r="K46" s="183">
        <v>8333.3333333333339</v>
      </c>
      <c r="L46" s="183">
        <v>0</v>
      </c>
      <c r="M46" s="183">
        <v>0</v>
      </c>
      <c r="N46" s="183">
        <v>0</v>
      </c>
      <c r="O46" s="183">
        <v>0</v>
      </c>
      <c r="P46" s="183">
        <v>0</v>
      </c>
      <c r="Q46" s="183">
        <v>0</v>
      </c>
      <c r="R46" s="183">
        <v>0</v>
      </c>
      <c r="S46" s="183">
        <v>0</v>
      </c>
      <c r="T46" s="183">
        <v>0</v>
      </c>
      <c r="U46" s="183">
        <v>0</v>
      </c>
      <c r="V46" s="183">
        <v>0</v>
      </c>
      <c r="W46" s="183">
        <v>0</v>
      </c>
      <c r="X46" s="183">
        <v>0</v>
      </c>
      <c r="Y46" s="183">
        <v>0</v>
      </c>
      <c r="Z46" s="183">
        <v>0</v>
      </c>
      <c r="AA46" s="183">
        <v>0</v>
      </c>
      <c r="AB46" s="183">
        <v>0</v>
      </c>
      <c r="AC46" s="183">
        <v>0</v>
      </c>
      <c r="AD46" s="183">
        <v>0</v>
      </c>
      <c r="AE46" s="183">
        <v>0</v>
      </c>
      <c r="AF46" s="183">
        <v>0</v>
      </c>
      <c r="AG46" s="183">
        <v>0</v>
      </c>
      <c r="AH46" s="183">
        <v>0</v>
      </c>
      <c r="AI46" s="183">
        <v>0</v>
      </c>
      <c r="AJ46" s="183">
        <v>0</v>
      </c>
      <c r="AK46" s="183">
        <v>0</v>
      </c>
      <c r="AL46" s="183">
        <v>0</v>
      </c>
      <c r="AM46" s="183">
        <v>0</v>
      </c>
      <c r="AN46" s="183">
        <v>0</v>
      </c>
      <c r="AO46" s="183">
        <v>0</v>
      </c>
    </row>
    <row r="47" spans="3:41" x14ac:dyDescent="0.3">
      <c r="C47" s="183">
        <v>47</v>
      </c>
      <c r="D47" s="183">
        <v>7</v>
      </c>
      <c r="E47" s="183">
        <v>1</v>
      </c>
      <c r="F47" s="183">
        <v>53.35</v>
      </c>
      <c r="G47" s="183">
        <v>0</v>
      </c>
      <c r="H47" s="183">
        <v>0.1</v>
      </c>
      <c r="I47" s="183">
        <v>0</v>
      </c>
      <c r="J47" s="183">
        <v>0</v>
      </c>
      <c r="K47" s="183">
        <v>40.25</v>
      </c>
      <c r="L47" s="183">
        <v>0</v>
      </c>
      <c r="M47" s="183">
        <v>0</v>
      </c>
      <c r="N47" s="183">
        <v>0</v>
      </c>
      <c r="O47" s="183">
        <v>0</v>
      </c>
      <c r="P47" s="183">
        <v>0</v>
      </c>
      <c r="Q47" s="183">
        <v>0</v>
      </c>
      <c r="R47" s="183">
        <v>0</v>
      </c>
      <c r="S47" s="183">
        <v>0</v>
      </c>
      <c r="T47" s="183">
        <v>0</v>
      </c>
      <c r="U47" s="183">
        <v>0</v>
      </c>
      <c r="V47" s="183">
        <v>0</v>
      </c>
      <c r="W47" s="183">
        <v>0</v>
      </c>
      <c r="X47" s="183">
        <v>0</v>
      </c>
      <c r="Y47" s="183">
        <v>0</v>
      </c>
      <c r="Z47" s="183">
        <v>0</v>
      </c>
      <c r="AA47" s="183">
        <v>0</v>
      </c>
      <c r="AB47" s="183">
        <v>0</v>
      </c>
      <c r="AC47" s="183">
        <v>0</v>
      </c>
      <c r="AD47" s="183">
        <v>0</v>
      </c>
      <c r="AE47" s="183">
        <v>0</v>
      </c>
      <c r="AF47" s="183">
        <v>0</v>
      </c>
      <c r="AG47" s="183">
        <v>0</v>
      </c>
      <c r="AH47" s="183">
        <v>0</v>
      </c>
      <c r="AI47" s="183">
        <v>13</v>
      </c>
      <c r="AJ47" s="183">
        <v>0</v>
      </c>
      <c r="AK47" s="183">
        <v>0</v>
      </c>
      <c r="AL47" s="183">
        <v>0</v>
      </c>
      <c r="AM47" s="183">
        <v>0</v>
      </c>
      <c r="AN47" s="183">
        <v>0</v>
      </c>
      <c r="AO47" s="183">
        <v>0</v>
      </c>
    </row>
    <row r="48" spans="3:41" x14ac:dyDescent="0.3">
      <c r="C48" s="183">
        <v>47</v>
      </c>
      <c r="D48" s="183">
        <v>7</v>
      </c>
      <c r="E48" s="183">
        <v>2</v>
      </c>
      <c r="F48" s="183">
        <v>6267.8</v>
      </c>
      <c r="G48" s="183">
        <v>0</v>
      </c>
      <c r="H48" s="183">
        <v>36.799999999999997</v>
      </c>
      <c r="I48" s="183">
        <v>0</v>
      </c>
      <c r="J48" s="183">
        <v>0</v>
      </c>
      <c r="K48" s="183">
        <v>4720.5</v>
      </c>
      <c r="L48" s="183">
        <v>0</v>
      </c>
      <c r="M48" s="183">
        <v>0</v>
      </c>
      <c r="N48" s="183">
        <v>0</v>
      </c>
      <c r="O48" s="183">
        <v>0</v>
      </c>
      <c r="P48" s="183">
        <v>0</v>
      </c>
      <c r="Q48" s="183">
        <v>0</v>
      </c>
      <c r="R48" s="183">
        <v>0</v>
      </c>
      <c r="S48" s="183">
        <v>0</v>
      </c>
      <c r="T48" s="183">
        <v>0</v>
      </c>
      <c r="U48" s="183">
        <v>0</v>
      </c>
      <c r="V48" s="183">
        <v>0</v>
      </c>
      <c r="W48" s="183">
        <v>0</v>
      </c>
      <c r="X48" s="183">
        <v>0</v>
      </c>
      <c r="Y48" s="183">
        <v>0</v>
      </c>
      <c r="Z48" s="183">
        <v>0</v>
      </c>
      <c r="AA48" s="183">
        <v>0</v>
      </c>
      <c r="AB48" s="183">
        <v>0</v>
      </c>
      <c r="AC48" s="183">
        <v>0</v>
      </c>
      <c r="AD48" s="183">
        <v>0</v>
      </c>
      <c r="AE48" s="183">
        <v>0</v>
      </c>
      <c r="AF48" s="183">
        <v>0</v>
      </c>
      <c r="AG48" s="183">
        <v>0</v>
      </c>
      <c r="AH48" s="183">
        <v>0</v>
      </c>
      <c r="AI48" s="183">
        <v>1510.5</v>
      </c>
      <c r="AJ48" s="183">
        <v>0</v>
      </c>
      <c r="AK48" s="183">
        <v>0</v>
      </c>
      <c r="AL48" s="183">
        <v>0</v>
      </c>
      <c r="AM48" s="183">
        <v>0</v>
      </c>
      <c r="AN48" s="183">
        <v>0</v>
      </c>
      <c r="AO48" s="183">
        <v>0</v>
      </c>
    </row>
    <row r="49" spans="3:41" x14ac:dyDescent="0.3">
      <c r="C49" s="183">
        <v>47</v>
      </c>
      <c r="D49" s="183">
        <v>7</v>
      </c>
      <c r="E49" s="183">
        <v>6</v>
      </c>
      <c r="F49" s="183">
        <v>1797207</v>
      </c>
      <c r="G49" s="183">
        <v>0</v>
      </c>
      <c r="H49" s="183">
        <v>9605</v>
      </c>
      <c r="I49" s="183">
        <v>0</v>
      </c>
      <c r="J49" s="183">
        <v>0</v>
      </c>
      <c r="K49" s="183">
        <v>1453936</v>
      </c>
      <c r="L49" s="183">
        <v>0</v>
      </c>
      <c r="M49" s="183">
        <v>0</v>
      </c>
      <c r="N49" s="183">
        <v>0</v>
      </c>
      <c r="O49" s="183">
        <v>0</v>
      </c>
      <c r="P49" s="183">
        <v>0</v>
      </c>
      <c r="Q49" s="183">
        <v>0</v>
      </c>
      <c r="R49" s="183">
        <v>0</v>
      </c>
      <c r="S49" s="183">
        <v>0</v>
      </c>
      <c r="T49" s="183">
        <v>0</v>
      </c>
      <c r="U49" s="183">
        <v>0</v>
      </c>
      <c r="V49" s="183">
        <v>0</v>
      </c>
      <c r="W49" s="183">
        <v>0</v>
      </c>
      <c r="X49" s="183">
        <v>0</v>
      </c>
      <c r="Y49" s="183">
        <v>0</v>
      </c>
      <c r="Z49" s="183">
        <v>0</v>
      </c>
      <c r="AA49" s="183">
        <v>0</v>
      </c>
      <c r="AB49" s="183">
        <v>0</v>
      </c>
      <c r="AC49" s="183">
        <v>0</v>
      </c>
      <c r="AD49" s="183">
        <v>0</v>
      </c>
      <c r="AE49" s="183">
        <v>0</v>
      </c>
      <c r="AF49" s="183">
        <v>0</v>
      </c>
      <c r="AG49" s="183">
        <v>0</v>
      </c>
      <c r="AH49" s="183">
        <v>0</v>
      </c>
      <c r="AI49" s="183">
        <v>333666</v>
      </c>
      <c r="AJ49" s="183">
        <v>0</v>
      </c>
      <c r="AK49" s="183">
        <v>0</v>
      </c>
      <c r="AL49" s="183">
        <v>0</v>
      </c>
      <c r="AM49" s="183">
        <v>0</v>
      </c>
      <c r="AN49" s="183">
        <v>0</v>
      </c>
      <c r="AO49" s="183">
        <v>0</v>
      </c>
    </row>
    <row r="50" spans="3:41" x14ac:dyDescent="0.3">
      <c r="C50" s="183">
        <v>47</v>
      </c>
      <c r="D50" s="183">
        <v>7</v>
      </c>
      <c r="E50" s="183">
        <v>9</v>
      </c>
      <c r="F50" s="183">
        <v>474021</v>
      </c>
      <c r="G50" s="183">
        <v>0</v>
      </c>
      <c r="H50" s="183">
        <v>0</v>
      </c>
      <c r="I50" s="183">
        <v>0</v>
      </c>
      <c r="J50" s="183">
        <v>0</v>
      </c>
      <c r="K50" s="183">
        <v>380987</v>
      </c>
      <c r="L50" s="183">
        <v>0</v>
      </c>
      <c r="M50" s="183">
        <v>0</v>
      </c>
      <c r="N50" s="183">
        <v>0</v>
      </c>
      <c r="O50" s="183">
        <v>0</v>
      </c>
      <c r="P50" s="183">
        <v>0</v>
      </c>
      <c r="Q50" s="183">
        <v>0</v>
      </c>
      <c r="R50" s="183">
        <v>0</v>
      </c>
      <c r="S50" s="183">
        <v>0</v>
      </c>
      <c r="T50" s="183">
        <v>0</v>
      </c>
      <c r="U50" s="183">
        <v>0</v>
      </c>
      <c r="V50" s="183">
        <v>0</v>
      </c>
      <c r="W50" s="183">
        <v>0</v>
      </c>
      <c r="X50" s="183">
        <v>0</v>
      </c>
      <c r="Y50" s="183">
        <v>0</v>
      </c>
      <c r="Z50" s="183">
        <v>0</v>
      </c>
      <c r="AA50" s="183">
        <v>0</v>
      </c>
      <c r="AB50" s="183">
        <v>0</v>
      </c>
      <c r="AC50" s="183">
        <v>0</v>
      </c>
      <c r="AD50" s="183">
        <v>0</v>
      </c>
      <c r="AE50" s="183">
        <v>0</v>
      </c>
      <c r="AF50" s="183">
        <v>0</v>
      </c>
      <c r="AG50" s="183">
        <v>0</v>
      </c>
      <c r="AH50" s="183">
        <v>0</v>
      </c>
      <c r="AI50" s="183">
        <v>93034</v>
      </c>
      <c r="AJ50" s="183">
        <v>0</v>
      </c>
      <c r="AK50" s="183">
        <v>0</v>
      </c>
      <c r="AL50" s="183">
        <v>0</v>
      </c>
      <c r="AM50" s="183">
        <v>0</v>
      </c>
      <c r="AN50" s="183">
        <v>0</v>
      </c>
      <c r="AO50" s="183">
        <v>0</v>
      </c>
    </row>
    <row r="51" spans="3:41" x14ac:dyDescent="0.3">
      <c r="C51" s="183">
        <v>47</v>
      </c>
      <c r="D51" s="183">
        <v>7</v>
      </c>
      <c r="E51" s="183">
        <v>10</v>
      </c>
      <c r="F51" s="183">
        <v>15834</v>
      </c>
      <c r="G51" s="183">
        <v>0</v>
      </c>
      <c r="H51" s="183">
        <v>0</v>
      </c>
      <c r="I51" s="183">
        <v>0</v>
      </c>
      <c r="J51" s="183">
        <v>0</v>
      </c>
      <c r="K51" s="183">
        <v>15834</v>
      </c>
      <c r="L51" s="183">
        <v>0</v>
      </c>
      <c r="M51" s="183">
        <v>0</v>
      </c>
      <c r="N51" s="183">
        <v>0</v>
      </c>
      <c r="O51" s="183">
        <v>0</v>
      </c>
      <c r="P51" s="183">
        <v>0</v>
      </c>
      <c r="Q51" s="183">
        <v>0</v>
      </c>
      <c r="R51" s="183">
        <v>0</v>
      </c>
      <c r="S51" s="183">
        <v>0</v>
      </c>
      <c r="T51" s="183">
        <v>0</v>
      </c>
      <c r="U51" s="183">
        <v>0</v>
      </c>
      <c r="V51" s="183">
        <v>0</v>
      </c>
      <c r="W51" s="183">
        <v>0</v>
      </c>
      <c r="X51" s="183">
        <v>0</v>
      </c>
      <c r="Y51" s="183">
        <v>0</v>
      </c>
      <c r="Z51" s="183">
        <v>0</v>
      </c>
      <c r="AA51" s="183">
        <v>0</v>
      </c>
      <c r="AB51" s="183">
        <v>0</v>
      </c>
      <c r="AC51" s="183">
        <v>0</v>
      </c>
      <c r="AD51" s="183">
        <v>0</v>
      </c>
      <c r="AE51" s="183">
        <v>0</v>
      </c>
      <c r="AF51" s="183">
        <v>0</v>
      </c>
      <c r="AG51" s="183">
        <v>0</v>
      </c>
      <c r="AH51" s="183">
        <v>0</v>
      </c>
      <c r="AI51" s="183">
        <v>0</v>
      </c>
      <c r="AJ51" s="183">
        <v>0</v>
      </c>
      <c r="AK51" s="183">
        <v>0</v>
      </c>
      <c r="AL51" s="183">
        <v>0</v>
      </c>
      <c r="AM51" s="183">
        <v>0</v>
      </c>
      <c r="AN51" s="183">
        <v>0</v>
      </c>
      <c r="AO51" s="183">
        <v>0</v>
      </c>
    </row>
    <row r="52" spans="3:41" x14ac:dyDescent="0.3">
      <c r="C52" s="183">
        <v>47</v>
      </c>
      <c r="D52" s="183">
        <v>7</v>
      </c>
      <c r="E52" s="183">
        <v>11</v>
      </c>
      <c r="F52" s="183">
        <v>8361.613294666915</v>
      </c>
      <c r="G52" s="183">
        <v>0</v>
      </c>
      <c r="H52" s="183">
        <v>28.279961333580143</v>
      </c>
      <c r="I52" s="183">
        <v>0</v>
      </c>
      <c r="J52" s="183">
        <v>0</v>
      </c>
      <c r="K52" s="183">
        <v>8333.3333333333339</v>
      </c>
      <c r="L52" s="183">
        <v>0</v>
      </c>
      <c r="M52" s="183">
        <v>0</v>
      </c>
      <c r="N52" s="183">
        <v>0</v>
      </c>
      <c r="O52" s="183">
        <v>0</v>
      </c>
      <c r="P52" s="183">
        <v>0</v>
      </c>
      <c r="Q52" s="183">
        <v>0</v>
      </c>
      <c r="R52" s="183">
        <v>0</v>
      </c>
      <c r="S52" s="183">
        <v>0</v>
      </c>
      <c r="T52" s="183">
        <v>0</v>
      </c>
      <c r="U52" s="183">
        <v>0</v>
      </c>
      <c r="V52" s="183">
        <v>0</v>
      </c>
      <c r="W52" s="183">
        <v>0</v>
      </c>
      <c r="X52" s="183">
        <v>0</v>
      </c>
      <c r="Y52" s="183">
        <v>0</v>
      </c>
      <c r="Z52" s="183">
        <v>0</v>
      </c>
      <c r="AA52" s="183">
        <v>0</v>
      </c>
      <c r="AB52" s="183">
        <v>0</v>
      </c>
      <c r="AC52" s="183">
        <v>0</v>
      </c>
      <c r="AD52" s="183">
        <v>0</v>
      </c>
      <c r="AE52" s="183">
        <v>0</v>
      </c>
      <c r="AF52" s="183">
        <v>0</v>
      </c>
      <c r="AG52" s="183">
        <v>0</v>
      </c>
      <c r="AH52" s="183">
        <v>0</v>
      </c>
      <c r="AI52" s="183">
        <v>0</v>
      </c>
      <c r="AJ52" s="183">
        <v>0</v>
      </c>
      <c r="AK52" s="183">
        <v>0</v>
      </c>
      <c r="AL52" s="183">
        <v>0</v>
      </c>
      <c r="AM52" s="183">
        <v>0</v>
      </c>
      <c r="AN52" s="183">
        <v>0</v>
      </c>
      <c r="AO52" s="183">
        <v>0</v>
      </c>
    </row>
    <row r="53" spans="3:41" x14ac:dyDescent="0.3">
      <c r="C53" s="183">
        <v>47</v>
      </c>
      <c r="D53" s="183">
        <v>8</v>
      </c>
      <c r="E53" s="183">
        <v>1</v>
      </c>
      <c r="F53" s="183">
        <v>53.1</v>
      </c>
      <c r="G53" s="183">
        <v>0</v>
      </c>
      <c r="H53" s="183">
        <v>0.1</v>
      </c>
      <c r="I53" s="183">
        <v>0</v>
      </c>
      <c r="J53" s="183">
        <v>0</v>
      </c>
      <c r="K53" s="183">
        <v>39</v>
      </c>
      <c r="L53" s="183">
        <v>0</v>
      </c>
      <c r="M53" s="183">
        <v>0</v>
      </c>
      <c r="N53" s="183">
        <v>0</v>
      </c>
      <c r="O53" s="183">
        <v>0</v>
      </c>
      <c r="P53" s="183">
        <v>0</v>
      </c>
      <c r="Q53" s="183">
        <v>0</v>
      </c>
      <c r="R53" s="183">
        <v>0</v>
      </c>
      <c r="S53" s="183">
        <v>0</v>
      </c>
      <c r="T53" s="183">
        <v>0</v>
      </c>
      <c r="U53" s="183">
        <v>0</v>
      </c>
      <c r="V53" s="183">
        <v>0</v>
      </c>
      <c r="W53" s="183">
        <v>0</v>
      </c>
      <c r="X53" s="183">
        <v>0</v>
      </c>
      <c r="Y53" s="183">
        <v>0</v>
      </c>
      <c r="Z53" s="183">
        <v>0</v>
      </c>
      <c r="AA53" s="183">
        <v>0</v>
      </c>
      <c r="AB53" s="183">
        <v>0</v>
      </c>
      <c r="AC53" s="183">
        <v>0</v>
      </c>
      <c r="AD53" s="183">
        <v>0</v>
      </c>
      <c r="AE53" s="183">
        <v>0</v>
      </c>
      <c r="AF53" s="183">
        <v>0</v>
      </c>
      <c r="AG53" s="183">
        <v>0</v>
      </c>
      <c r="AH53" s="183">
        <v>0</v>
      </c>
      <c r="AI53" s="183">
        <v>14</v>
      </c>
      <c r="AJ53" s="183">
        <v>0</v>
      </c>
      <c r="AK53" s="183">
        <v>0</v>
      </c>
      <c r="AL53" s="183">
        <v>0</v>
      </c>
      <c r="AM53" s="183">
        <v>0</v>
      </c>
      <c r="AN53" s="183">
        <v>0</v>
      </c>
      <c r="AO53" s="183">
        <v>0</v>
      </c>
    </row>
    <row r="54" spans="3:41" x14ac:dyDescent="0.3">
      <c r="C54" s="183">
        <v>47</v>
      </c>
      <c r="D54" s="183">
        <v>8</v>
      </c>
      <c r="E54" s="183">
        <v>2</v>
      </c>
      <c r="F54" s="183">
        <v>6211.1</v>
      </c>
      <c r="G54" s="183">
        <v>0</v>
      </c>
      <c r="H54" s="183">
        <v>33.6</v>
      </c>
      <c r="I54" s="183">
        <v>0</v>
      </c>
      <c r="J54" s="183">
        <v>0</v>
      </c>
      <c r="K54" s="183">
        <v>4903</v>
      </c>
      <c r="L54" s="183">
        <v>0</v>
      </c>
      <c r="M54" s="183">
        <v>0</v>
      </c>
      <c r="N54" s="183">
        <v>0</v>
      </c>
      <c r="O54" s="183">
        <v>0</v>
      </c>
      <c r="P54" s="183">
        <v>0</v>
      </c>
      <c r="Q54" s="183">
        <v>0</v>
      </c>
      <c r="R54" s="183">
        <v>0</v>
      </c>
      <c r="S54" s="183">
        <v>0</v>
      </c>
      <c r="T54" s="183">
        <v>0</v>
      </c>
      <c r="U54" s="183">
        <v>0</v>
      </c>
      <c r="V54" s="183">
        <v>0</v>
      </c>
      <c r="W54" s="183">
        <v>0</v>
      </c>
      <c r="X54" s="183">
        <v>0</v>
      </c>
      <c r="Y54" s="183">
        <v>0</v>
      </c>
      <c r="Z54" s="183">
        <v>0</v>
      </c>
      <c r="AA54" s="183">
        <v>0</v>
      </c>
      <c r="AB54" s="183">
        <v>0</v>
      </c>
      <c r="AC54" s="183">
        <v>0</v>
      </c>
      <c r="AD54" s="183">
        <v>0</v>
      </c>
      <c r="AE54" s="183">
        <v>0</v>
      </c>
      <c r="AF54" s="183">
        <v>0</v>
      </c>
      <c r="AG54" s="183">
        <v>0</v>
      </c>
      <c r="AH54" s="183">
        <v>0</v>
      </c>
      <c r="AI54" s="183">
        <v>1274.5</v>
      </c>
      <c r="AJ54" s="183">
        <v>0</v>
      </c>
      <c r="AK54" s="183">
        <v>0</v>
      </c>
      <c r="AL54" s="183">
        <v>0</v>
      </c>
      <c r="AM54" s="183">
        <v>0</v>
      </c>
      <c r="AN54" s="183">
        <v>0</v>
      </c>
      <c r="AO54" s="183">
        <v>0</v>
      </c>
    </row>
    <row r="55" spans="3:41" x14ac:dyDescent="0.3">
      <c r="C55" s="183">
        <v>47</v>
      </c>
      <c r="D55" s="183">
        <v>8</v>
      </c>
      <c r="E55" s="183">
        <v>3</v>
      </c>
      <c r="F55" s="183">
        <v>7.5</v>
      </c>
      <c r="G55" s="183">
        <v>0</v>
      </c>
      <c r="H55" s="183">
        <v>0</v>
      </c>
      <c r="I55" s="183">
        <v>0</v>
      </c>
      <c r="J55" s="183">
        <v>0</v>
      </c>
      <c r="K55" s="183">
        <v>7.5</v>
      </c>
      <c r="L55" s="183">
        <v>0</v>
      </c>
      <c r="M55" s="183">
        <v>0</v>
      </c>
      <c r="N55" s="183">
        <v>0</v>
      </c>
      <c r="O55" s="183">
        <v>0</v>
      </c>
      <c r="P55" s="183">
        <v>0</v>
      </c>
      <c r="Q55" s="183">
        <v>0</v>
      </c>
      <c r="R55" s="183">
        <v>0</v>
      </c>
      <c r="S55" s="183">
        <v>0</v>
      </c>
      <c r="T55" s="183">
        <v>0</v>
      </c>
      <c r="U55" s="183">
        <v>0</v>
      </c>
      <c r="V55" s="183">
        <v>0</v>
      </c>
      <c r="W55" s="183">
        <v>0</v>
      </c>
      <c r="X55" s="183">
        <v>0</v>
      </c>
      <c r="Y55" s="183">
        <v>0</v>
      </c>
      <c r="Z55" s="183">
        <v>0</v>
      </c>
      <c r="AA55" s="183">
        <v>0</v>
      </c>
      <c r="AB55" s="183">
        <v>0</v>
      </c>
      <c r="AC55" s="183">
        <v>0</v>
      </c>
      <c r="AD55" s="183">
        <v>0</v>
      </c>
      <c r="AE55" s="183">
        <v>0</v>
      </c>
      <c r="AF55" s="183">
        <v>0</v>
      </c>
      <c r="AG55" s="183">
        <v>0</v>
      </c>
      <c r="AH55" s="183">
        <v>0</v>
      </c>
      <c r="AI55" s="183">
        <v>0</v>
      </c>
      <c r="AJ55" s="183">
        <v>0</v>
      </c>
      <c r="AK55" s="183">
        <v>0</v>
      </c>
      <c r="AL55" s="183">
        <v>0</v>
      </c>
      <c r="AM55" s="183">
        <v>0</v>
      </c>
      <c r="AN55" s="183">
        <v>0</v>
      </c>
      <c r="AO55" s="183">
        <v>0</v>
      </c>
    </row>
    <row r="56" spans="3:41" x14ac:dyDescent="0.3">
      <c r="C56" s="183">
        <v>47</v>
      </c>
      <c r="D56" s="183">
        <v>8</v>
      </c>
      <c r="E56" s="183">
        <v>4</v>
      </c>
      <c r="F56" s="183">
        <v>993.75</v>
      </c>
      <c r="G56" s="183">
        <v>0</v>
      </c>
      <c r="H56" s="183">
        <v>0</v>
      </c>
      <c r="I56" s="183">
        <v>0</v>
      </c>
      <c r="J56" s="183">
        <v>0</v>
      </c>
      <c r="K56" s="183">
        <v>576.75</v>
      </c>
      <c r="L56" s="183">
        <v>0</v>
      </c>
      <c r="M56" s="183">
        <v>0</v>
      </c>
      <c r="N56" s="183">
        <v>0</v>
      </c>
      <c r="O56" s="183">
        <v>0</v>
      </c>
      <c r="P56" s="183">
        <v>0</v>
      </c>
      <c r="Q56" s="183">
        <v>0</v>
      </c>
      <c r="R56" s="183">
        <v>0</v>
      </c>
      <c r="S56" s="183">
        <v>0</v>
      </c>
      <c r="T56" s="183">
        <v>0</v>
      </c>
      <c r="U56" s="183">
        <v>0</v>
      </c>
      <c r="V56" s="183">
        <v>0</v>
      </c>
      <c r="W56" s="183">
        <v>0</v>
      </c>
      <c r="X56" s="183">
        <v>0</v>
      </c>
      <c r="Y56" s="183">
        <v>0</v>
      </c>
      <c r="Z56" s="183">
        <v>0</v>
      </c>
      <c r="AA56" s="183">
        <v>0</v>
      </c>
      <c r="AB56" s="183">
        <v>0</v>
      </c>
      <c r="AC56" s="183">
        <v>0</v>
      </c>
      <c r="AD56" s="183">
        <v>0</v>
      </c>
      <c r="AE56" s="183">
        <v>0</v>
      </c>
      <c r="AF56" s="183">
        <v>0</v>
      </c>
      <c r="AG56" s="183">
        <v>0</v>
      </c>
      <c r="AH56" s="183">
        <v>0</v>
      </c>
      <c r="AI56" s="183">
        <v>417</v>
      </c>
      <c r="AJ56" s="183">
        <v>0</v>
      </c>
      <c r="AK56" s="183">
        <v>0</v>
      </c>
      <c r="AL56" s="183">
        <v>0</v>
      </c>
      <c r="AM56" s="183">
        <v>0</v>
      </c>
      <c r="AN56" s="183">
        <v>0</v>
      </c>
      <c r="AO56" s="183">
        <v>0</v>
      </c>
    </row>
    <row r="57" spans="3:41" x14ac:dyDescent="0.3">
      <c r="C57" s="183">
        <v>47</v>
      </c>
      <c r="D57" s="183">
        <v>8</v>
      </c>
      <c r="E57" s="183">
        <v>6</v>
      </c>
      <c r="F57" s="183">
        <v>1463117</v>
      </c>
      <c r="G57" s="183">
        <v>0</v>
      </c>
      <c r="H57" s="183">
        <v>9605</v>
      </c>
      <c r="I57" s="183">
        <v>0</v>
      </c>
      <c r="J57" s="183">
        <v>0</v>
      </c>
      <c r="K57" s="183">
        <v>1146256</v>
      </c>
      <c r="L57" s="183">
        <v>0</v>
      </c>
      <c r="M57" s="183">
        <v>0</v>
      </c>
      <c r="N57" s="183">
        <v>0</v>
      </c>
      <c r="O57" s="183">
        <v>0</v>
      </c>
      <c r="P57" s="183">
        <v>0</v>
      </c>
      <c r="Q57" s="183">
        <v>0</v>
      </c>
      <c r="R57" s="183">
        <v>0</v>
      </c>
      <c r="S57" s="183">
        <v>0</v>
      </c>
      <c r="T57" s="183">
        <v>0</v>
      </c>
      <c r="U57" s="183">
        <v>0</v>
      </c>
      <c r="V57" s="183">
        <v>0</v>
      </c>
      <c r="W57" s="183">
        <v>0</v>
      </c>
      <c r="X57" s="183">
        <v>0</v>
      </c>
      <c r="Y57" s="183">
        <v>0</v>
      </c>
      <c r="Z57" s="183">
        <v>0</v>
      </c>
      <c r="AA57" s="183">
        <v>0</v>
      </c>
      <c r="AB57" s="183">
        <v>0</v>
      </c>
      <c r="AC57" s="183">
        <v>0</v>
      </c>
      <c r="AD57" s="183">
        <v>0</v>
      </c>
      <c r="AE57" s="183">
        <v>0</v>
      </c>
      <c r="AF57" s="183">
        <v>0</v>
      </c>
      <c r="AG57" s="183">
        <v>0</v>
      </c>
      <c r="AH57" s="183">
        <v>0</v>
      </c>
      <c r="AI57" s="183">
        <v>307256</v>
      </c>
      <c r="AJ57" s="183">
        <v>0</v>
      </c>
      <c r="AK57" s="183">
        <v>0</v>
      </c>
      <c r="AL57" s="183">
        <v>0</v>
      </c>
      <c r="AM57" s="183">
        <v>0</v>
      </c>
      <c r="AN57" s="183">
        <v>0</v>
      </c>
      <c r="AO57" s="183">
        <v>0</v>
      </c>
    </row>
    <row r="58" spans="3:41" x14ac:dyDescent="0.3">
      <c r="C58" s="183">
        <v>47</v>
      </c>
      <c r="D58" s="183">
        <v>8</v>
      </c>
      <c r="E58" s="183">
        <v>9</v>
      </c>
      <c r="F58" s="183">
        <v>29832</v>
      </c>
      <c r="G58" s="183">
        <v>0</v>
      </c>
      <c r="H58" s="183">
        <v>0</v>
      </c>
      <c r="I58" s="183">
        <v>0</v>
      </c>
      <c r="J58" s="183">
        <v>0</v>
      </c>
      <c r="K58" s="183">
        <v>16220</v>
      </c>
      <c r="L58" s="183">
        <v>0</v>
      </c>
      <c r="M58" s="183">
        <v>0</v>
      </c>
      <c r="N58" s="183">
        <v>0</v>
      </c>
      <c r="O58" s="183">
        <v>0</v>
      </c>
      <c r="P58" s="183">
        <v>0</v>
      </c>
      <c r="Q58" s="183">
        <v>0</v>
      </c>
      <c r="R58" s="183">
        <v>0</v>
      </c>
      <c r="S58" s="183">
        <v>0</v>
      </c>
      <c r="T58" s="183">
        <v>0</v>
      </c>
      <c r="U58" s="183">
        <v>0</v>
      </c>
      <c r="V58" s="183">
        <v>0</v>
      </c>
      <c r="W58" s="183">
        <v>0</v>
      </c>
      <c r="X58" s="183">
        <v>0</v>
      </c>
      <c r="Y58" s="183">
        <v>0</v>
      </c>
      <c r="Z58" s="183">
        <v>0</v>
      </c>
      <c r="AA58" s="183">
        <v>0</v>
      </c>
      <c r="AB58" s="183">
        <v>0</v>
      </c>
      <c r="AC58" s="183">
        <v>0</v>
      </c>
      <c r="AD58" s="183">
        <v>0</v>
      </c>
      <c r="AE58" s="183">
        <v>0</v>
      </c>
      <c r="AF58" s="183">
        <v>0</v>
      </c>
      <c r="AG58" s="183">
        <v>0</v>
      </c>
      <c r="AH58" s="183">
        <v>0</v>
      </c>
      <c r="AI58" s="183">
        <v>13612</v>
      </c>
      <c r="AJ58" s="183">
        <v>0</v>
      </c>
      <c r="AK58" s="183">
        <v>0</v>
      </c>
      <c r="AL58" s="183">
        <v>0</v>
      </c>
      <c r="AM58" s="183">
        <v>0</v>
      </c>
      <c r="AN58" s="183">
        <v>0</v>
      </c>
      <c r="AO58" s="183">
        <v>0</v>
      </c>
    </row>
    <row r="59" spans="3:41" x14ac:dyDescent="0.3">
      <c r="C59" s="183">
        <v>47</v>
      </c>
      <c r="D59" s="183">
        <v>8</v>
      </c>
      <c r="E59" s="183">
        <v>10</v>
      </c>
      <c r="F59" s="183">
        <v>3200</v>
      </c>
      <c r="G59" s="183">
        <v>0</v>
      </c>
      <c r="H59" s="183">
        <v>0</v>
      </c>
      <c r="I59" s="183">
        <v>0</v>
      </c>
      <c r="J59" s="183">
        <v>0</v>
      </c>
      <c r="K59" s="183">
        <v>3200</v>
      </c>
      <c r="L59" s="183">
        <v>0</v>
      </c>
      <c r="M59" s="183">
        <v>0</v>
      </c>
      <c r="N59" s="183">
        <v>0</v>
      </c>
      <c r="O59" s="183">
        <v>0</v>
      </c>
      <c r="P59" s="183">
        <v>0</v>
      </c>
      <c r="Q59" s="183">
        <v>0</v>
      </c>
      <c r="R59" s="183">
        <v>0</v>
      </c>
      <c r="S59" s="183">
        <v>0</v>
      </c>
      <c r="T59" s="183">
        <v>0</v>
      </c>
      <c r="U59" s="183">
        <v>0</v>
      </c>
      <c r="V59" s="183">
        <v>0</v>
      </c>
      <c r="W59" s="183">
        <v>0</v>
      </c>
      <c r="X59" s="183">
        <v>0</v>
      </c>
      <c r="Y59" s="183">
        <v>0</v>
      </c>
      <c r="Z59" s="183">
        <v>0</v>
      </c>
      <c r="AA59" s="183">
        <v>0</v>
      </c>
      <c r="AB59" s="183">
        <v>0</v>
      </c>
      <c r="AC59" s="183">
        <v>0</v>
      </c>
      <c r="AD59" s="183">
        <v>0</v>
      </c>
      <c r="AE59" s="183">
        <v>0</v>
      </c>
      <c r="AF59" s="183">
        <v>0</v>
      </c>
      <c r="AG59" s="183">
        <v>0</v>
      </c>
      <c r="AH59" s="183">
        <v>0</v>
      </c>
      <c r="AI59" s="183">
        <v>0</v>
      </c>
      <c r="AJ59" s="183">
        <v>0</v>
      </c>
      <c r="AK59" s="183">
        <v>0</v>
      </c>
      <c r="AL59" s="183">
        <v>0</v>
      </c>
      <c r="AM59" s="183">
        <v>0</v>
      </c>
      <c r="AN59" s="183">
        <v>0</v>
      </c>
      <c r="AO59" s="183">
        <v>0</v>
      </c>
    </row>
    <row r="60" spans="3:41" x14ac:dyDescent="0.3">
      <c r="C60" s="183">
        <v>47</v>
      </c>
      <c r="D60" s="183">
        <v>8</v>
      </c>
      <c r="E60" s="183">
        <v>11</v>
      </c>
      <c r="F60" s="183">
        <v>8361.613294666915</v>
      </c>
      <c r="G60" s="183">
        <v>0</v>
      </c>
      <c r="H60" s="183">
        <v>28.279961333580143</v>
      </c>
      <c r="I60" s="183">
        <v>0</v>
      </c>
      <c r="J60" s="183">
        <v>0</v>
      </c>
      <c r="K60" s="183">
        <v>8333.3333333333339</v>
      </c>
      <c r="L60" s="183">
        <v>0</v>
      </c>
      <c r="M60" s="183">
        <v>0</v>
      </c>
      <c r="N60" s="183">
        <v>0</v>
      </c>
      <c r="O60" s="183">
        <v>0</v>
      </c>
      <c r="P60" s="183">
        <v>0</v>
      </c>
      <c r="Q60" s="183">
        <v>0</v>
      </c>
      <c r="R60" s="183">
        <v>0</v>
      </c>
      <c r="S60" s="183">
        <v>0</v>
      </c>
      <c r="T60" s="183">
        <v>0</v>
      </c>
      <c r="U60" s="183">
        <v>0</v>
      </c>
      <c r="V60" s="183">
        <v>0</v>
      </c>
      <c r="W60" s="183">
        <v>0</v>
      </c>
      <c r="X60" s="183">
        <v>0</v>
      </c>
      <c r="Y60" s="183">
        <v>0</v>
      </c>
      <c r="Z60" s="183">
        <v>0</v>
      </c>
      <c r="AA60" s="183">
        <v>0</v>
      </c>
      <c r="AB60" s="183">
        <v>0</v>
      </c>
      <c r="AC60" s="183">
        <v>0</v>
      </c>
      <c r="AD60" s="183">
        <v>0</v>
      </c>
      <c r="AE60" s="183">
        <v>0</v>
      </c>
      <c r="AF60" s="183">
        <v>0</v>
      </c>
      <c r="AG60" s="183">
        <v>0</v>
      </c>
      <c r="AH60" s="183">
        <v>0</v>
      </c>
      <c r="AI60" s="183">
        <v>0</v>
      </c>
      <c r="AJ60" s="183">
        <v>0</v>
      </c>
      <c r="AK60" s="183">
        <v>0</v>
      </c>
      <c r="AL60" s="183">
        <v>0</v>
      </c>
      <c r="AM60" s="183">
        <v>0</v>
      </c>
      <c r="AN60" s="183">
        <v>0</v>
      </c>
      <c r="AO60" s="183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1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25" bestFit="1" customWidth="1"/>
    <col min="2" max="2" width="11.6640625" style="125" hidden="1" customWidth="1"/>
    <col min="3" max="4" width="11" style="127" customWidth="1"/>
    <col min="5" max="5" width="11" style="128" customWidth="1"/>
    <col min="6" max="16384" width="8.88671875" style="125"/>
  </cols>
  <sheetData>
    <row r="1" spans="1:5" ht="18.600000000000001" thickBot="1" x14ac:dyDescent="0.4">
      <c r="A1" s="273" t="s">
        <v>76</v>
      </c>
      <c r="B1" s="273"/>
      <c r="C1" s="274"/>
      <c r="D1" s="274"/>
      <c r="E1" s="274"/>
    </row>
    <row r="2" spans="1:5" ht="14.4" customHeight="1" thickBot="1" x14ac:dyDescent="0.35">
      <c r="A2" s="187" t="s">
        <v>220</v>
      </c>
      <c r="B2" s="126"/>
    </row>
    <row r="3" spans="1:5" ht="14.4" customHeight="1" thickBot="1" x14ac:dyDescent="0.35">
      <c r="A3" s="129"/>
      <c r="C3" s="130" t="s">
        <v>65</v>
      </c>
      <c r="D3" s="131" t="s">
        <v>58</v>
      </c>
      <c r="E3" s="132" t="s">
        <v>60</v>
      </c>
    </row>
    <row r="4" spans="1:5" ht="14.4" customHeight="1" thickBot="1" x14ac:dyDescent="0.35">
      <c r="A4" s="133" t="str">
        <f>HYPERLINK("#HI!A1","NÁKLADY CELKEM (v tisících Kč)")</f>
        <v>NÁKLADY CELKEM (v tisících Kč)</v>
      </c>
      <c r="B4" s="134"/>
      <c r="C4" s="135">
        <f ca="1">IF(ISERROR(VLOOKUP("Náklady celkem",INDIRECT("HI!$A:$G"),6,0)),0,VLOOKUP("Náklady celkem",INDIRECT("HI!$A:$G"),6,0))</f>
        <v>52701.527869612182</v>
      </c>
      <c r="D4" s="135">
        <f ca="1">IF(ISERROR(VLOOKUP("Náklady celkem",INDIRECT("HI!$A:$G"),5,0)),0,VLOOKUP("Náklady celkem",INDIRECT("HI!$A:$G"),5,0))</f>
        <v>53815.244950000022</v>
      </c>
      <c r="E4" s="136">
        <f ca="1">IF(C4=0,0,D4/C4)</f>
        <v>1.0211325387594694</v>
      </c>
    </row>
    <row r="5" spans="1:5" ht="14.4" customHeight="1" x14ac:dyDescent="0.3">
      <c r="A5" s="137" t="s">
        <v>95</v>
      </c>
      <c r="B5" s="138"/>
      <c r="C5" s="139"/>
      <c r="D5" s="139"/>
      <c r="E5" s="140"/>
    </row>
    <row r="6" spans="1:5" ht="14.4" customHeight="1" x14ac:dyDescent="0.3">
      <c r="A6" s="141" t="s">
        <v>100</v>
      </c>
      <c r="B6" s="142"/>
      <c r="C6" s="143"/>
      <c r="D6" s="143"/>
      <c r="E6" s="140"/>
    </row>
    <row r="7" spans="1:5" ht="14.4" customHeight="1" x14ac:dyDescent="0.3">
      <c r="A7" s="264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42" t="s">
        <v>69</v>
      </c>
      <c r="C7" s="143">
        <f>IF(ISERROR(HI!F5),"",HI!F5)</f>
        <v>607.05411772481796</v>
      </c>
      <c r="D7" s="143">
        <f>IF(ISERROR(HI!E5),"",HI!E5)</f>
        <v>598.59006999999986</v>
      </c>
      <c r="E7" s="140">
        <f t="shared" ref="E7:E13" si="0">IF(C7=0,0,D7/C7)</f>
        <v>0.98605717764251311</v>
      </c>
    </row>
    <row r="8" spans="1:5" ht="14.4" customHeight="1" x14ac:dyDescent="0.3">
      <c r="A8" s="264" t="str">
        <f>HYPERLINK("#'LŽ PL'!A1","Plnění pozitivního listu (min. 90%)")</f>
        <v>Plnění pozitivního listu (min. 90%)</v>
      </c>
      <c r="B8" s="142" t="s">
        <v>93</v>
      </c>
      <c r="C8" s="144">
        <v>0.9</v>
      </c>
      <c r="D8" s="144">
        <f>IF(ISERROR(VLOOKUP("celkem",'LŽ PL'!$A:$F,5,0)),0,VLOOKUP("celkem",'LŽ PL'!$A:$F,5,0))</f>
        <v>1</v>
      </c>
      <c r="E8" s="140">
        <f t="shared" si="0"/>
        <v>1.1111111111111112</v>
      </c>
    </row>
    <row r="9" spans="1:5" ht="14.4" customHeight="1" x14ac:dyDescent="0.3">
      <c r="A9" s="264" t="str">
        <f>HYPERLINK("#'LŽ Statim'!A1","Podíl statimových žádanek (max. 30%)")</f>
        <v>Podíl statimových žádanek (max. 30%)</v>
      </c>
      <c r="B9" s="262" t="s">
        <v>196</v>
      </c>
      <c r="C9" s="263">
        <v>0.3</v>
      </c>
      <c r="D9" s="263">
        <f>IF('LŽ Statim'!G3="",0,'LŽ Statim'!G3)</f>
        <v>6.3559322033898309E-3</v>
      </c>
      <c r="E9" s="140">
        <f>IF(C9=0,0,D9/C9)</f>
        <v>2.1186440677966104E-2</v>
      </c>
    </row>
    <row r="10" spans="1:5" ht="14.4" customHeight="1" x14ac:dyDescent="0.3">
      <c r="A10" s="145" t="s">
        <v>96</v>
      </c>
      <c r="B10" s="142"/>
      <c r="C10" s="143"/>
      <c r="D10" s="143"/>
      <c r="E10" s="140"/>
    </row>
    <row r="11" spans="1:5" ht="14.4" customHeight="1" x14ac:dyDescent="0.3">
      <c r="A11" s="145" t="s">
        <v>97</v>
      </c>
      <c r="B11" s="142"/>
      <c r="C11" s="143"/>
      <c r="D11" s="143"/>
      <c r="E11" s="140"/>
    </row>
    <row r="12" spans="1:5" ht="14.4" customHeight="1" x14ac:dyDescent="0.3">
      <c r="A12" s="146" t="s">
        <v>101</v>
      </c>
      <c r="B12" s="142"/>
      <c r="C12" s="139"/>
      <c r="D12" s="139"/>
      <c r="E12" s="140"/>
    </row>
    <row r="13" spans="1:5" ht="14.4" customHeight="1" x14ac:dyDescent="0.3">
      <c r="A13" s="147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3" s="142" t="s">
        <v>69</v>
      </c>
      <c r="C13" s="143">
        <f>IF(ISERROR(HI!F6),"",HI!F6)</f>
        <v>8811.9647243362942</v>
      </c>
      <c r="D13" s="143">
        <f>IF(ISERROR(HI!E6),"",HI!E6)</f>
        <v>9992.6903000000111</v>
      </c>
      <c r="E13" s="140">
        <f t="shared" si="0"/>
        <v>1.1339911827384952</v>
      </c>
    </row>
    <row r="14" spans="1:5" ht="14.4" customHeight="1" thickBot="1" x14ac:dyDescent="0.35">
      <c r="A14" s="148" t="str">
        <f>HYPERLINK("#HI!A1","Osobní náklady")</f>
        <v>Osobní náklady</v>
      </c>
      <c r="B14" s="142"/>
      <c r="C14" s="139">
        <f ca="1">IF(ISERROR(VLOOKUP("Osobní náklady (Kč) *",INDIRECT("HI!$A:$G"),6,0)),0,VLOOKUP("Osobní náklady (Kč) *",INDIRECT("HI!$A:$G"),6,0))</f>
        <v>15245.332853142281</v>
      </c>
      <c r="D14" s="139">
        <f ca="1">IF(ISERROR(VLOOKUP("Osobní náklady (Kč) *",INDIRECT("HI!$A:$G"),5,0)),0,VLOOKUP("Osobní náklady (Kč) *",INDIRECT("HI!$A:$G"),5,0))</f>
        <v>15903.975859999999</v>
      </c>
      <c r="E14" s="140">
        <f ca="1">IF(C14=0,0,D14/C14)</f>
        <v>1.0432029272960059</v>
      </c>
    </row>
    <row r="15" spans="1:5" ht="14.4" customHeight="1" thickBot="1" x14ac:dyDescent="0.35">
      <c r="A15" s="152"/>
      <c r="B15" s="153"/>
      <c r="C15" s="154"/>
      <c r="D15" s="154"/>
      <c r="E15" s="155"/>
    </row>
    <row r="16" spans="1:5" ht="14.4" customHeight="1" thickBot="1" x14ac:dyDescent="0.35">
      <c r="A16" s="156" t="str">
        <f>HYPERLINK("#HI!A1","VÝNOSY CELKEM (v tisících)")</f>
        <v>VÝNOSY CELKEM (v tisících)</v>
      </c>
      <c r="B16" s="157"/>
      <c r="C16" s="158">
        <f ca="1">IF(ISERROR(VLOOKUP("Výnosy celkem",INDIRECT("HI!$A:$G"),6,0)),0,VLOOKUP("Výnosy celkem",INDIRECT("HI!$A:$G"),6,0))</f>
        <v>0</v>
      </c>
      <c r="D16" s="158">
        <f ca="1">IF(ISERROR(VLOOKUP("Výnosy celkem",INDIRECT("HI!$A:$G"),5,0)),0,VLOOKUP("Výnosy celkem",INDIRECT("HI!$A:$G"),5,0))</f>
        <v>0</v>
      </c>
      <c r="E16" s="159">
        <f t="shared" ref="E16:E17" ca="1" si="1">IF(C16=0,0,D16/C16)</f>
        <v>0</v>
      </c>
    </row>
    <row r="17" spans="1:5" ht="14.4" customHeight="1" x14ac:dyDescent="0.3">
      <c r="A17" s="160" t="str">
        <f>HYPERLINK("#HI!A1","Ambulance (body za výkony + Kč za ZUM a ZULP)")</f>
        <v>Ambulance (body za výkony + Kč za ZUM a ZULP)</v>
      </c>
      <c r="B17" s="138"/>
      <c r="C17" s="139">
        <f ca="1">IF(ISERROR(VLOOKUP("Ambulance *",INDIRECT("HI!$A:$G"),6,0)),0,VLOOKUP("Ambulance *",INDIRECT("HI!$A:$G"),6,0))</f>
        <v>0</v>
      </c>
      <c r="D17" s="139">
        <f ca="1">IF(ISERROR(VLOOKUP("Ambulance *",INDIRECT("HI!$A:$G"),5,0)),0,VLOOKUP("Ambulance *",INDIRECT("HI!$A:$G"),5,0))</f>
        <v>0</v>
      </c>
      <c r="E17" s="140">
        <f t="shared" ca="1" si="1"/>
        <v>0</v>
      </c>
    </row>
    <row r="18" spans="1:5" ht="14.4" customHeight="1" x14ac:dyDescent="0.3">
      <c r="A18" s="161" t="str">
        <f>HYPERLINK("#HI!A1","Hospitalizace (casemix * 30000)")</f>
        <v>Hospitalizace (casemix * 30000)</v>
      </c>
      <c r="B18" s="142"/>
      <c r="C18" s="139">
        <f ca="1">IF(ISERROR(VLOOKUP("Hospitalizace *",INDIRECT("HI!$A:$G"),6,0)),0,VLOOKUP("Hospitalizace *",INDIRECT("HI!$A:$G"),6,0))</f>
        <v>0</v>
      </c>
      <c r="D18" s="139">
        <f ca="1">IF(ISERROR(VLOOKUP("Hospitalizace *",INDIRECT("HI!$A:$G"),5,0)),0,VLOOKUP("Hospitalizace *",INDIRECT("HI!$A:$G"),5,0))</f>
        <v>0</v>
      </c>
      <c r="E18" s="140">
        <f ca="1">IF(C18=0,0,D18/C18)</f>
        <v>0</v>
      </c>
    </row>
    <row r="19" spans="1:5" ht="14.4" customHeight="1" thickBot="1" x14ac:dyDescent="0.35">
      <c r="A19" s="162" t="s">
        <v>98</v>
      </c>
      <c r="B19" s="149"/>
      <c r="C19" s="150"/>
      <c r="D19" s="150"/>
      <c r="E19" s="151"/>
    </row>
    <row r="20" spans="1:5" ht="14.4" customHeight="1" thickBot="1" x14ac:dyDescent="0.35">
      <c r="A20" s="163"/>
      <c r="B20" s="164"/>
      <c r="C20" s="165"/>
      <c r="D20" s="165"/>
      <c r="E20" s="166"/>
    </row>
    <row r="21" spans="1:5" ht="14.4" customHeight="1" thickBot="1" x14ac:dyDescent="0.35">
      <c r="A21" s="167" t="s">
        <v>99</v>
      </c>
      <c r="B21" s="168"/>
      <c r="C21" s="169"/>
      <c r="D21" s="169"/>
      <c r="E21" s="170"/>
    </row>
  </sheetData>
  <mergeCells count="1">
    <mergeCell ref="A1:E1"/>
  </mergeCells>
  <conditionalFormatting sqref="E5">
    <cfRule type="cellIs" dxfId="51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2">
    <cfRule type="cellIs" dxfId="50" priority="15" operator="greaterThan">
      <formula>1</formula>
    </cfRule>
    <cfRule type="iconSet" priority="16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49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7">
    <cfRule type="cellIs" dxfId="48" priority="9" operator="lessThan">
      <formula>1</formula>
    </cfRule>
    <cfRule type="iconSet" priority="10">
      <iconSet iconSet="3Symbols2">
        <cfvo type="percent" val="0"/>
        <cfvo type="num" val="1"/>
        <cfvo type="num" val="1"/>
      </iconSet>
    </cfRule>
  </conditionalFormatting>
  <conditionalFormatting sqref="E18">
    <cfRule type="cellIs" dxfId="47" priority="7" operator="lessThan">
      <formula>1</formula>
    </cfRule>
    <cfRule type="iconSet" priority="8">
      <iconSet iconSet="3Symbols2">
        <cfvo type="percent" val="0"/>
        <cfvo type="num" val="1"/>
        <cfvo type="num" val="1"/>
      </iconSet>
    </cfRule>
  </conditionalFormatting>
  <conditionalFormatting sqref="E6">
    <cfRule type="cellIs" dxfId="46" priority="5" operator="greaterThan">
      <formula>1</formula>
    </cfRule>
    <cfRule type="iconSet" priority="6">
      <iconSet iconSet="3Symbols2" reverse="1">
        <cfvo type="percent" val="0"/>
        <cfvo type="num" val="1"/>
        <cfvo type="num" val="1"/>
      </iconSet>
    </cfRule>
  </conditionalFormatting>
  <conditionalFormatting sqref="E16 E8">
    <cfRule type="cellIs" dxfId="45" priority="20" operator="lessThan">
      <formula>1</formula>
    </cfRule>
  </conditionalFormatting>
  <conditionalFormatting sqref="E9">
    <cfRule type="cellIs" dxfId="44" priority="3" operator="greaterThan">
      <formula>1</formula>
    </cfRule>
    <cfRule type="iconSet" priority="4">
      <iconSet iconSet="3Symbols2" reverse="1">
        <cfvo type="percent" val="0"/>
        <cfvo type="num" val="1"/>
        <cfvo type="num" val="1"/>
      </iconSet>
    </cfRule>
  </conditionalFormatting>
  <conditionalFormatting sqref="E16 E8">
    <cfRule type="iconSet" priority="52">
      <iconSet iconSet="3Symbols2">
        <cfvo type="percent" val="0"/>
        <cfvo type="num" val="1"/>
        <cfvo type="num" val="1"/>
      </iconSet>
    </cfRule>
  </conditionalFormatting>
  <conditionalFormatting sqref="E4 E7 E13">
    <cfRule type="cellIs" dxfId="43" priority="57" operator="greaterThan">
      <formula>1</formula>
    </cfRule>
    <cfRule type="iconSet" priority="58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H23"/>
  <sheetViews>
    <sheetView showGridLines="0" showRowColHeaders="0" zoomScaleNormal="100" workbookViewId="0">
      <selection sqref="A1:H1"/>
    </sheetView>
  </sheetViews>
  <sheetFormatPr defaultRowHeight="14.4" customHeight="1" x14ac:dyDescent="0.3"/>
  <cols>
    <col min="1" max="1" width="34.21875" style="107" bestFit="1" customWidth="1"/>
    <col min="2" max="3" width="9.5546875" style="107" customWidth="1"/>
    <col min="4" max="4" width="2.21875" style="107" customWidth="1"/>
    <col min="5" max="8" width="9.5546875" style="107" customWidth="1"/>
    <col min="9" max="16384" width="8.88671875" style="107"/>
  </cols>
  <sheetData>
    <row r="1" spans="1:8" ht="18.600000000000001" customHeight="1" thickBot="1" x14ac:dyDescent="0.4">
      <c r="A1" s="273" t="s">
        <v>86</v>
      </c>
      <c r="B1" s="273"/>
      <c r="C1" s="273"/>
      <c r="D1" s="273"/>
      <c r="E1" s="273"/>
      <c r="F1" s="273"/>
      <c r="G1" s="274"/>
      <c r="H1" s="274"/>
    </row>
    <row r="2" spans="1:8" ht="14.4" customHeight="1" thickBot="1" x14ac:dyDescent="0.35">
      <c r="A2" s="187" t="s">
        <v>220</v>
      </c>
      <c r="B2" s="88"/>
      <c r="C2" s="88"/>
      <c r="D2" s="88"/>
      <c r="E2" s="88"/>
      <c r="F2" s="88"/>
    </row>
    <row r="3" spans="1:8" ht="14.4" customHeight="1" x14ac:dyDescent="0.3">
      <c r="A3" s="275"/>
      <c r="B3" s="84">
        <v>2013</v>
      </c>
      <c r="C3" s="40">
        <v>2014</v>
      </c>
      <c r="D3" s="7"/>
      <c r="E3" s="279">
        <v>2015</v>
      </c>
      <c r="F3" s="280"/>
      <c r="G3" s="280"/>
      <c r="H3" s="281"/>
    </row>
    <row r="4" spans="1:8" ht="14.4" customHeight="1" thickBot="1" x14ac:dyDescent="0.35">
      <c r="A4" s="276"/>
      <c r="B4" s="277" t="s">
        <v>58</v>
      </c>
      <c r="C4" s="278"/>
      <c r="D4" s="7"/>
      <c r="E4" s="105" t="s">
        <v>58</v>
      </c>
      <c r="F4" s="86" t="s">
        <v>59</v>
      </c>
      <c r="G4" s="86" t="s">
        <v>55</v>
      </c>
      <c r="H4" s="87" t="s">
        <v>60</v>
      </c>
    </row>
    <row r="5" spans="1:8" ht="14.4" customHeight="1" x14ac:dyDescent="0.3">
      <c r="A5" s="89" t="str">
        <f>HYPERLINK("#'Léky Žádanky'!A1","Léky (Kč)")</f>
        <v>Léky (Kč)</v>
      </c>
      <c r="B5" s="27">
        <v>591.16294999999911</v>
      </c>
      <c r="C5" s="29">
        <v>582.33538999999996</v>
      </c>
      <c r="D5" s="8"/>
      <c r="E5" s="94">
        <v>598.59006999999986</v>
      </c>
      <c r="F5" s="28">
        <v>607.05411772481796</v>
      </c>
      <c r="G5" s="93">
        <f>E5-F5</f>
        <v>-8.4640477248181014</v>
      </c>
      <c r="H5" s="99">
        <f>IF(F5&lt;0.00000001,"",E5/F5)</f>
        <v>0.98605717764251311</v>
      </c>
    </row>
    <row r="6" spans="1:8" ht="14.4" customHeight="1" x14ac:dyDescent="0.3">
      <c r="A6" s="89" t="str">
        <f>HYPERLINK("#'Materiál Žádanky'!A1","Materiál - SZM (Kč)")</f>
        <v>Materiál - SZM (Kč)</v>
      </c>
      <c r="B6" s="10">
        <v>6101.382529999999</v>
      </c>
      <c r="C6" s="31">
        <v>7311.5341300000109</v>
      </c>
      <c r="D6" s="8"/>
      <c r="E6" s="95">
        <v>9992.6903000000111</v>
      </c>
      <c r="F6" s="30">
        <v>8811.9647243362942</v>
      </c>
      <c r="G6" s="96">
        <f>E6-F6</f>
        <v>1180.7255756637169</v>
      </c>
      <c r="H6" s="100">
        <f>IF(F6&lt;0.00000001,"",E6/F6)</f>
        <v>1.1339911827384952</v>
      </c>
    </row>
    <row r="7" spans="1:8" ht="14.4" customHeight="1" x14ac:dyDescent="0.3">
      <c r="A7" s="89" t="str">
        <f>HYPERLINK("#'Osobní náklady'!A1","Osobní náklady (Kč) *")</f>
        <v>Osobní náklady (Kč) *</v>
      </c>
      <c r="B7" s="10">
        <v>14586.99957</v>
      </c>
      <c r="C7" s="31">
        <v>15065.38590000001</v>
      </c>
      <c r="D7" s="8"/>
      <c r="E7" s="95">
        <v>15903.975859999999</v>
      </c>
      <c r="F7" s="30">
        <v>15245.332853142281</v>
      </c>
      <c r="G7" s="96">
        <f>E7-F7</f>
        <v>658.64300685771741</v>
      </c>
      <c r="H7" s="100">
        <f>IF(F7&lt;0.00000001,"",E7/F7)</f>
        <v>1.0432029272960059</v>
      </c>
    </row>
    <row r="8" spans="1:8" ht="14.4" customHeight="1" thickBot="1" x14ac:dyDescent="0.35">
      <c r="A8" s="1" t="s">
        <v>61</v>
      </c>
      <c r="B8" s="11">
        <v>22720.563329999986</v>
      </c>
      <c r="C8" s="33">
        <v>26893.708440000013</v>
      </c>
      <c r="D8" s="8"/>
      <c r="E8" s="97">
        <v>27319.988720000016</v>
      </c>
      <c r="F8" s="32">
        <v>28037.176174408785</v>
      </c>
      <c r="G8" s="98">
        <f>E8-F8</f>
        <v>-717.18745440876955</v>
      </c>
      <c r="H8" s="101">
        <f>IF(F8&lt;0.00000001,"",E8/F8)</f>
        <v>0.97442012526698785</v>
      </c>
    </row>
    <row r="9" spans="1:8" ht="14.4" customHeight="1" thickBot="1" x14ac:dyDescent="0.35">
      <c r="A9" s="2" t="s">
        <v>62</v>
      </c>
      <c r="B9" s="3">
        <v>44000.108379999983</v>
      </c>
      <c r="C9" s="35">
        <v>49852.963860000033</v>
      </c>
      <c r="D9" s="8"/>
      <c r="E9" s="3">
        <v>53815.244950000022</v>
      </c>
      <c r="F9" s="34">
        <v>52701.527869612182</v>
      </c>
      <c r="G9" s="34">
        <f>E9-F9</f>
        <v>1113.7170803878398</v>
      </c>
      <c r="H9" s="102">
        <f>IF(F9&lt;0.00000001,"",E9/F9)</f>
        <v>1.0211325387594694</v>
      </c>
    </row>
    <row r="10" spans="1:8" ht="14.4" customHeight="1" thickBot="1" x14ac:dyDescent="0.35">
      <c r="A10" s="12"/>
      <c r="B10" s="12"/>
      <c r="C10" s="85"/>
      <c r="D10" s="8"/>
      <c r="E10" s="12"/>
      <c r="F10" s="13"/>
    </row>
    <row r="11" spans="1:8" ht="14.4" customHeight="1" x14ac:dyDescent="0.3">
      <c r="A11" s="110" t="str">
        <f>HYPERLINK("#'ZV Vykáz.-A'!A1","Ambulance *")</f>
        <v>Ambulance *</v>
      </c>
      <c r="B11" s="9">
        <f>IF(ISERROR(VLOOKUP("Celkem:",#REF!,2,0)),0,VLOOKUP("Celkem:",#REF!,2,0)/1000)</f>
        <v>0</v>
      </c>
      <c r="C11" s="29">
        <f>IF(ISERROR(VLOOKUP("Celkem:",#REF!,4,0)),0,VLOOKUP("Celkem:",#REF!,4,0)/1000)</f>
        <v>0</v>
      </c>
      <c r="D11" s="8"/>
      <c r="E11" s="94">
        <f>IF(ISERROR(VLOOKUP("Celkem:",#REF!,6,0)),0,VLOOKUP("Celkem:",#REF!,6,0)/1000)</f>
        <v>0</v>
      </c>
      <c r="F11" s="28">
        <f>B11</f>
        <v>0</v>
      </c>
      <c r="G11" s="93">
        <f>E11-F11</f>
        <v>0</v>
      </c>
      <c r="H11" s="99" t="str">
        <f>IF(F11&lt;0.00000001,"",E11/F11)</f>
        <v/>
      </c>
    </row>
    <row r="12" spans="1:8" ht="14.4" customHeight="1" thickBot="1" x14ac:dyDescent="0.35">
      <c r="A12" s="111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97">
        <f>IF(ISERROR(VLOOKUP("Celkem",#REF!,4,0)),0,VLOOKUP("Celkem",#REF!,4,0)*30)</f>
        <v>0</v>
      </c>
      <c r="F12" s="32">
        <f>B12</f>
        <v>0</v>
      </c>
      <c r="G12" s="98">
        <f>E12-F12</f>
        <v>0</v>
      </c>
      <c r="H12" s="101" t="str">
        <f>IF(F12&lt;0.00000001,"",E12/F12)</f>
        <v/>
      </c>
    </row>
    <row r="13" spans="1:8" ht="14.4" customHeight="1" thickBot="1" x14ac:dyDescent="0.35">
      <c r="A13" s="4" t="s">
        <v>63</v>
      </c>
      <c r="B13" s="5">
        <f>SUM(B11:B12)</f>
        <v>0</v>
      </c>
      <c r="C13" s="37">
        <f>SUM(C11:C12)</f>
        <v>0</v>
      </c>
      <c r="D13" s="8"/>
      <c r="E13" s="5">
        <f>SUM(E11:E12)</f>
        <v>0</v>
      </c>
      <c r="F13" s="36">
        <f>SUM(F11:F12)</f>
        <v>0</v>
      </c>
      <c r="G13" s="36">
        <f>E13-F13</f>
        <v>0</v>
      </c>
      <c r="H13" s="103" t="str">
        <f>IF(F13&lt;0.00000001,"",E13/F13)</f>
        <v/>
      </c>
    </row>
    <row r="14" spans="1:8" ht="14.4" customHeight="1" thickBot="1" x14ac:dyDescent="0.35">
      <c r="A14" s="12"/>
      <c r="B14" s="12"/>
      <c r="C14" s="85"/>
      <c r="D14" s="8"/>
      <c r="E14" s="12"/>
      <c r="F14" s="13"/>
    </row>
    <row r="15" spans="1:8" ht="14.4" customHeight="1" thickBot="1" x14ac:dyDescent="0.35">
      <c r="A15" s="112" t="str">
        <f>HYPERLINK("#'HI Graf'!A1","Hospodářský index (Výnosy / Náklady) *")</f>
        <v>Hospodářský index (Výnosy / Náklady) *</v>
      </c>
      <c r="B15" s="6">
        <f>IF(B9=0,"",B13/B9)</f>
        <v>0</v>
      </c>
      <c r="C15" s="39">
        <f>IF(C9=0,"",C13/C9)</f>
        <v>0</v>
      </c>
      <c r="D15" s="8"/>
      <c r="E15" s="6">
        <f>IF(E9=0,"",E13/E9)</f>
        <v>0</v>
      </c>
      <c r="F15" s="38">
        <f>IF(F9=0,"",F13/F9)</f>
        <v>0</v>
      </c>
      <c r="G15" s="38">
        <f>IF(ISERROR(F15-E15),"",E15-F15)</f>
        <v>0</v>
      </c>
      <c r="H15" s="104" t="str">
        <f>IF(ISERROR(F15-E15),"",IF(F15&lt;0.00000001,"",E15/F15))</f>
        <v/>
      </c>
    </row>
    <row r="17" spans="1:8" ht="14.4" customHeight="1" x14ac:dyDescent="0.3">
      <c r="A17" s="90" t="s">
        <v>103</v>
      </c>
    </row>
    <row r="18" spans="1:8" ht="14.4" customHeight="1" x14ac:dyDescent="0.3">
      <c r="A18" s="240" t="s">
        <v>143</v>
      </c>
      <c r="B18" s="241"/>
      <c r="C18" s="241"/>
      <c r="D18" s="241"/>
      <c r="E18" s="241"/>
      <c r="F18" s="241"/>
      <c r="G18" s="241"/>
      <c r="H18" s="241"/>
    </row>
    <row r="19" spans="1:8" x14ac:dyDescent="0.3">
      <c r="A19" s="239" t="s">
        <v>142</v>
      </c>
      <c r="B19" s="241"/>
      <c r="C19" s="241"/>
      <c r="D19" s="241"/>
      <c r="E19" s="241"/>
      <c r="F19" s="241"/>
      <c r="G19" s="241"/>
      <c r="H19" s="241"/>
    </row>
    <row r="20" spans="1:8" ht="14.4" customHeight="1" x14ac:dyDescent="0.3">
      <c r="A20" s="91" t="s">
        <v>197</v>
      </c>
    </row>
    <row r="21" spans="1:8" ht="14.4" customHeight="1" x14ac:dyDescent="0.3">
      <c r="A21" s="91" t="s">
        <v>104</v>
      </c>
    </row>
    <row r="22" spans="1:8" ht="14.4" customHeight="1" x14ac:dyDescent="0.3">
      <c r="A22" s="92" t="s">
        <v>105</v>
      </c>
    </row>
    <row r="23" spans="1:8" ht="14.4" customHeight="1" x14ac:dyDescent="0.3">
      <c r="A23" s="92" t="s">
        <v>106</v>
      </c>
    </row>
  </sheetData>
  <mergeCells count="4">
    <mergeCell ref="A3:A4"/>
    <mergeCell ref="B4:C4"/>
    <mergeCell ref="E3:H3"/>
    <mergeCell ref="A1:H1"/>
  </mergeCells>
  <conditionalFormatting sqref="F11:F12">
    <cfRule type="dataBar" priority="5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6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42" priority="4" operator="greaterThan">
      <formula>0</formula>
    </cfRule>
  </conditionalFormatting>
  <conditionalFormatting sqref="G11:G13 G15">
    <cfRule type="cellIs" dxfId="41" priority="3" operator="lessThan">
      <formula>0</formula>
    </cfRule>
  </conditionalFormatting>
  <conditionalFormatting sqref="H5:H9">
    <cfRule type="cellIs" dxfId="40" priority="2" operator="greaterThan">
      <formula>1</formula>
    </cfRule>
  </conditionalFormatting>
  <conditionalFormatting sqref="H11:H13 H15">
    <cfRule type="cellIs" dxfId="39" priority="1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07" bestFit="1" customWidth="1"/>
    <col min="2" max="2" width="12.77734375" style="107" bestFit="1" customWidth="1"/>
    <col min="3" max="3" width="13.6640625" style="107" bestFit="1" customWidth="1"/>
    <col min="4" max="15" width="7.77734375" style="107" bestFit="1" customWidth="1"/>
    <col min="16" max="16" width="8.88671875" style="107" customWidth="1"/>
    <col min="17" max="17" width="6.6640625" style="107" bestFit="1" customWidth="1"/>
    <col min="18" max="16384" width="8.88671875" style="107"/>
  </cols>
  <sheetData>
    <row r="1" spans="1:17" s="171" customFormat="1" ht="18.600000000000001" customHeight="1" thickBot="1" x14ac:dyDescent="0.4">
      <c r="A1" s="282" t="s">
        <v>222</v>
      </c>
      <c r="B1" s="282"/>
      <c r="C1" s="282"/>
      <c r="D1" s="282"/>
      <c r="E1" s="282"/>
      <c r="F1" s="282"/>
      <c r="G1" s="282"/>
      <c r="H1" s="273"/>
      <c r="I1" s="273"/>
      <c r="J1" s="273"/>
      <c r="K1" s="273"/>
      <c r="L1" s="273"/>
      <c r="M1" s="273"/>
      <c r="N1" s="273"/>
      <c r="O1" s="273"/>
      <c r="P1" s="273"/>
      <c r="Q1" s="273"/>
    </row>
    <row r="2" spans="1:17" s="171" customFormat="1" ht="14.4" customHeight="1" thickBot="1" x14ac:dyDescent="0.3">
      <c r="A2" s="187" t="s">
        <v>220</v>
      </c>
      <c r="B2" s="172"/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</row>
    <row r="3" spans="1:17" ht="14.4" customHeight="1" x14ac:dyDescent="0.3">
      <c r="A3" s="66"/>
      <c r="B3" s="283" t="s">
        <v>16</v>
      </c>
      <c r="C3" s="284"/>
      <c r="D3" s="284"/>
      <c r="E3" s="284"/>
      <c r="F3" s="284"/>
      <c r="G3" s="284"/>
      <c r="H3" s="284"/>
      <c r="I3" s="284"/>
      <c r="J3" s="284"/>
      <c r="K3" s="284"/>
      <c r="L3" s="284"/>
      <c r="M3" s="284"/>
      <c r="N3" s="284"/>
      <c r="O3" s="284"/>
      <c r="P3" s="115"/>
      <c r="Q3" s="117"/>
    </row>
    <row r="4" spans="1:17" ht="14.4" customHeight="1" x14ac:dyDescent="0.3">
      <c r="A4" s="67"/>
      <c r="B4" s="20">
        <v>2015</v>
      </c>
      <c r="C4" s="116" t="s">
        <v>17</v>
      </c>
      <c r="D4" s="106" t="s">
        <v>198</v>
      </c>
      <c r="E4" s="106" t="s">
        <v>199</v>
      </c>
      <c r="F4" s="106" t="s">
        <v>200</v>
      </c>
      <c r="G4" s="106" t="s">
        <v>201</v>
      </c>
      <c r="H4" s="106" t="s">
        <v>202</v>
      </c>
      <c r="I4" s="106" t="s">
        <v>203</v>
      </c>
      <c r="J4" s="106" t="s">
        <v>204</v>
      </c>
      <c r="K4" s="106" t="s">
        <v>205</v>
      </c>
      <c r="L4" s="106" t="s">
        <v>206</v>
      </c>
      <c r="M4" s="106" t="s">
        <v>207</v>
      </c>
      <c r="N4" s="106" t="s">
        <v>208</v>
      </c>
      <c r="O4" s="106" t="s">
        <v>209</v>
      </c>
      <c r="P4" s="285" t="s">
        <v>3</v>
      </c>
      <c r="Q4" s="286"/>
    </row>
    <row r="5" spans="1:17" ht="14.4" customHeight="1" thickBot="1" x14ac:dyDescent="0.35">
      <c r="A5" s="68"/>
      <c r="B5" s="21" t="s">
        <v>18</v>
      </c>
      <c r="C5" s="22" t="s">
        <v>18</v>
      </c>
      <c r="D5" s="22" t="s">
        <v>19</v>
      </c>
      <c r="E5" s="22" t="s">
        <v>19</v>
      </c>
      <c r="F5" s="22" t="s">
        <v>19</v>
      </c>
      <c r="G5" s="22" t="s">
        <v>19</v>
      </c>
      <c r="H5" s="22" t="s">
        <v>19</v>
      </c>
      <c r="I5" s="22" t="s">
        <v>19</v>
      </c>
      <c r="J5" s="22" t="s">
        <v>19</v>
      </c>
      <c r="K5" s="22" t="s">
        <v>19</v>
      </c>
      <c r="L5" s="22" t="s">
        <v>19</v>
      </c>
      <c r="M5" s="22" t="s">
        <v>19</v>
      </c>
      <c r="N5" s="22" t="s">
        <v>19</v>
      </c>
      <c r="O5" s="22" t="s">
        <v>19</v>
      </c>
      <c r="P5" s="22" t="s">
        <v>19</v>
      </c>
      <c r="Q5" s="23" t="s">
        <v>20</v>
      </c>
    </row>
    <row r="6" spans="1:17" ht="14.4" customHeight="1" x14ac:dyDescent="0.3">
      <c r="A6" s="14" t="s">
        <v>21</v>
      </c>
      <c r="B6" s="48">
        <v>0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0</v>
      </c>
      <c r="O6" s="49">
        <v>0</v>
      </c>
      <c r="P6" s="50">
        <v>0</v>
      </c>
      <c r="Q6" s="77" t="s">
        <v>221</v>
      </c>
    </row>
    <row r="7" spans="1:17" ht="14.4" customHeight="1" x14ac:dyDescent="0.3">
      <c r="A7" s="15" t="s">
        <v>22</v>
      </c>
      <c r="B7" s="51">
        <v>910.58117658722699</v>
      </c>
      <c r="C7" s="52">
        <v>75.881764715602003</v>
      </c>
      <c r="D7" s="52">
        <v>47.737470000000002</v>
      </c>
      <c r="E7" s="52">
        <v>83.986940000000004</v>
      </c>
      <c r="F7" s="52">
        <v>90.874070000000003</v>
      </c>
      <c r="G7" s="52">
        <v>74.225170000000006</v>
      </c>
      <c r="H7" s="52">
        <v>90.778279999999995</v>
      </c>
      <c r="I7" s="52">
        <v>90.348079999999996</v>
      </c>
      <c r="J7" s="52">
        <v>55.648429999999998</v>
      </c>
      <c r="K7" s="52">
        <v>64.991630000000001</v>
      </c>
      <c r="L7" s="52">
        <v>0</v>
      </c>
      <c r="M7" s="52">
        <v>0</v>
      </c>
      <c r="N7" s="52">
        <v>0</v>
      </c>
      <c r="O7" s="52">
        <v>0</v>
      </c>
      <c r="P7" s="53">
        <v>598.59006999999997</v>
      </c>
      <c r="Q7" s="78">
        <v>0.98605717764199996</v>
      </c>
    </row>
    <row r="8" spans="1:17" ht="14.4" customHeight="1" x14ac:dyDescent="0.3">
      <c r="A8" s="15" t="s">
        <v>23</v>
      </c>
      <c r="B8" s="51">
        <v>0</v>
      </c>
      <c r="C8" s="52">
        <v>0</v>
      </c>
      <c r="D8" s="52">
        <v>0</v>
      </c>
      <c r="E8" s="52">
        <v>0</v>
      </c>
      <c r="F8" s="52">
        <v>0</v>
      </c>
      <c r="G8" s="52">
        <v>0</v>
      </c>
      <c r="H8" s="52">
        <v>0</v>
      </c>
      <c r="I8" s="52">
        <v>0</v>
      </c>
      <c r="J8" s="52">
        <v>0</v>
      </c>
      <c r="K8" s="52">
        <v>0</v>
      </c>
      <c r="L8" s="52">
        <v>0</v>
      </c>
      <c r="M8" s="52">
        <v>0</v>
      </c>
      <c r="N8" s="52">
        <v>0</v>
      </c>
      <c r="O8" s="52">
        <v>0</v>
      </c>
      <c r="P8" s="53">
        <v>0</v>
      </c>
      <c r="Q8" s="78" t="s">
        <v>221</v>
      </c>
    </row>
    <row r="9" spans="1:17" ht="14.4" customHeight="1" x14ac:dyDescent="0.3">
      <c r="A9" s="15" t="s">
        <v>24</v>
      </c>
      <c r="B9" s="51">
        <v>13217.9470865044</v>
      </c>
      <c r="C9" s="52">
        <v>1101.49559054204</v>
      </c>
      <c r="D9" s="52">
        <v>-208.60826</v>
      </c>
      <c r="E9" s="52">
        <v>2586.4453600000102</v>
      </c>
      <c r="F9" s="52">
        <v>68.289500000000004</v>
      </c>
      <c r="G9" s="52">
        <v>2090.6648300000002</v>
      </c>
      <c r="H9" s="52">
        <v>1433.57269</v>
      </c>
      <c r="I9" s="52">
        <v>2088.4025799999999</v>
      </c>
      <c r="J9" s="52">
        <v>-30.075620000000001</v>
      </c>
      <c r="K9" s="52">
        <v>1963.9992199999999</v>
      </c>
      <c r="L9" s="52">
        <v>0</v>
      </c>
      <c r="M9" s="52">
        <v>0</v>
      </c>
      <c r="N9" s="52">
        <v>0</v>
      </c>
      <c r="O9" s="52">
        <v>0</v>
      </c>
      <c r="P9" s="53">
        <v>9992.6903000000093</v>
      </c>
      <c r="Q9" s="78">
        <v>1.133991182738</v>
      </c>
    </row>
    <row r="10" spans="1:17" ht="14.4" customHeight="1" x14ac:dyDescent="0.3">
      <c r="A10" s="15" t="s">
        <v>25</v>
      </c>
      <c r="B10" s="51">
        <v>0</v>
      </c>
      <c r="C10" s="52">
        <v>0</v>
      </c>
      <c r="D10" s="52">
        <v>0</v>
      </c>
      <c r="E10" s="52">
        <v>0</v>
      </c>
      <c r="F10" s="52">
        <v>0</v>
      </c>
      <c r="G10" s="52">
        <v>0</v>
      </c>
      <c r="H10" s="52">
        <v>0</v>
      </c>
      <c r="I10" s="52">
        <v>0</v>
      </c>
      <c r="J10" s="52">
        <v>0</v>
      </c>
      <c r="K10" s="52">
        <v>0</v>
      </c>
      <c r="L10" s="52">
        <v>0</v>
      </c>
      <c r="M10" s="52">
        <v>0</v>
      </c>
      <c r="N10" s="52">
        <v>0</v>
      </c>
      <c r="O10" s="52">
        <v>0</v>
      </c>
      <c r="P10" s="53">
        <v>0</v>
      </c>
      <c r="Q10" s="78" t="s">
        <v>221</v>
      </c>
    </row>
    <row r="11" spans="1:17" ht="14.4" customHeight="1" x14ac:dyDescent="0.3">
      <c r="A11" s="15" t="s">
        <v>26</v>
      </c>
      <c r="B11" s="51">
        <v>913.20480823070295</v>
      </c>
      <c r="C11" s="52">
        <v>76.100400685891003</v>
      </c>
      <c r="D11" s="52">
        <v>23.279250000000001</v>
      </c>
      <c r="E11" s="52">
        <v>61.095930000000003</v>
      </c>
      <c r="F11" s="52">
        <v>46.729219999999998</v>
      </c>
      <c r="G11" s="52">
        <v>87.246350000000007</v>
      </c>
      <c r="H11" s="52">
        <v>58.384480000000003</v>
      </c>
      <c r="I11" s="52">
        <v>72.724900000000005</v>
      </c>
      <c r="J11" s="52">
        <v>45.968240000000002</v>
      </c>
      <c r="K11" s="52">
        <v>58.552660000000003</v>
      </c>
      <c r="L11" s="52">
        <v>0</v>
      </c>
      <c r="M11" s="52">
        <v>0</v>
      </c>
      <c r="N11" s="52">
        <v>0</v>
      </c>
      <c r="O11" s="52">
        <v>0</v>
      </c>
      <c r="P11" s="53">
        <v>453.98102999999998</v>
      </c>
      <c r="Q11" s="78">
        <v>0.74569421761900001</v>
      </c>
    </row>
    <row r="12" spans="1:17" ht="14.4" customHeight="1" x14ac:dyDescent="0.3">
      <c r="A12" s="15" t="s">
        <v>27</v>
      </c>
      <c r="B12" s="51">
        <v>580.40982099556504</v>
      </c>
      <c r="C12" s="52">
        <v>48.367485082963</v>
      </c>
      <c r="D12" s="52">
        <v>32.639899999999997</v>
      </c>
      <c r="E12" s="52">
        <v>5.8915699999999998</v>
      </c>
      <c r="F12" s="52">
        <v>40.201180000000001</v>
      </c>
      <c r="G12" s="52">
        <v>78.665760000000006</v>
      </c>
      <c r="H12" s="52">
        <v>62.473179999999999</v>
      </c>
      <c r="I12" s="52">
        <v>53.00958</v>
      </c>
      <c r="J12" s="52">
        <v>17.706669999999999</v>
      </c>
      <c r="K12" s="52">
        <v>0.4955</v>
      </c>
      <c r="L12" s="52">
        <v>0</v>
      </c>
      <c r="M12" s="52">
        <v>0</v>
      </c>
      <c r="N12" s="52">
        <v>0</v>
      </c>
      <c r="O12" s="52">
        <v>0</v>
      </c>
      <c r="P12" s="53">
        <v>291.08334000000002</v>
      </c>
      <c r="Q12" s="78">
        <v>0.75227019634299996</v>
      </c>
    </row>
    <row r="13" spans="1:17" ht="14.4" customHeight="1" x14ac:dyDescent="0.3">
      <c r="A13" s="15" t="s">
        <v>28</v>
      </c>
      <c r="B13" s="51">
        <v>8936.9997185061602</v>
      </c>
      <c r="C13" s="52">
        <v>744.74997654217998</v>
      </c>
      <c r="D13" s="52">
        <v>529.39139</v>
      </c>
      <c r="E13" s="52">
        <v>512.34162000000094</v>
      </c>
      <c r="F13" s="52">
        <v>601.71213</v>
      </c>
      <c r="G13" s="52">
        <v>514.95500000000004</v>
      </c>
      <c r="H13" s="52">
        <v>511.70161000000002</v>
      </c>
      <c r="I13" s="52">
        <v>696.72388999999998</v>
      </c>
      <c r="J13" s="52">
        <v>509.22640000000001</v>
      </c>
      <c r="K13" s="52">
        <v>511.42610000000002</v>
      </c>
      <c r="L13" s="52">
        <v>0</v>
      </c>
      <c r="M13" s="52">
        <v>0</v>
      </c>
      <c r="N13" s="52">
        <v>0</v>
      </c>
      <c r="O13" s="52">
        <v>0</v>
      </c>
      <c r="P13" s="53">
        <v>4387.4781400000002</v>
      </c>
      <c r="Q13" s="78">
        <v>0.73640118801499999</v>
      </c>
    </row>
    <row r="14" spans="1:17" ht="14.4" customHeight="1" x14ac:dyDescent="0.3">
      <c r="A14" s="15" t="s">
        <v>29</v>
      </c>
      <c r="B14" s="51">
        <v>2159.2232972500901</v>
      </c>
      <c r="C14" s="52">
        <v>179.935274770841</v>
      </c>
      <c r="D14" s="52">
        <v>254.86199999999999</v>
      </c>
      <c r="E14" s="52">
        <v>214.83200000000099</v>
      </c>
      <c r="F14" s="52">
        <v>216.90199999999999</v>
      </c>
      <c r="G14" s="52">
        <v>189.43799999999999</v>
      </c>
      <c r="H14" s="52">
        <v>162.959</v>
      </c>
      <c r="I14" s="52">
        <v>150.85400000000001</v>
      </c>
      <c r="J14" s="52">
        <v>148.249</v>
      </c>
      <c r="K14" s="52">
        <v>136.51900000000001</v>
      </c>
      <c r="L14" s="52">
        <v>0</v>
      </c>
      <c r="M14" s="52">
        <v>0</v>
      </c>
      <c r="N14" s="52">
        <v>0</v>
      </c>
      <c r="O14" s="52">
        <v>0</v>
      </c>
      <c r="P14" s="53">
        <v>1474.615</v>
      </c>
      <c r="Q14" s="78">
        <v>1.0244065552720001</v>
      </c>
    </row>
    <row r="15" spans="1:17" ht="14.4" customHeight="1" x14ac:dyDescent="0.3">
      <c r="A15" s="15" t="s">
        <v>30</v>
      </c>
      <c r="B15" s="51">
        <v>0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3">
        <v>0</v>
      </c>
      <c r="Q15" s="78" t="s">
        <v>221</v>
      </c>
    </row>
    <row r="16" spans="1:17" ht="14.4" customHeight="1" x14ac:dyDescent="0.3">
      <c r="A16" s="15" t="s">
        <v>31</v>
      </c>
      <c r="B16" s="51">
        <v>0</v>
      </c>
      <c r="C16" s="52">
        <v>0</v>
      </c>
      <c r="D16" s="52">
        <v>0</v>
      </c>
      <c r="E16" s="52">
        <v>0</v>
      </c>
      <c r="F16" s="52">
        <v>0</v>
      </c>
      <c r="G16" s="52">
        <v>0</v>
      </c>
      <c r="H16" s="52">
        <v>0</v>
      </c>
      <c r="I16" s="52">
        <v>0</v>
      </c>
      <c r="J16" s="52">
        <v>0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53">
        <v>0</v>
      </c>
      <c r="Q16" s="78" t="s">
        <v>221</v>
      </c>
    </row>
    <row r="17" spans="1:17" ht="14.4" customHeight="1" x14ac:dyDescent="0.3">
      <c r="A17" s="15" t="s">
        <v>32</v>
      </c>
      <c r="B17" s="51">
        <v>956.481866684171</v>
      </c>
      <c r="C17" s="52">
        <v>79.706822223680007</v>
      </c>
      <c r="D17" s="52">
        <v>128.60974999999999</v>
      </c>
      <c r="E17" s="52">
        <v>26.548369999999998</v>
      </c>
      <c r="F17" s="52">
        <v>22.90775</v>
      </c>
      <c r="G17" s="52">
        <v>120.09808</v>
      </c>
      <c r="H17" s="52">
        <v>100.19958</v>
      </c>
      <c r="I17" s="52">
        <v>183.56996000000001</v>
      </c>
      <c r="J17" s="52">
        <v>99.751249999999999</v>
      </c>
      <c r="K17" s="52">
        <v>56.97128</v>
      </c>
      <c r="L17" s="52">
        <v>0</v>
      </c>
      <c r="M17" s="52">
        <v>0</v>
      </c>
      <c r="N17" s="52">
        <v>0</v>
      </c>
      <c r="O17" s="52">
        <v>0</v>
      </c>
      <c r="P17" s="53">
        <v>738.65602000000001</v>
      </c>
      <c r="Q17" s="78">
        <v>1.158395227962</v>
      </c>
    </row>
    <row r="18" spans="1:17" ht="14.4" customHeight="1" x14ac:dyDescent="0.3">
      <c r="A18" s="15" t="s">
        <v>33</v>
      </c>
      <c r="B18" s="51">
        <v>0</v>
      </c>
      <c r="C18" s="52">
        <v>0</v>
      </c>
      <c r="D18" s="52">
        <v>0</v>
      </c>
      <c r="E18" s="52">
        <v>0</v>
      </c>
      <c r="F18" s="52">
        <v>7.1269999999999998</v>
      </c>
      <c r="G18" s="52">
        <v>7.9180000000000001</v>
      </c>
      <c r="H18" s="52">
        <v>0</v>
      </c>
      <c r="I18" s="52">
        <v>2.9529999999999998</v>
      </c>
      <c r="J18" s="52">
        <v>0</v>
      </c>
      <c r="K18" s="52">
        <v>0</v>
      </c>
      <c r="L18" s="52">
        <v>0</v>
      </c>
      <c r="M18" s="52">
        <v>0</v>
      </c>
      <c r="N18" s="52">
        <v>0</v>
      </c>
      <c r="O18" s="52">
        <v>0</v>
      </c>
      <c r="P18" s="53">
        <v>17.998000000000001</v>
      </c>
      <c r="Q18" s="78" t="s">
        <v>221</v>
      </c>
    </row>
    <row r="19" spans="1:17" ht="14.4" customHeight="1" x14ac:dyDescent="0.3">
      <c r="A19" s="15" t="s">
        <v>34</v>
      </c>
      <c r="B19" s="51">
        <v>8608.4418508416002</v>
      </c>
      <c r="C19" s="52">
        <v>717.37015423679998</v>
      </c>
      <c r="D19" s="52">
        <v>327.20942000000002</v>
      </c>
      <c r="E19" s="52">
        <v>301.29787000000101</v>
      </c>
      <c r="F19" s="52">
        <v>4480.0756799999999</v>
      </c>
      <c r="G19" s="52">
        <v>243.68013999999999</v>
      </c>
      <c r="H19" s="52">
        <v>361.12993</v>
      </c>
      <c r="I19" s="52">
        <v>294.80833000000001</v>
      </c>
      <c r="J19" s="52">
        <v>274.48856000000001</v>
      </c>
      <c r="K19" s="52">
        <v>198.20528999999999</v>
      </c>
      <c r="L19" s="52">
        <v>0</v>
      </c>
      <c r="M19" s="52">
        <v>0</v>
      </c>
      <c r="N19" s="52">
        <v>0</v>
      </c>
      <c r="O19" s="52">
        <v>0</v>
      </c>
      <c r="P19" s="53">
        <v>6480.8952200000003</v>
      </c>
      <c r="Q19" s="78">
        <v>1.1292801878009999</v>
      </c>
    </row>
    <row r="20" spans="1:17" ht="14.4" customHeight="1" x14ac:dyDescent="0.3">
      <c r="A20" s="15" t="s">
        <v>35</v>
      </c>
      <c r="B20" s="51">
        <v>22867.9992797134</v>
      </c>
      <c r="C20" s="52">
        <v>1905.6666066427799</v>
      </c>
      <c r="D20" s="52">
        <v>1880.49917</v>
      </c>
      <c r="E20" s="52">
        <v>1885.6552799999999</v>
      </c>
      <c r="F20" s="52">
        <v>1903.06215</v>
      </c>
      <c r="G20" s="52">
        <v>1890.0516299999999</v>
      </c>
      <c r="H20" s="52">
        <v>2010.2322099999999</v>
      </c>
      <c r="I20" s="52">
        <v>1936.4672800000001</v>
      </c>
      <c r="J20" s="52">
        <v>2423.6940800000002</v>
      </c>
      <c r="K20" s="52">
        <v>1974.3140599999999</v>
      </c>
      <c r="L20" s="52">
        <v>0</v>
      </c>
      <c r="M20" s="52">
        <v>0</v>
      </c>
      <c r="N20" s="52">
        <v>0</v>
      </c>
      <c r="O20" s="52">
        <v>0</v>
      </c>
      <c r="P20" s="53">
        <v>15903.97586</v>
      </c>
      <c r="Q20" s="78">
        <v>1.0432029272959999</v>
      </c>
    </row>
    <row r="21" spans="1:17" ht="14.4" customHeight="1" x14ac:dyDescent="0.3">
      <c r="A21" s="16" t="s">
        <v>36</v>
      </c>
      <c r="B21" s="51">
        <v>19867.0028991049</v>
      </c>
      <c r="C21" s="52">
        <v>1655.5835749254099</v>
      </c>
      <c r="D21" s="52">
        <v>1689.8130000000001</v>
      </c>
      <c r="E21" s="52">
        <v>1689.8109999999999</v>
      </c>
      <c r="F21" s="52">
        <v>1690.394</v>
      </c>
      <c r="G21" s="52">
        <v>1646.104</v>
      </c>
      <c r="H21" s="52">
        <v>1632.306</v>
      </c>
      <c r="I21" s="52">
        <v>1634.2829999999999</v>
      </c>
      <c r="J21" s="52">
        <v>1631.951</v>
      </c>
      <c r="K21" s="52">
        <v>1631.95</v>
      </c>
      <c r="L21" s="52">
        <v>0</v>
      </c>
      <c r="M21" s="52">
        <v>0</v>
      </c>
      <c r="N21" s="52">
        <v>0</v>
      </c>
      <c r="O21" s="52">
        <v>0</v>
      </c>
      <c r="P21" s="53">
        <v>13246.611999999999</v>
      </c>
      <c r="Q21" s="78">
        <v>1.0001467307830001</v>
      </c>
    </row>
    <row r="22" spans="1:17" ht="14.4" customHeight="1" x14ac:dyDescent="0.3">
      <c r="A22" s="15" t="s">
        <v>37</v>
      </c>
      <c r="B22" s="51">
        <v>34</v>
      </c>
      <c r="C22" s="52">
        <v>2.833333333333</v>
      </c>
      <c r="D22" s="52">
        <v>0</v>
      </c>
      <c r="E22" s="52">
        <v>0</v>
      </c>
      <c r="F22" s="52">
        <v>131.54212999999999</v>
      </c>
      <c r="G22" s="52">
        <v>0</v>
      </c>
      <c r="H22" s="52">
        <v>14.42272</v>
      </c>
      <c r="I22" s="52">
        <v>0</v>
      </c>
      <c r="J22" s="52">
        <v>0</v>
      </c>
      <c r="K22" s="52">
        <v>19.649999999999999</v>
      </c>
      <c r="L22" s="52">
        <v>0</v>
      </c>
      <c r="M22" s="52">
        <v>0</v>
      </c>
      <c r="N22" s="52">
        <v>0</v>
      </c>
      <c r="O22" s="52">
        <v>0</v>
      </c>
      <c r="P22" s="53">
        <v>165.61484999999999</v>
      </c>
      <c r="Q22" s="78">
        <v>7.3065375000000001</v>
      </c>
    </row>
    <row r="23" spans="1:17" ht="14.4" customHeight="1" x14ac:dyDescent="0.3">
      <c r="A23" s="16" t="s">
        <v>38</v>
      </c>
      <c r="B23" s="51">
        <v>0</v>
      </c>
      <c r="C23" s="52">
        <v>0</v>
      </c>
      <c r="D23" s="52">
        <v>0</v>
      </c>
      <c r="E23" s="52">
        <v>0</v>
      </c>
      <c r="F23" s="52">
        <v>0</v>
      </c>
      <c r="G23" s="52">
        <v>0</v>
      </c>
      <c r="H23" s="52">
        <v>0</v>
      </c>
      <c r="I23" s="52">
        <v>0</v>
      </c>
      <c r="J23" s="52">
        <v>0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P23" s="53">
        <v>0</v>
      </c>
      <c r="Q23" s="78" t="s">
        <v>221</v>
      </c>
    </row>
    <row r="24" spans="1:17" ht="14.4" customHeight="1" x14ac:dyDescent="0.3">
      <c r="A24" s="16" t="s">
        <v>39</v>
      </c>
      <c r="B24" s="51">
        <v>-1.45519152283669E-11</v>
      </c>
      <c r="C24" s="52">
        <v>0</v>
      </c>
      <c r="D24" s="52">
        <v>4.3337499999990001</v>
      </c>
      <c r="E24" s="52">
        <v>0.31696000000000002</v>
      </c>
      <c r="F24" s="52">
        <v>20.558339999998999</v>
      </c>
      <c r="G24" s="52">
        <v>10.128740000000001</v>
      </c>
      <c r="H24" s="52">
        <v>13.257369999998</v>
      </c>
      <c r="I24" s="52">
        <v>6.866339999999</v>
      </c>
      <c r="J24" s="52">
        <v>5.6905799999970004</v>
      </c>
      <c r="K24" s="52">
        <v>1.903039999999</v>
      </c>
      <c r="L24" s="52">
        <v>0</v>
      </c>
      <c r="M24" s="52">
        <v>0</v>
      </c>
      <c r="N24" s="52">
        <v>0</v>
      </c>
      <c r="O24" s="52">
        <v>0</v>
      </c>
      <c r="P24" s="53">
        <v>63.055119999993998</v>
      </c>
      <c r="Q24" s="78"/>
    </row>
    <row r="25" spans="1:17" ht="14.4" customHeight="1" x14ac:dyDescent="0.3">
      <c r="A25" s="17" t="s">
        <v>40</v>
      </c>
      <c r="B25" s="54">
        <v>79052.291804418302</v>
      </c>
      <c r="C25" s="55">
        <v>6587.6909837015301</v>
      </c>
      <c r="D25" s="55">
        <v>4709.7668400000002</v>
      </c>
      <c r="E25" s="55">
        <v>7368.2229000000198</v>
      </c>
      <c r="F25" s="55">
        <v>9320.3751499999998</v>
      </c>
      <c r="G25" s="55">
        <v>6953.1756999999998</v>
      </c>
      <c r="H25" s="55">
        <v>6451.41705</v>
      </c>
      <c r="I25" s="55">
        <v>7211.0109400000001</v>
      </c>
      <c r="J25" s="55">
        <v>5182.2985900000003</v>
      </c>
      <c r="K25" s="55">
        <v>6618.9777800000002</v>
      </c>
      <c r="L25" s="55">
        <v>0</v>
      </c>
      <c r="M25" s="55">
        <v>0</v>
      </c>
      <c r="N25" s="55">
        <v>0</v>
      </c>
      <c r="O25" s="55">
        <v>0</v>
      </c>
      <c r="P25" s="56">
        <v>53815.24495</v>
      </c>
      <c r="Q25" s="79">
        <v>1.021132538759</v>
      </c>
    </row>
    <row r="26" spans="1:17" ht="14.4" customHeight="1" x14ac:dyDescent="0.3">
      <c r="A26" s="15" t="s">
        <v>41</v>
      </c>
      <c r="B26" s="51">
        <v>3459.9011169897599</v>
      </c>
      <c r="C26" s="52">
        <v>288.32509308248001</v>
      </c>
      <c r="D26" s="52">
        <v>238.35225000000099</v>
      </c>
      <c r="E26" s="52">
        <v>255.752700000001</v>
      </c>
      <c r="F26" s="52">
        <v>277.542380000001</v>
      </c>
      <c r="G26" s="52">
        <v>250.72229000000101</v>
      </c>
      <c r="H26" s="52">
        <v>238.63328000000001</v>
      </c>
      <c r="I26" s="52">
        <v>304.38468999999998</v>
      </c>
      <c r="J26" s="52">
        <v>307.51096000000001</v>
      </c>
      <c r="K26" s="52">
        <v>229.86331000000001</v>
      </c>
      <c r="L26" s="52">
        <v>0</v>
      </c>
      <c r="M26" s="52">
        <v>0</v>
      </c>
      <c r="N26" s="52">
        <v>0</v>
      </c>
      <c r="O26" s="52">
        <v>0</v>
      </c>
      <c r="P26" s="53">
        <v>2102.7618600000001</v>
      </c>
      <c r="Q26" s="78">
        <v>0.91162801575700003</v>
      </c>
    </row>
    <row r="27" spans="1:17" ht="14.4" customHeight="1" x14ac:dyDescent="0.3">
      <c r="A27" s="18" t="s">
        <v>42</v>
      </c>
      <c r="B27" s="54">
        <v>82512.192921408103</v>
      </c>
      <c r="C27" s="55">
        <v>6876.0160767840098</v>
      </c>
      <c r="D27" s="55">
        <v>4948.1190900000001</v>
      </c>
      <c r="E27" s="55">
        <v>7623.9756000000198</v>
      </c>
      <c r="F27" s="55">
        <v>9597.9175300000006</v>
      </c>
      <c r="G27" s="55">
        <v>7203.8979900000004</v>
      </c>
      <c r="H27" s="55">
        <v>6690.05033</v>
      </c>
      <c r="I27" s="55">
        <v>7515.39563</v>
      </c>
      <c r="J27" s="55">
        <v>5489.8095499999999</v>
      </c>
      <c r="K27" s="55">
        <v>6848.8410899999999</v>
      </c>
      <c r="L27" s="55">
        <v>0</v>
      </c>
      <c r="M27" s="55">
        <v>0</v>
      </c>
      <c r="N27" s="55">
        <v>0</v>
      </c>
      <c r="O27" s="55">
        <v>0</v>
      </c>
      <c r="P27" s="56">
        <v>55918.006809999999</v>
      </c>
      <c r="Q27" s="79">
        <v>1.0165407953079999</v>
      </c>
    </row>
    <row r="28" spans="1:17" ht="14.4" customHeight="1" x14ac:dyDescent="0.3">
      <c r="A28" s="16" t="s">
        <v>43</v>
      </c>
      <c r="B28" s="51">
        <v>0</v>
      </c>
      <c r="C28" s="52">
        <v>0</v>
      </c>
      <c r="D28" s="52">
        <v>0</v>
      </c>
      <c r="E28" s="52">
        <v>0</v>
      </c>
      <c r="F28" s="52">
        <v>0</v>
      </c>
      <c r="G28" s="52">
        <v>0</v>
      </c>
      <c r="H28" s="52">
        <v>0</v>
      </c>
      <c r="I28" s="52">
        <v>0</v>
      </c>
      <c r="J28" s="52">
        <v>0</v>
      </c>
      <c r="K28" s="52">
        <v>0</v>
      </c>
      <c r="L28" s="52">
        <v>0</v>
      </c>
      <c r="M28" s="52">
        <v>0</v>
      </c>
      <c r="N28" s="52">
        <v>0</v>
      </c>
      <c r="O28" s="52">
        <v>0</v>
      </c>
      <c r="P28" s="53">
        <v>0</v>
      </c>
      <c r="Q28" s="78">
        <v>0</v>
      </c>
    </row>
    <row r="29" spans="1:17" ht="14.4" customHeight="1" x14ac:dyDescent="0.3">
      <c r="A29" s="16" t="s">
        <v>44</v>
      </c>
      <c r="B29" s="51">
        <v>0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3">
        <v>0</v>
      </c>
      <c r="Q29" s="78" t="s">
        <v>221</v>
      </c>
    </row>
    <row r="30" spans="1:17" ht="14.4" customHeight="1" x14ac:dyDescent="0.3">
      <c r="A30" s="16" t="s">
        <v>45</v>
      </c>
      <c r="B30" s="51">
        <v>0</v>
      </c>
      <c r="C30" s="52">
        <v>0</v>
      </c>
      <c r="D30" s="52">
        <v>0</v>
      </c>
      <c r="E30" s="52">
        <v>0</v>
      </c>
      <c r="F30" s="52">
        <v>0</v>
      </c>
      <c r="G30" s="52">
        <v>0</v>
      </c>
      <c r="H30" s="52">
        <v>0</v>
      </c>
      <c r="I30" s="52">
        <v>0</v>
      </c>
      <c r="J30" s="52">
        <v>0</v>
      </c>
      <c r="K30" s="52">
        <v>0</v>
      </c>
      <c r="L30" s="52">
        <v>0</v>
      </c>
      <c r="M30" s="52">
        <v>0</v>
      </c>
      <c r="N30" s="52">
        <v>0</v>
      </c>
      <c r="O30" s="52">
        <v>0</v>
      </c>
      <c r="P30" s="53">
        <v>0</v>
      </c>
      <c r="Q30" s="78">
        <v>0</v>
      </c>
    </row>
    <row r="31" spans="1:17" ht="14.4" customHeight="1" thickBot="1" x14ac:dyDescent="0.35">
      <c r="A31" s="19" t="s">
        <v>46</v>
      </c>
      <c r="B31" s="57">
        <v>0</v>
      </c>
      <c r="C31" s="58">
        <v>0</v>
      </c>
      <c r="D31" s="58">
        <v>0</v>
      </c>
      <c r="E31" s="58">
        <v>0</v>
      </c>
      <c r="F31" s="58">
        <v>0</v>
      </c>
      <c r="G31" s="58">
        <v>0</v>
      </c>
      <c r="H31" s="58">
        <v>0</v>
      </c>
      <c r="I31" s="58">
        <v>0</v>
      </c>
      <c r="J31" s="58">
        <v>0</v>
      </c>
      <c r="K31" s="58">
        <v>0</v>
      </c>
      <c r="L31" s="58">
        <v>0</v>
      </c>
      <c r="M31" s="58">
        <v>0</v>
      </c>
      <c r="N31" s="58">
        <v>0</v>
      </c>
      <c r="O31" s="58">
        <v>0</v>
      </c>
      <c r="P31" s="59">
        <v>0</v>
      </c>
      <c r="Q31" s="80" t="s">
        <v>221</v>
      </c>
    </row>
    <row r="32" spans="1:17" ht="14.4" customHeight="1" x14ac:dyDescent="0.3">
      <c r="B32" s="108"/>
      <c r="C32" s="108"/>
      <c r="D32" s="108"/>
      <c r="E32" s="108"/>
      <c r="F32" s="108"/>
      <c r="G32" s="108"/>
      <c r="H32" s="108"/>
      <c r="I32" s="108"/>
      <c r="J32" s="108"/>
      <c r="K32" s="108"/>
      <c r="L32" s="108"/>
      <c r="M32" s="108"/>
      <c r="N32" s="108"/>
      <c r="O32" s="108"/>
      <c r="P32" s="108"/>
      <c r="Q32" s="108"/>
    </row>
    <row r="33" spans="1:17" ht="14.4" customHeight="1" x14ac:dyDescent="0.3">
      <c r="A33" s="90" t="s">
        <v>103</v>
      </c>
      <c r="B33" s="109"/>
      <c r="C33" s="109"/>
      <c r="D33" s="109"/>
      <c r="E33" s="109"/>
      <c r="F33" s="109"/>
      <c r="G33" s="109"/>
      <c r="H33" s="109"/>
      <c r="I33" s="109"/>
      <c r="J33" s="109"/>
      <c r="K33" s="109"/>
      <c r="L33" s="109"/>
      <c r="M33" s="109"/>
      <c r="N33" s="109"/>
      <c r="O33" s="109"/>
      <c r="P33" s="109"/>
      <c r="Q33" s="109"/>
    </row>
    <row r="34" spans="1:17" ht="14.4" customHeight="1" x14ac:dyDescent="0.3">
      <c r="A34" s="113" t="s">
        <v>218</v>
      </c>
      <c r="B34" s="109"/>
      <c r="C34" s="109"/>
      <c r="D34" s="109"/>
      <c r="E34" s="109"/>
      <c r="F34" s="109"/>
      <c r="G34" s="109"/>
      <c r="H34" s="109"/>
      <c r="I34" s="109"/>
      <c r="J34" s="109"/>
      <c r="K34" s="109"/>
      <c r="L34" s="109"/>
      <c r="M34" s="109"/>
      <c r="N34" s="109"/>
      <c r="O34" s="109"/>
      <c r="P34" s="109"/>
      <c r="Q34" s="109"/>
    </row>
    <row r="35" spans="1:17" ht="14.4" customHeight="1" x14ac:dyDescent="0.3">
      <c r="A35" s="114" t="s">
        <v>47</v>
      </c>
      <c r="B35" s="109"/>
      <c r="C35" s="109"/>
      <c r="D35" s="109"/>
      <c r="E35" s="109"/>
      <c r="F35" s="109"/>
      <c r="G35" s="109"/>
      <c r="H35" s="109"/>
      <c r="I35" s="109"/>
      <c r="J35" s="109"/>
      <c r="K35" s="109"/>
      <c r="L35" s="109"/>
      <c r="M35" s="109"/>
      <c r="N35" s="109"/>
      <c r="O35" s="109"/>
      <c r="P35" s="109"/>
      <c r="Q35" s="109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171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07" customWidth="1"/>
    <col min="2" max="11" width="10" style="107" customWidth="1"/>
    <col min="12" max="16384" width="8.88671875" style="107"/>
  </cols>
  <sheetData>
    <row r="1" spans="1:11" s="60" customFormat="1" ht="18.600000000000001" customHeight="1" thickBot="1" x14ac:dyDescent="0.4">
      <c r="A1" s="282" t="s">
        <v>48</v>
      </c>
      <c r="B1" s="282"/>
      <c r="C1" s="282"/>
      <c r="D1" s="282"/>
      <c r="E1" s="282"/>
      <c r="F1" s="282"/>
      <c r="G1" s="282"/>
      <c r="H1" s="287"/>
      <c r="I1" s="287"/>
      <c r="J1" s="287"/>
      <c r="K1" s="287"/>
    </row>
    <row r="2" spans="1:11" s="60" customFormat="1" ht="14.4" customHeight="1" thickBot="1" x14ac:dyDescent="0.35">
      <c r="A2" s="187" t="s">
        <v>220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1" ht="14.4" customHeight="1" x14ac:dyDescent="0.3">
      <c r="A3" s="66"/>
      <c r="B3" s="283" t="s">
        <v>49</v>
      </c>
      <c r="C3" s="284"/>
      <c r="D3" s="284"/>
      <c r="E3" s="284"/>
      <c r="F3" s="290" t="s">
        <v>50</v>
      </c>
      <c r="G3" s="284"/>
      <c r="H3" s="284"/>
      <c r="I3" s="284"/>
      <c r="J3" s="284"/>
      <c r="K3" s="291"/>
    </row>
    <row r="4" spans="1:11" ht="14.4" customHeight="1" x14ac:dyDescent="0.3">
      <c r="A4" s="67"/>
      <c r="B4" s="288"/>
      <c r="C4" s="289"/>
      <c r="D4" s="289"/>
      <c r="E4" s="289"/>
      <c r="F4" s="292" t="s">
        <v>214</v>
      </c>
      <c r="G4" s="294" t="s">
        <v>51</v>
      </c>
      <c r="H4" s="118" t="s">
        <v>90</v>
      </c>
      <c r="I4" s="292" t="s">
        <v>52</v>
      </c>
      <c r="J4" s="294" t="s">
        <v>216</v>
      </c>
      <c r="K4" s="295" t="s">
        <v>217</v>
      </c>
    </row>
    <row r="5" spans="1:11" ht="42" thickBot="1" x14ac:dyDescent="0.35">
      <c r="A5" s="68"/>
      <c r="B5" s="24" t="s">
        <v>210</v>
      </c>
      <c r="C5" s="25" t="s">
        <v>211</v>
      </c>
      <c r="D5" s="26" t="s">
        <v>212</v>
      </c>
      <c r="E5" s="26" t="s">
        <v>213</v>
      </c>
      <c r="F5" s="293"/>
      <c r="G5" s="293"/>
      <c r="H5" s="25" t="s">
        <v>215</v>
      </c>
      <c r="I5" s="293"/>
      <c r="J5" s="293"/>
      <c r="K5" s="296"/>
    </row>
    <row r="6" spans="1:11" ht="14.4" customHeight="1" thickBot="1" x14ac:dyDescent="0.35">
      <c r="A6" s="348" t="s">
        <v>223</v>
      </c>
      <c r="B6" s="330">
        <v>66017.4270606098</v>
      </c>
      <c r="C6" s="330">
        <v>80043.13768</v>
      </c>
      <c r="D6" s="331">
        <v>14025.7106193902</v>
      </c>
      <c r="E6" s="332">
        <v>1.212454669075</v>
      </c>
      <c r="F6" s="330">
        <v>79052.291804418302</v>
      </c>
      <c r="G6" s="331">
        <v>52701.527869612197</v>
      </c>
      <c r="H6" s="333">
        <v>6618.9777800000002</v>
      </c>
      <c r="I6" s="330">
        <v>53815.24495</v>
      </c>
      <c r="J6" s="331">
        <v>1113.71708038781</v>
      </c>
      <c r="K6" s="334">
        <v>0.68075502583900005</v>
      </c>
    </row>
    <row r="7" spans="1:11" ht="14.4" customHeight="1" thickBot="1" x14ac:dyDescent="0.35">
      <c r="A7" s="349" t="s">
        <v>224</v>
      </c>
      <c r="B7" s="330">
        <v>19371.624276447099</v>
      </c>
      <c r="C7" s="330">
        <v>26954.383259999999</v>
      </c>
      <c r="D7" s="331">
        <v>7582.7589835529398</v>
      </c>
      <c r="E7" s="332">
        <v>1.3914364059169999</v>
      </c>
      <c r="F7" s="330">
        <v>26718.3659080742</v>
      </c>
      <c r="G7" s="331">
        <v>17812.243938716099</v>
      </c>
      <c r="H7" s="333">
        <v>2735.9844800000001</v>
      </c>
      <c r="I7" s="330">
        <v>17198.468570000001</v>
      </c>
      <c r="J7" s="331">
        <v>-613.77536871611301</v>
      </c>
      <c r="K7" s="334">
        <v>0.64369462672800004</v>
      </c>
    </row>
    <row r="8" spans="1:11" ht="14.4" customHeight="1" thickBot="1" x14ac:dyDescent="0.35">
      <c r="A8" s="350" t="s">
        <v>225</v>
      </c>
      <c r="B8" s="330">
        <v>17208.902739548099</v>
      </c>
      <c r="C8" s="330">
        <v>25004.394260000001</v>
      </c>
      <c r="D8" s="331">
        <v>7795.4915204518902</v>
      </c>
      <c r="E8" s="332">
        <v>1.452991782127</v>
      </c>
      <c r="F8" s="330">
        <v>24559.142610824099</v>
      </c>
      <c r="G8" s="331">
        <v>16372.7617405494</v>
      </c>
      <c r="H8" s="333">
        <v>2599.4654799999998</v>
      </c>
      <c r="I8" s="330">
        <v>15723.853569999999</v>
      </c>
      <c r="J8" s="331">
        <v>-648.90817054938805</v>
      </c>
      <c r="K8" s="334">
        <v>0.64024440181599995</v>
      </c>
    </row>
    <row r="9" spans="1:11" ht="14.4" customHeight="1" thickBot="1" x14ac:dyDescent="0.35">
      <c r="A9" s="351" t="s">
        <v>226</v>
      </c>
      <c r="B9" s="335">
        <v>0</v>
      </c>
      <c r="C9" s="335">
        <v>1.0410000000000001E-2</v>
      </c>
      <c r="D9" s="336">
        <v>1.0410000000000001E-2</v>
      </c>
      <c r="E9" s="337" t="s">
        <v>221</v>
      </c>
      <c r="F9" s="335">
        <v>0</v>
      </c>
      <c r="G9" s="336">
        <v>0</v>
      </c>
      <c r="H9" s="338">
        <v>3.6999999999999999E-4</v>
      </c>
      <c r="I9" s="335">
        <v>3.0689999999999999E-2</v>
      </c>
      <c r="J9" s="336">
        <v>3.0689999999999999E-2</v>
      </c>
      <c r="K9" s="339" t="s">
        <v>221</v>
      </c>
    </row>
    <row r="10" spans="1:11" ht="14.4" customHeight="1" thickBot="1" x14ac:dyDescent="0.35">
      <c r="A10" s="352" t="s">
        <v>227</v>
      </c>
      <c r="B10" s="330">
        <v>0</v>
      </c>
      <c r="C10" s="330">
        <v>1.0410000000000001E-2</v>
      </c>
      <c r="D10" s="331">
        <v>1.0410000000000001E-2</v>
      </c>
      <c r="E10" s="340" t="s">
        <v>221</v>
      </c>
      <c r="F10" s="330">
        <v>0</v>
      </c>
      <c r="G10" s="331">
        <v>0</v>
      </c>
      <c r="H10" s="333">
        <v>3.6999999999999999E-4</v>
      </c>
      <c r="I10" s="330">
        <v>3.0689999999999999E-2</v>
      </c>
      <c r="J10" s="331">
        <v>3.0689999999999999E-2</v>
      </c>
      <c r="K10" s="341" t="s">
        <v>221</v>
      </c>
    </row>
    <row r="11" spans="1:11" ht="14.4" customHeight="1" thickBot="1" x14ac:dyDescent="0.35">
      <c r="A11" s="351" t="s">
        <v>228</v>
      </c>
      <c r="B11" s="335">
        <v>893.80586841480897</v>
      </c>
      <c r="C11" s="335">
        <v>917.91183000000001</v>
      </c>
      <c r="D11" s="336">
        <v>24.105961585191</v>
      </c>
      <c r="E11" s="342">
        <v>1.0269700193710001</v>
      </c>
      <c r="F11" s="335">
        <v>910.58117658722699</v>
      </c>
      <c r="G11" s="336">
        <v>607.05411772481796</v>
      </c>
      <c r="H11" s="338">
        <v>64.991630000000001</v>
      </c>
      <c r="I11" s="335">
        <v>598.59006999999997</v>
      </c>
      <c r="J11" s="336">
        <v>-8.4640477248170001</v>
      </c>
      <c r="K11" s="343">
        <v>0.65737145176099998</v>
      </c>
    </row>
    <row r="12" spans="1:11" ht="14.4" customHeight="1" thickBot="1" x14ac:dyDescent="0.35">
      <c r="A12" s="352" t="s">
        <v>229</v>
      </c>
      <c r="B12" s="330">
        <v>701.87404060374797</v>
      </c>
      <c r="C12" s="330">
        <v>722.58897999999999</v>
      </c>
      <c r="D12" s="331">
        <v>20.714939396251999</v>
      </c>
      <c r="E12" s="332">
        <v>1.029513756312</v>
      </c>
      <c r="F12" s="330">
        <v>699.16601100907803</v>
      </c>
      <c r="G12" s="331">
        <v>466.11067400605202</v>
      </c>
      <c r="H12" s="333">
        <v>52.380290000000002</v>
      </c>
      <c r="I12" s="330">
        <v>465.52125000000001</v>
      </c>
      <c r="J12" s="331">
        <v>-0.58942400605199996</v>
      </c>
      <c r="K12" s="334">
        <v>0.66582362796500005</v>
      </c>
    </row>
    <row r="13" spans="1:11" ht="14.4" customHeight="1" thickBot="1" x14ac:dyDescent="0.35">
      <c r="A13" s="352" t="s">
        <v>230</v>
      </c>
      <c r="B13" s="330">
        <v>5.7690940597219997</v>
      </c>
      <c r="C13" s="330">
        <v>0</v>
      </c>
      <c r="D13" s="331">
        <v>-5.7690940597219997</v>
      </c>
      <c r="E13" s="332">
        <v>0</v>
      </c>
      <c r="F13" s="330">
        <v>0</v>
      </c>
      <c r="G13" s="331">
        <v>0</v>
      </c>
      <c r="H13" s="333">
        <v>0</v>
      </c>
      <c r="I13" s="330">
        <v>0</v>
      </c>
      <c r="J13" s="331">
        <v>0</v>
      </c>
      <c r="K13" s="334">
        <v>0</v>
      </c>
    </row>
    <row r="14" spans="1:11" ht="14.4" customHeight="1" thickBot="1" x14ac:dyDescent="0.35">
      <c r="A14" s="352" t="s">
        <v>231</v>
      </c>
      <c r="B14" s="330">
        <v>9.3244085439410007</v>
      </c>
      <c r="C14" s="330">
        <v>8.9146900000000002</v>
      </c>
      <c r="D14" s="331">
        <v>-0.40971854394099999</v>
      </c>
      <c r="E14" s="332">
        <v>0.95605956752999999</v>
      </c>
      <c r="F14" s="330">
        <v>17.999999433043001</v>
      </c>
      <c r="G14" s="331">
        <v>11.999999622029</v>
      </c>
      <c r="H14" s="333">
        <v>0.35348000000000002</v>
      </c>
      <c r="I14" s="330">
        <v>13.75686</v>
      </c>
      <c r="J14" s="331">
        <v>1.7568603779700001</v>
      </c>
      <c r="K14" s="334">
        <v>0.76427002407199995</v>
      </c>
    </row>
    <row r="15" spans="1:11" ht="14.4" customHeight="1" thickBot="1" x14ac:dyDescent="0.35">
      <c r="A15" s="352" t="s">
        <v>232</v>
      </c>
      <c r="B15" s="330">
        <v>176.83832520739799</v>
      </c>
      <c r="C15" s="330">
        <v>186.40816000000001</v>
      </c>
      <c r="D15" s="331">
        <v>9.5698347926020002</v>
      </c>
      <c r="E15" s="332">
        <v>1.0541162939719999</v>
      </c>
      <c r="F15" s="330">
        <v>193.41516614510499</v>
      </c>
      <c r="G15" s="331">
        <v>128.94344409673701</v>
      </c>
      <c r="H15" s="333">
        <v>12.257860000000001</v>
      </c>
      <c r="I15" s="330">
        <v>119.31196</v>
      </c>
      <c r="J15" s="331">
        <v>-9.6314840967359991</v>
      </c>
      <c r="K15" s="334">
        <v>0.61686972318599997</v>
      </c>
    </row>
    <row r="16" spans="1:11" ht="14.4" customHeight="1" thickBot="1" x14ac:dyDescent="0.35">
      <c r="A16" s="351" t="s">
        <v>233</v>
      </c>
      <c r="B16" s="335">
        <v>9007.6525947934806</v>
      </c>
      <c r="C16" s="335">
        <v>16381.45012</v>
      </c>
      <c r="D16" s="336">
        <v>7373.7975252065298</v>
      </c>
      <c r="E16" s="342">
        <v>1.8186147775570001</v>
      </c>
      <c r="F16" s="335">
        <v>13217.9470865044</v>
      </c>
      <c r="G16" s="336">
        <v>8811.9647243362906</v>
      </c>
      <c r="H16" s="338">
        <v>1963.9992199999999</v>
      </c>
      <c r="I16" s="335">
        <v>9992.6903000000093</v>
      </c>
      <c r="J16" s="336">
        <v>1180.7255756637201</v>
      </c>
      <c r="K16" s="343">
        <v>0.75599412182500003</v>
      </c>
    </row>
    <row r="17" spans="1:11" ht="14.4" customHeight="1" thickBot="1" x14ac:dyDescent="0.35">
      <c r="A17" s="352" t="s">
        <v>234</v>
      </c>
      <c r="B17" s="330">
        <v>6.9999962309220001</v>
      </c>
      <c r="C17" s="330">
        <v>2.31549</v>
      </c>
      <c r="D17" s="331">
        <v>-4.6845062309219996</v>
      </c>
      <c r="E17" s="332">
        <v>0.33078446382100002</v>
      </c>
      <c r="F17" s="330">
        <v>6.9999997795160001</v>
      </c>
      <c r="G17" s="331">
        <v>4.6666665196770003</v>
      </c>
      <c r="H17" s="333">
        <v>0</v>
      </c>
      <c r="I17" s="330">
        <v>0.68969000000000003</v>
      </c>
      <c r="J17" s="331">
        <v>-3.9769765196770002</v>
      </c>
      <c r="K17" s="334">
        <v>9.8527145960000007E-2</v>
      </c>
    </row>
    <row r="18" spans="1:11" ht="14.4" customHeight="1" thickBot="1" x14ac:dyDescent="0.35">
      <c r="A18" s="352" t="s">
        <v>235</v>
      </c>
      <c r="B18" s="330">
        <v>1554.0505426673999</v>
      </c>
      <c r="C18" s="330">
        <v>1587.8419799999999</v>
      </c>
      <c r="D18" s="331">
        <v>33.791437332602001</v>
      </c>
      <c r="E18" s="332">
        <v>1.0217441044569999</v>
      </c>
      <c r="F18" s="330">
        <v>5489.9998270782999</v>
      </c>
      <c r="G18" s="331">
        <v>3659.9998847188699</v>
      </c>
      <c r="H18" s="333">
        <v>239.9171</v>
      </c>
      <c r="I18" s="330">
        <v>2248.9622599999998</v>
      </c>
      <c r="J18" s="331">
        <v>-1411.0376247188699</v>
      </c>
      <c r="K18" s="334">
        <v>0.40964705479699998</v>
      </c>
    </row>
    <row r="19" spans="1:11" ht="14.4" customHeight="1" thickBot="1" x14ac:dyDescent="0.35">
      <c r="A19" s="352" t="s">
        <v>236</v>
      </c>
      <c r="B19" s="330">
        <v>1813.3389939127301</v>
      </c>
      <c r="C19" s="330">
        <v>1767.4005500000001</v>
      </c>
      <c r="D19" s="331">
        <v>-45.938443912727003</v>
      </c>
      <c r="E19" s="332">
        <v>0.97466637839500003</v>
      </c>
      <c r="F19" s="330">
        <v>1867.9999411625299</v>
      </c>
      <c r="G19" s="331">
        <v>1245.3332941083499</v>
      </c>
      <c r="H19" s="333">
        <v>101.04227</v>
      </c>
      <c r="I19" s="330">
        <v>1245.6931300000001</v>
      </c>
      <c r="J19" s="331">
        <v>0.35983589164800001</v>
      </c>
      <c r="K19" s="334">
        <v>0.66685929830599999</v>
      </c>
    </row>
    <row r="20" spans="1:11" ht="14.4" customHeight="1" thickBot="1" x14ac:dyDescent="0.35">
      <c r="A20" s="352" t="s">
        <v>237</v>
      </c>
      <c r="B20" s="330">
        <v>0</v>
      </c>
      <c r="C20" s="330">
        <v>9484.8130700000002</v>
      </c>
      <c r="D20" s="331">
        <v>9484.8130700000002</v>
      </c>
      <c r="E20" s="340" t="s">
        <v>221</v>
      </c>
      <c r="F20" s="330">
        <v>0</v>
      </c>
      <c r="G20" s="331">
        <v>0</v>
      </c>
      <c r="H20" s="333">
        <v>1256.3261399999999</v>
      </c>
      <c r="I20" s="330">
        <v>2954.5980500000001</v>
      </c>
      <c r="J20" s="331">
        <v>2954.5980500000001</v>
      </c>
      <c r="K20" s="341" t="s">
        <v>221</v>
      </c>
    </row>
    <row r="21" spans="1:11" ht="14.4" customHeight="1" thickBot="1" x14ac:dyDescent="0.35">
      <c r="A21" s="352" t="s">
        <v>238</v>
      </c>
      <c r="B21" s="330">
        <v>84.333785536326005</v>
      </c>
      <c r="C21" s="330">
        <v>35.134999999999998</v>
      </c>
      <c r="D21" s="331">
        <v>-49.198785536326</v>
      </c>
      <c r="E21" s="332">
        <v>0.41661831941400002</v>
      </c>
      <c r="F21" s="330">
        <v>85.999997291208004</v>
      </c>
      <c r="G21" s="331">
        <v>57.333331527471998</v>
      </c>
      <c r="H21" s="333">
        <v>0</v>
      </c>
      <c r="I21" s="330">
        <v>37.871119999999998</v>
      </c>
      <c r="J21" s="331">
        <v>-19.462211527472</v>
      </c>
      <c r="K21" s="334">
        <v>0.44036187433500001</v>
      </c>
    </row>
    <row r="22" spans="1:11" ht="14.4" customHeight="1" thickBot="1" x14ac:dyDescent="0.35">
      <c r="A22" s="352" t="s">
        <v>239</v>
      </c>
      <c r="B22" s="330">
        <v>3878.9310539766302</v>
      </c>
      <c r="C22" s="330">
        <v>2088.1703499999999</v>
      </c>
      <c r="D22" s="331">
        <v>-1790.7607039766301</v>
      </c>
      <c r="E22" s="332">
        <v>0.53833654709000001</v>
      </c>
      <c r="F22" s="330">
        <v>4128.9639742144</v>
      </c>
      <c r="G22" s="331">
        <v>2752.64264947627</v>
      </c>
      <c r="H22" s="333">
        <v>249.90419</v>
      </c>
      <c r="I22" s="330">
        <v>2590.0775199999998</v>
      </c>
      <c r="J22" s="331">
        <v>-162.565129476267</v>
      </c>
      <c r="K22" s="334">
        <v>0.62729477325899996</v>
      </c>
    </row>
    <row r="23" spans="1:11" ht="14.4" customHeight="1" thickBot="1" x14ac:dyDescent="0.35">
      <c r="A23" s="352" t="s">
        <v>240</v>
      </c>
      <c r="B23" s="330">
        <v>116.274729574595</v>
      </c>
      <c r="C23" s="330">
        <v>67.950029999999998</v>
      </c>
      <c r="D23" s="331">
        <v>-48.324699574595002</v>
      </c>
      <c r="E23" s="332">
        <v>0.58439207081800004</v>
      </c>
      <c r="F23" s="330">
        <v>112.999996440774</v>
      </c>
      <c r="G23" s="331">
        <v>75.333330960514999</v>
      </c>
      <c r="H23" s="333">
        <v>0</v>
      </c>
      <c r="I23" s="330">
        <v>53.635840000000002</v>
      </c>
      <c r="J23" s="331">
        <v>-21.697490960515001</v>
      </c>
      <c r="K23" s="334">
        <v>0.474653466277</v>
      </c>
    </row>
    <row r="24" spans="1:11" ht="14.4" customHeight="1" thickBot="1" x14ac:dyDescent="0.35">
      <c r="A24" s="352" t="s">
        <v>241</v>
      </c>
      <c r="B24" s="330">
        <v>48.363950604727002</v>
      </c>
      <c r="C24" s="330">
        <v>0</v>
      </c>
      <c r="D24" s="331">
        <v>-48.363950604727002</v>
      </c>
      <c r="E24" s="332">
        <v>0</v>
      </c>
      <c r="F24" s="330">
        <v>42.999998645604002</v>
      </c>
      <c r="G24" s="331">
        <v>28.666665763735999</v>
      </c>
      <c r="H24" s="333">
        <v>0</v>
      </c>
      <c r="I24" s="330">
        <v>22.653739999999999</v>
      </c>
      <c r="J24" s="331">
        <v>-6.0129257637359999</v>
      </c>
      <c r="K24" s="334">
        <v>0.52683117938400004</v>
      </c>
    </row>
    <row r="25" spans="1:11" ht="14.4" customHeight="1" thickBot="1" x14ac:dyDescent="0.35">
      <c r="A25" s="352" t="s">
        <v>242</v>
      </c>
      <c r="B25" s="330">
        <v>871.15781423100702</v>
      </c>
      <c r="C25" s="330">
        <v>817.71064999999999</v>
      </c>
      <c r="D25" s="331">
        <v>-53.447164231005999</v>
      </c>
      <c r="E25" s="332">
        <v>0.93864812625399996</v>
      </c>
      <c r="F25" s="330">
        <v>806.99997458145594</v>
      </c>
      <c r="G25" s="331">
        <v>537.99998305430404</v>
      </c>
      <c r="H25" s="333">
        <v>41.894500000000001</v>
      </c>
      <c r="I25" s="330">
        <v>343.05786000000001</v>
      </c>
      <c r="J25" s="331">
        <v>-194.94212305430401</v>
      </c>
      <c r="K25" s="334">
        <v>0.42510268996900002</v>
      </c>
    </row>
    <row r="26" spans="1:11" ht="14.4" customHeight="1" thickBot="1" x14ac:dyDescent="0.35">
      <c r="A26" s="352" t="s">
        <v>243</v>
      </c>
      <c r="B26" s="330">
        <v>19.181909865024998</v>
      </c>
      <c r="C26" s="330">
        <v>9.1790599999999998</v>
      </c>
      <c r="D26" s="331">
        <v>-10.002849865025</v>
      </c>
      <c r="E26" s="332">
        <v>0.47852690710000001</v>
      </c>
      <c r="F26" s="330">
        <v>6.9999997795160001</v>
      </c>
      <c r="G26" s="331">
        <v>4.6666665196770003</v>
      </c>
      <c r="H26" s="333">
        <v>0</v>
      </c>
      <c r="I26" s="330">
        <v>0</v>
      </c>
      <c r="J26" s="331">
        <v>-4.6666665196770003</v>
      </c>
      <c r="K26" s="334">
        <v>0</v>
      </c>
    </row>
    <row r="27" spans="1:11" ht="14.4" customHeight="1" thickBot="1" x14ac:dyDescent="0.35">
      <c r="A27" s="352" t="s">
        <v>244</v>
      </c>
      <c r="B27" s="330">
        <v>0</v>
      </c>
      <c r="C27" s="330">
        <v>0</v>
      </c>
      <c r="D27" s="331">
        <v>0</v>
      </c>
      <c r="E27" s="332">
        <v>1</v>
      </c>
      <c r="F27" s="330">
        <v>0</v>
      </c>
      <c r="G27" s="331">
        <v>0</v>
      </c>
      <c r="H27" s="333">
        <v>14.87574</v>
      </c>
      <c r="I27" s="330">
        <v>119.15329</v>
      </c>
      <c r="J27" s="331">
        <v>119.15329</v>
      </c>
      <c r="K27" s="341" t="s">
        <v>245</v>
      </c>
    </row>
    <row r="28" spans="1:11" ht="14.4" customHeight="1" thickBot="1" x14ac:dyDescent="0.35">
      <c r="A28" s="352" t="s">
        <v>246</v>
      </c>
      <c r="B28" s="330">
        <v>615.01981819411401</v>
      </c>
      <c r="C28" s="330">
        <v>520.93394000000001</v>
      </c>
      <c r="D28" s="331">
        <v>-94.085878194114002</v>
      </c>
      <c r="E28" s="332">
        <v>0.84701976194700002</v>
      </c>
      <c r="F28" s="330">
        <v>667.98337753112605</v>
      </c>
      <c r="G28" s="331">
        <v>445.32225168741797</v>
      </c>
      <c r="H28" s="333">
        <v>60.039279999999998</v>
      </c>
      <c r="I28" s="330">
        <v>376.2978</v>
      </c>
      <c r="J28" s="331">
        <v>-69.024451687416999</v>
      </c>
      <c r="K28" s="334">
        <v>0.56333407784900003</v>
      </c>
    </row>
    <row r="29" spans="1:11" ht="14.4" customHeight="1" thickBot="1" x14ac:dyDescent="0.35">
      <c r="A29" s="351" t="s">
        <v>247</v>
      </c>
      <c r="B29" s="335">
        <v>887.71794264222001</v>
      </c>
      <c r="C29" s="335">
        <v>1142.1699900000001</v>
      </c>
      <c r="D29" s="336">
        <v>254.45204735778</v>
      </c>
      <c r="E29" s="342">
        <v>1.286636143233</v>
      </c>
      <c r="F29" s="335">
        <v>913.20480823070295</v>
      </c>
      <c r="G29" s="336">
        <v>608.80320548713496</v>
      </c>
      <c r="H29" s="338">
        <v>58.552660000000003</v>
      </c>
      <c r="I29" s="335">
        <v>453.98102999999998</v>
      </c>
      <c r="J29" s="336">
        <v>-154.82217548713501</v>
      </c>
      <c r="K29" s="343">
        <v>0.49712947841299998</v>
      </c>
    </row>
    <row r="30" spans="1:11" ht="14.4" customHeight="1" thickBot="1" x14ac:dyDescent="0.35">
      <c r="A30" s="352" t="s">
        <v>248</v>
      </c>
      <c r="B30" s="330">
        <v>31.873523025276</v>
      </c>
      <c r="C30" s="330">
        <v>271.86824000000001</v>
      </c>
      <c r="D30" s="331">
        <v>239.99471697472401</v>
      </c>
      <c r="E30" s="332">
        <v>8.5295949175239993</v>
      </c>
      <c r="F30" s="330">
        <v>55.379911036385003</v>
      </c>
      <c r="G30" s="331">
        <v>36.919940690922999</v>
      </c>
      <c r="H30" s="333">
        <v>0</v>
      </c>
      <c r="I30" s="330">
        <v>7.26</v>
      </c>
      <c r="J30" s="331">
        <v>-29.659940690923001</v>
      </c>
      <c r="K30" s="334">
        <v>0.13109446844700001</v>
      </c>
    </row>
    <row r="31" spans="1:11" ht="14.4" customHeight="1" thickBot="1" x14ac:dyDescent="0.35">
      <c r="A31" s="352" t="s">
        <v>249</v>
      </c>
      <c r="B31" s="330">
        <v>29.356866146007</v>
      </c>
      <c r="C31" s="330">
        <v>18.851870000000002</v>
      </c>
      <c r="D31" s="331">
        <v>-10.504996146007</v>
      </c>
      <c r="E31" s="332">
        <v>0.64216220853499995</v>
      </c>
      <c r="F31" s="330">
        <v>17.999999433043001</v>
      </c>
      <c r="G31" s="331">
        <v>11.999999622029</v>
      </c>
      <c r="H31" s="333">
        <v>1.1847099999999999</v>
      </c>
      <c r="I31" s="330">
        <v>10.886649999999999</v>
      </c>
      <c r="J31" s="331">
        <v>-1.113349622029</v>
      </c>
      <c r="K31" s="334">
        <v>0.60481390793900003</v>
      </c>
    </row>
    <row r="32" spans="1:11" ht="14.4" customHeight="1" thickBot="1" x14ac:dyDescent="0.35">
      <c r="A32" s="352" t="s">
        <v>250</v>
      </c>
      <c r="B32" s="330">
        <v>553.33816927278895</v>
      </c>
      <c r="C32" s="330">
        <v>612.52819999999997</v>
      </c>
      <c r="D32" s="331">
        <v>59.190030727210001</v>
      </c>
      <c r="E32" s="332">
        <v>1.1069690001770001</v>
      </c>
      <c r="F32" s="330">
        <v>599.74349091999397</v>
      </c>
      <c r="G32" s="331">
        <v>399.82899394666299</v>
      </c>
      <c r="H32" s="333">
        <v>41.763739999999999</v>
      </c>
      <c r="I32" s="330">
        <v>326.39841000000001</v>
      </c>
      <c r="J32" s="331">
        <v>-73.430583946661997</v>
      </c>
      <c r="K32" s="334">
        <v>0.54423001656799996</v>
      </c>
    </row>
    <row r="33" spans="1:11" ht="14.4" customHeight="1" thickBot="1" x14ac:dyDescent="0.35">
      <c r="A33" s="352" t="s">
        <v>251</v>
      </c>
      <c r="B33" s="330">
        <v>52.182489374105998</v>
      </c>
      <c r="C33" s="330">
        <v>29.19229</v>
      </c>
      <c r="D33" s="331">
        <v>-22.990199374105998</v>
      </c>
      <c r="E33" s="332">
        <v>0.55942693325100001</v>
      </c>
      <c r="F33" s="330">
        <v>52.999998330628003</v>
      </c>
      <c r="G33" s="331">
        <v>35.333332220419003</v>
      </c>
      <c r="H33" s="333">
        <v>2.4273500000000001</v>
      </c>
      <c r="I33" s="330">
        <v>13.89434</v>
      </c>
      <c r="J33" s="331">
        <v>-21.438992220418999</v>
      </c>
      <c r="K33" s="334">
        <v>0.26215736674700002</v>
      </c>
    </row>
    <row r="34" spans="1:11" ht="14.4" customHeight="1" thickBot="1" x14ac:dyDescent="0.35">
      <c r="A34" s="352" t="s">
        <v>252</v>
      </c>
      <c r="B34" s="330">
        <v>15.99870358225</v>
      </c>
      <c r="C34" s="330">
        <v>11.55463</v>
      </c>
      <c r="D34" s="331">
        <v>-4.4440735822499997</v>
      </c>
      <c r="E34" s="332">
        <v>0.72222289391100003</v>
      </c>
      <c r="F34" s="330">
        <v>17.999999433043001</v>
      </c>
      <c r="G34" s="331">
        <v>11.999999622029</v>
      </c>
      <c r="H34" s="333">
        <v>0.53110000000000002</v>
      </c>
      <c r="I34" s="330">
        <v>5.6485099999999999</v>
      </c>
      <c r="J34" s="331">
        <v>-6.3514896220289998</v>
      </c>
      <c r="K34" s="334">
        <v>0.31380612099499999</v>
      </c>
    </row>
    <row r="35" spans="1:11" ht="14.4" customHeight="1" thickBot="1" x14ac:dyDescent="0.35">
      <c r="A35" s="352" t="s">
        <v>253</v>
      </c>
      <c r="B35" s="330">
        <v>0.60492263762700005</v>
      </c>
      <c r="C35" s="330">
        <v>0.35814000000000001</v>
      </c>
      <c r="D35" s="331">
        <v>-0.24678263762700001</v>
      </c>
      <c r="E35" s="332">
        <v>0.59204264764199999</v>
      </c>
      <c r="F35" s="330">
        <v>0.40012069170499998</v>
      </c>
      <c r="G35" s="331">
        <v>0.26674712780299997</v>
      </c>
      <c r="H35" s="333">
        <v>0</v>
      </c>
      <c r="I35" s="330">
        <v>0.70099999999999996</v>
      </c>
      <c r="J35" s="331">
        <v>0.43425287219600001</v>
      </c>
      <c r="K35" s="334">
        <v>1.7519713789660001</v>
      </c>
    </row>
    <row r="36" spans="1:11" ht="14.4" customHeight="1" thickBot="1" x14ac:dyDescent="0.35">
      <c r="A36" s="352" t="s">
        <v>254</v>
      </c>
      <c r="B36" s="330">
        <v>7.6523031549159999</v>
      </c>
      <c r="C36" s="330">
        <v>10.108560000000001</v>
      </c>
      <c r="D36" s="331">
        <v>2.4562568450829998</v>
      </c>
      <c r="E36" s="332">
        <v>1.320982689179</v>
      </c>
      <c r="F36" s="330">
        <v>9.1075746631219996</v>
      </c>
      <c r="G36" s="331">
        <v>6.0717164420809997</v>
      </c>
      <c r="H36" s="333">
        <v>0.59896000000000005</v>
      </c>
      <c r="I36" s="330">
        <v>3.69353</v>
      </c>
      <c r="J36" s="331">
        <v>-2.3781864420810002</v>
      </c>
      <c r="K36" s="334">
        <v>0.40554484993099998</v>
      </c>
    </row>
    <row r="37" spans="1:11" ht="14.4" customHeight="1" thickBot="1" x14ac:dyDescent="0.35">
      <c r="A37" s="352" t="s">
        <v>255</v>
      </c>
      <c r="B37" s="330">
        <v>57.716122126656003</v>
      </c>
      <c r="C37" s="330">
        <v>55.857100000000003</v>
      </c>
      <c r="D37" s="331">
        <v>-1.8590221266560001</v>
      </c>
      <c r="E37" s="332">
        <v>0.96779024546000003</v>
      </c>
      <c r="F37" s="330">
        <v>70.999997763671999</v>
      </c>
      <c r="G37" s="331">
        <v>47.333331842447997</v>
      </c>
      <c r="H37" s="333">
        <v>6.3887999999999998</v>
      </c>
      <c r="I37" s="330">
        <v>31.612380000000002</v>
      </c>
      <c r="J37" s="331">
        <v>-15.720951842448001</v>
      </c>
      <c r="K37" s="334">
        <v>0.44524480275599998</v>
      </c>
    </row>
    <row r="38" spans="1:11" ht="14.4" customHeight="1" thickBot="1" x14ac:dyDescent="0.35">
      <c r="A38" s="352" t="s">
        <v>256</v>
      </c>
      <c r="B38" s="330">
        <v>17.00520054251</v>
      </c>
      <c r="C38" s="330">
        <v>13.33799</v>
      </c>
      <c r="D38" s="331">
        <v>-3.6672105425099999</v>
      </c>
      <c r="E38" s="332">
        <v>0.78434770390700004</v>
      </c>
      <c r="F38" s="330">
        <v>13.573718321425</v>
      </c>
      <c r="G38" s="331">
        <v>9.049145547617</v>
      </c>
      <c r="H38" s="333">
        <v>0.21779999999999999</v>
      </c>
      <c r="I38" s="330">
        <v>5.0455500000000004</v>
      </c>
      <c r="J38" s="331">
        <v>-4.0035955476170004</v>
      </c>
      <c r="K38" s="334">
        <v>0.37171465331100001</v>
      </c>
    </row>
    <row r="39" spans="1:11" ht="14.4" customHeight="1" thickBot="1" x14ac:dyDescent="0.35">
      <c r="A39" s="352" t="s">
        <v>257</v>
      </c>
      <c r="B39" s="330">
        <v>121.989642780079</v>
      </c>
      <c r="C39" s="330">
        <v>118.51297</v>
      </c>
      <c r="D39" s="331">
        <v>-3.4766727800780002</v>
      </c>
      <c r="E39" s="332">
        <v>0.97150026263800005</v>
      </c>
      <c r="F39" s="330">
        <v>74.999997637681005</v>
      </c>
      <c r="G39" s="331">
        <v>49.999998425120999</v>
      </c>
      <c r="H39" s="333">
        <v>5.4401999999999999</v>
      </c>
      <c r="I39" s="330">
        <v>48.84066</v>
      </c>
      <c r="J39" s="331">
        <v>-1.1593384251209999</v>
      </c>
      <c r="K39" s="334">
        <v>0.65120882051100004</v>
      </c>
    </row>
    <row r="40" spans="1:11" ht="14.4" customHeight="1" thickBot="1" x14ac:dyDescent="0.35">
      <c r="A40" s="351" t="s">
        <v>258</v>
      </c>
      <c r="B40" s="335">
        <v>204.45842956420501</v>
      </c>
      <c r="C40" s="335">
        <v>342.92277000000001</v>
      </c>
      <c r="D40" s="336">
        <v>138.46434043579501</v>
      </c>
      <c r="E40" s="342">
        <v>1.677224904499</v>
      </c>
      <c r="F40" s="335">
        <v>580.40982099556504</v>
      </c>
      <c r="G40" s="336">
        <v>386.93988066371003</v>
      </c>
      <c r="H40" s="338">
        <v>0.4955</v>
      </c>
      <c r="I40" s="335">
        <v>291.08334000000002</v>
      </c>
      <c r="J40" s="336">
        <v>-95.856540663710007</v>
      </c>
      <c r="K40" s="343">
        <v>0.50151346422800003</v>
      </c>
    </row>
    <row r="41" spans="1:11" ht="14.4" customHeight="1" thickBot="1" x14ac:dyDescent="0.35">
      <c r="A41" s="352" t="s">
        <v>259</v>
      </c>
      <c r="B41" s="330">
        <v>58.563843418080999</v>
      </c>
      <c r="C41" s="330">
        <v>4.8445499999999999</v>
      </c>
      <c r="D41" s="331">
        <v>-53.719293418081001</v>
      </c>
      <c r="E41" s="332">
        <v>8.2722542053999995E-2</v>
      </c>
      <c r="F41" s="330">
        <v>4.2899751325729998</v>
      </c>
      <c r="G41" s="331">
        <v>2.859983421715</v>
      </c>
      <c r="H41" s="333">
        <v>0</v>
      </c>
      <c r="I41" s="330">
        <v>52.905000000000001</v>
      </c>
      <c r="J41" s="331">
        <v>50.045016578283999</v>
      </c>
      <c r="K41" s="334">
        <v>12.332239317261999</v>
      </c>
    </row>
    <row r="42" spans="1:11" ht="14.4" customHeight="1" thickBot="1" x14ac:dyDescent="0.35">
      <c r="A42" s="352" t="s">
        <v>260</v>
      </c>
      <c r="B42" s="330">
        <v>139.89346715803401</v>
      </c>
      <c r="C42" s="330">
        <v>333.15498000000002</v>
      </c>
      <c r="D42" s="331">
        <v>193.26151284196601</v>
      </c>
      <c r="E42" s="332">
        <v>2.3814906211709999</v>
      </c>
      <c r="F42" s="330">
        <v>567.11984614646997</v>
      </c>
      <c r="G42" s="331">
        <v>378.07989743098</v>
      </c>
      <c r="H42" s="333">
        <v>0.436</v>
      </c>
      <c r="I42" s="330">
        <v>227.90432000000001</v>
      </c>
      <c r="J42" s="331">
        <v>-150.17557743098001</v>
      </c>
      <c r="K42" s="334">
        <v>0.40186271305499999</v>
      </c>
    </row>
    <row r="43" spans="1:11" ht="14.4" customHeight="1" thickBot="1" x14ac:dyDescent="0.35">
      <c r="A43" s="352" t="s">
        <v>261</v>
      </c>
      <c r="B43" s="330">
        <v>6.0011189880889999</v>
      </c>
      <c r="C43" s="330">
        <v>4.9232399999999998</v>
      </c>
      <c r="D43" s="331">
        <v>-1.0778789880890001</v>
      </c>
      <c r="E43" s="332">
        <v>0.82038699945299998</v>
      </c>
      <c r="F43" s="330">
        <v>8.9999997165209997</v>
      </c>
      <c r="G43" s="331">
        <v>5.9999998110139998</v>
      </c>
      <c r="H43" s="333">
        <v>5.9499999999999997E-2</v>
      </c>
      <c r="I43" s="330">
        <v>10.27402</v>
      </c>
      <c r="J43" s="331">
        <v>4.2740201889850002</v>
      </c>
      <c r="K43" s="334">
        <v>1.1415578137339999</v>
      </c>
    </row>
    <row r="44" spans="1:11" ht="14.4" customHeight="1" thickBot="1" x14ac:dyDescent="0.35">
      <c r="A44" s="351" t="s">
        <v>262</v>
      </c>
      <c r="B44" s="335">
        <v>6215.2679041334004</v>
      </c>
      <c r="C44" s="335">
        <v>6219.9291400000002</v>
      </c>
      <c r="D44" s="336">
        <v>4.6612358666029996</v>
      </c>
      <c r="E44" s="342">
        <v>1.000749965397</v>
      </c>
      <c r="F44" s="335">
        <v>8936.9997185061602</v>
      </c>
      <c r="G44" s="336">
        <v>5957.9998123374398</v>
      </c>
      <c r="H44" s="338">
        <v>511.42610000000002</v>
      </c>
      <c r="I44" s="335">
        <v>4387.4781400000002</v>
      </c>
      <c r="J44" s="336">
        <v>-1570.5216723374399</v>
      </c>
      <c r="K44" s="343">
        <v>0.49093412534300002</v>
      </c>
    </row>
    <row r="45" spans="1:11" ht="14.4" customHeight="1" thickBot="1" x14ac:dyDescent="0.35">
      <c r="A45" s="352" t="s">
        <v>263</v>
      </c>
      <c r="B45" s="330">
        <v>29.371100406562999</v>
      </c>
      <c r="C45" s="330">
        <v>48.095219999999998</v>
      </c>
      <c r="D45" s="331">
        <v>18.724119593436001</v>
      </c>
      <c r="E45" s="332">
        <v>1.637501466892</v>
      </c>
      <c r="F45" s="330">
        <v>52.999998330627001</v>
      </c>
      <c r="G45" s="331">
        <v>35.333332220418001</v>
      </c>
      <c r="H45" s="333">
        <v>4.8089500000000003</v>
      </c>
      <c r="I45" s="330">
        <v>36.572360000000003</v>
      </c>
      <c r="J45" s="331">
        <v>1.2390277795810001</v>
      </c>
      <c r="K45" s="334">
        <v>0.69004455003599996</v>
      </c>
    </row>
    <row r="46" spans="1:11" ht="14.4" customHeight="1" thickBot="1" x14ac:dyDescent="0.35">
      <c r="A46" s="352" t="s">
        <v>264</v>
      </c>
      <c r="B46" s="330">
        <v>0</v>
      </c>
      <c r="C46" s="330">
        <v>0</v>
      </c>
      <c r="D46" s="331">
        <v>0</v>
      </c>
      <c r="E46" s="332">
        <v>1</v>
      </c>
      <c r="F46" s="330">
        <v>1.999999937004</v>
      </c>
      <c r="G46" s="331">
        <v>1.3333332913360001</v>
      </c>
      <c r="H46" s="333">
        <v>0</v>
      </c>
      <c r="I46" s="330">
        <v>0</v>
      </c>
      <c r="J46" s="331">
        <v>-1.3333332913360001</v>
      </c>
      <c r="K46" s="334">
        <v>0</v>
      </c>
    </row>
    <row r="47" spans="1:11" ht="14.4" customHeight="1" thickBot="1" x14ac:dyDescent="0.35">
      <c r="A47" s="352" t="s">
        <v>265</v>
      </c>
      <c r="B47" s="330">
        <v>0</v>
      </c>
      <c r="C47" s="330">
        <v>1.8093300000000001</v>
      </c>
      <c r="D47" s="331">
        <v>1.8093300000000001</v>
      </c>
      <c r="E47" s="340" t="s">
        <v>221</v>
      </c>
      <c r="F47" s="330">
        <v>1.999999937004</v>
      </c>
      <c r="G47" s="331">
        <v>1.3333332913360001</v>
      </c>
      <c r="H47" s="333">
        <v>0</v>
      </c>
      <c r="I47" s="330">
        <v>0</v>
      </c>
      <c r="J47" s="331">
        <v>-1.3333332913360001</v>
      </c>
      <c r="K47" s="334">
        <v>0</v>
      </c>
    </row>
    <row r="48" spans="1:11" ht="14.4" customHeight="1" thickBot="1" x14ac:dyDescent="0.35">
      <c r="A48" s="352" t="s">
        <v>266</v>
      </c>
      <c r="B48" s="330">
        <v>1684.02895441125</v>
      </c>
      <c r="C48" s="330">
        <v>1994.52259</v>
      </c>
      <c r="D48" s="331">
        <v>310.49363558874802</v>
      </c>
      <c r="E48" s="332">
        <v>1.18437547334</v>
      </c>
      <c r="F48" s="330">
        <v>3099.9999023575101</v>
      </c>
      <c r="G48" s="331">
        <v>2066.6666015716801</v>
      </c>
      <c r="H48" s="333">
        <v>169.52704</v>
      </c>
      <c r="I48" s="330">
        <v>1336.3476800000001</v>
      </c>
      <c r="J48" s="331">
        <v>-730.31892157167499</v>
      </c>
      <c r="K48" s="334">
        <v>0.431079910352</v>
      </c>
    </row>
    <row r="49" spans="1:11" ht="14.4" customHeight="1" thickBot="1" x14ac:dyDescent="0.35">
      <c r="A49" s="352" t="s">
        <v>267</v>
      </c>
      <c r="B49" s="330">
        <v>4117.9200388859299</v>
      </c>
      <c r="C49" s="330">
        <v>3515.2721900000001</v>
      </c>
      <c r="D49" s="331">
        <v>-602.64784888592806</v>
      </c>
      <c r="E49" s="332">
        <v>0.85365236740899997</v>
      </c>
      <c r="F49" s="330">
        <v>4486.9998586703796</v>
      </c>
      <c r="G49" s="331">
        <v>2991.33323911359</v>
      </c>
      <c r="H49" s="333">
        <v>259.37322</v>
      </c>
      <c r="I49" s="330">
        <v>2389.4346999999998</v>
      </c>
      <c r="J49" s="331">
        <v>-601.89853911358398</v>
      </c>
      <c r="K49" s="334">
        <v>0.53252390801399996</v>
      </c>
    </row>
    <row r="50" spans="1:11" ht="14.4" customHeight="1" thickBot="1" x14ac:dyDescent="0.35">
      <c r="A50" s="352" t="s">
        <v>268</v>
      </c>
      <c r="B50" s="330">
        <v>383.94781042965298</v>
      </c>
      <c r="C50" s="330">
        <v>660.22981000000004</v>
      </c>
      <c r="D50" s="331">
        <v>276.28199957034798</v>
      </c>
      <c r="E50" s="332">
        <v>1.7195821725380001</v>
      </c>
      <c r="F50" s="330">
        <v>1292.9999592736301</v>
      </c>
      <c r="G50" s="331">
        <v>861.99997284909</v>
      </c>
      <c r="H50" s="333">
        <v>77.716890000000006</v>
      </c>
      <c r="I50" s="330">
        <v>625.12339999999995</v>
      </c>
      <c r="J50" s="331">
        <v>-236.87657284909</v>
      </c>
      <c r="K50" s="334">
        <v>0.48346745528899998</v>
      </c>
    </row>
    <row r="51" spans="1:11" ht="14.4" customHeight="1" thickBot="1" x14ac:dyDescent="0.35">
      <c r="A51" s="350" t="s">
        <v>29</v>
      </c>
      <c r="B51" s="330">
        <v>2162.72153689896</v>
      </c>
      <c r="C51" s="330">
        <v>1949.989</v>
      </c>
      <c r="D51" s="331">
        <v>-212.73253689895799</v>
      </c>
      <c r="E51" s="332">
        <v>0.90163664934599996</v>
      </c>
      <c r="F51" s="330">
        <v>2159.2232972500901</v>
      </c>
      <c r="G51" s="331">
        <v>1439.4821981667301</v>
      </c>
      <c r="H51" s="333">
        <v>136.51900000000001</v>
      </c>
      <c r="I51" s="330">
        <v>1474.615</v>
      </c>
      <c r="J51" s="331">
        <v>35.132801833274002</v>
      </c>
      <c r="K51" s="334">
        <v>0.68293770351399996</v>
      </c>
    </row>
    <row r="52" spans="1:11" ht="14.4" customHeight="1" thickBot="1" x14ac:dyDescent="0.35">
      <c r="A52" s="351" t="s">
        <v>269</v>
      </c>
      <c r="B52" s="335">
        <v>2162.72153689896</v>
      </c>
      <c r="C52" s="335">
        <v>1949.989</v>
      </c>
      <c r="D52" s="336">
        <v>-212.73253689895799</v>
      </c>
      <c r="E52" s="342">
        <v>0.90163664934599996</v>
      </c>
      <c r="F52" s="335">
        <v>2159.2232972500901</v>
      </c>
      <c r="G52" s="336">
        <v>1439.4821981667301</v>
      </c>
      <c r="H52" s="338">
        <v>136.51900000000001</v>
      </c>
      <c r="I52" s="335">
        <v>1474.615</v>
      </c>
      <c r="J52" s="336">
        <v>35.132801833274002</v>
      </c>
      <c r="K52" s="343">
        <v>0.68293770351399996</v>
      </c>
    </row>
    <row r="53" spans="1:11" ht="14.4" customHeight="1" thickBot="1" x14ac:dyDescent="0.35">
      <c r="A53" s="352" t="s">
        <v>270</v>
      </c>
      <c r="B53" s="330">
        <v>609.68701612278403</v>
      </c>
      <c r="C53" s="330">
        <v>512.31899999999996</v>
      </c>
      <c r="D53" s="331">
        <v>-97.368016122783999</v>
      </c>
      <c r="E53" s="332">
        <v>0.84029836039100003</v>
      </c>
      <c r="F53" s="330">
        <v>526.22334868562803</v>
      </c>
      <c r="G53" s="331">
        <v>350.81556579041899</v>
      </c>
      <c r="H53" s="333">
        <v>51.747</v>
      </c>
      <c r="I53" s="330">
        <v>356.62700000000001</v>
      </c>
      <c r="J53" s="331">
        <v>5.8114342095809999</v>
      </c>
      <c r="K53" s="334">
        <v>0.67771033134600001</v>
      </c>
    </row>
    <row r="54" spans="1:11" ht="14.4" customHeight="1" thickBot="1" x14ac:dyDescent="0.35">
      <c r="A54" s="352" t="s">
        <v>271</v>
      </c>
      <c r="B54" s="330">
        <v>900.00609651507102</v>
      </c>
      <c r="C54" s="330">
        <v>831.87300000000005</v>
      </c>
      <c r="D54" s="331">
        <v>-68.133096515069994</v>
      </c>
      <c r="E54" s="332">
        <v>0.92429707223199997</v>
      </c>
      <c r="F54" s="330">
        <v>1005.99996831344</v>
      </c>
      <c r="G54" s="331">
        <v>670.66664554229203</v>
      </c>
      <c r="H54" s="333">
        <v>62.256</v>
      </c>
      <c r="I54" s="330">
        <v>638.88300000000004</v>
      </c>
      <c r="J54" s="331">
        <v>-31.783645542291001</v>
      </c>
      <c r="K54" s="334">
        <v>0.63507258461500005</v>
      </c>
    </row>
    <row r="55" spans="1:11" ht="14.4" customHeight="1" thickBot="1" x14ac:dyDescent="0.35">
      <c r="A55" s="352" t="s">
        <v>272</v>
      </c>
      <c r="B55" s="330">
        <v>653.02842426110396</v>
      </c>
      <c r="C55" s="330">
        <v>605.79700000000003</v>
      </c>
      <c r="D55" s="331">
        <v>-47.231424261103001</v>
      </c>
      <c r="E55" s="332">
        <v>0.92767324896299996</v>
      </c>
      <c r="F55" s="330">
        <v>626.99998025102298</v>
      </c>
      <c r="G55" s="331">
        <v>417.99998683401498</v>
      </c>
      <c r="H55" s="333">
        <v>22.515999999999998</v>
      </c>
      <c r="I55" s="330">
        <v>479.10500000000002</v>
      </c>
      <c r="J55" s="331">
        <v>61.105013165985</v>
      </c>
      <c r="K55" s="334">
        <v>0.76412283108500001</v>
      </c>
    </row>
    <row r="56" spans="1:11" ht="14.4" customHeight="1" thickBot="1" x14ac:dyDescent="0.35">
      <c r="A56" s="353" t="s">
        <v>273</v>
      </c>
      <c r="B56" s="335">
        <v>5378.7353457003401</v>
      </c>
      <c r="C56" s="335">
        <v>9098.6901799999996</v>
      </c>
      <c r="D56" s="336">
        <v>3719.95483429966</v>
      </c>
      <c r="E56" s="342">
        <v>1.6916039914979999</v>
      </c>
      <c r="F56" s="335">
        <v>9564.9237175257695</v>
      </c>
      <c r="G56" s="336">
        <v>6376.6158116838496</v>
      </c>
      <c r="H56" s="338">
        <v>255.17657</v>
      </c>
      <c r="I56" s="335">
        <v>7237.5492400000003</v>
      </c>
      <c r="J56" s="336">
        <v>860.93342831615405</v>
      </c>
      <c r="K56" s="343">
        <v>0.75667610675600006</v>
      </c>
    </row>
    <row r="57" spans="1:11" ht="14.4" customHeight="1" thickBot="1" x14ac:dyDescent="0.35">
      <c r="A57" s="350" t="s">
        <v>32</v>
      </c>
      <c r="B57" s="330">
        <v>1310.4887640844299</v>
      </c>
      <c r="C57" s="330">
        <v>1267.2437500000001</v>
      </c>
      <c r="D57" s="331">
        <v>-43.245014084429002</v>
      </c>
      <c r="E57" s="332">
        <v>0.96700085092700006</v>
      </c>
      <c r="F57" s="330">
        <v>956.481866684171</v>
      </c>
      <c r="G57" s="331">
        <v>637.65457778944699</v>
      </c>
      <c r="H57" s="333">
        <v>56.97128</v>
      </c>
      <c r="I57" s="330">
        <v>738.65602000000001</v>
      </c>
      <c r="J57" s="331">
        <v>101.00144221055299</v>
      </c>
      <c r="K57" s="334">
        <v>0.77226348530800004</v>
      </c>
    </row>
    <row r="58" spans="1:11" ht="14.4" customHeight="1" thickBot="1" x14ac:dyDescent="0.35">
      <c r="A58" s="354" t="s">
        <v>274</v>
      </c>
      <c r="B58" s="330">
        <v>1310.4887640844299</v>
      </c>
      <c r="C58" s="330">
        <v>1267.2437500000001</v>
      </c>
      <c r="D58" s="331">
        <v>-43.245014084429002</v>
      </c>
      <c r="E58" s="332">
        <v>0.96700085092700006</v>
      </c>
      <c r="F58" s="330">
        <v>956.481866684171</v>
      </c>
      <c r="G58" s="331">
        <v>637.65457778944699</v>
      </c>
      <c r="H58" s="333">
        <v>56.97128</v>
      </c>
      <c r="I58" s="330">
        <v>738.65602000000001</v>
      </c>
      <c r="J58" s="331">
        <v>101.00144221055299</v>
      </c>
      <c r="K58" s="334">
        <v>0.77226348530800004</v>
      </c>
    </row>
    <row r="59" spans="1:11" ht="14.4" customHeight="1" thickBot="1" x14ac:dyDescent="0.35">
      <c r="A59" s="352" t="s">
        <v>275</v>
      </c>
      <c r="B59" s="330">
        <v>817.45143495754803</v>
      </c>
      <c r="C59" s="330">
        <v>942.56224999999995</v>
      </c>
      <c r="D59" s="331">
        <v>125.110815042452</v>
      </c>
      <c r="E59" s="332">
        <v>1.153049844543</v>
      </c>
      <c r="F59" s="330">
        <v>610.55367247525498</v>
      </c>
      <c r="G59" s="331">
        <v>407.03578165017001</v>
      </c>
      <c r="H59" s="333">
        <v>34.17192</v>
      </c>
      <c r="I59" s="330">
        <v>542.11798999999996</v>
      </c>
      <c r="J59" s="331">
        <v>135.08220834983001</v>
      </c>
      <c r="K59" s="334">
        <v>0.887912094283</v>
      </c>
    </row>
    <row r="60" spans="1:11" ht="14.4" customHeight="1" thickBot="1" x14ac:dyDescent="0.35">
      <c r="A60" s="352" t="s">
        <v>276</v>
      </c>
      <c r="B60" s="330">
        <v>276.33555588538798</v>
      </c>
      <c r="C60" s="330">
        <v>127.31041</v>
      </c>
      <c r="D60" s="331">
        <v>-149.02514588538901</v>
      </c>
      <c r="E60" s="332">
        <v>0.46070947906800003</v>
      </c>
      <c r="F60" s="330">
        <v>28.447842463335</v>
      </c>
      <c r="G60" s="331">
        <v>18.965228308890001</v>
      </c>
      <c r="H60" s="333">
        <v>0</v>
      </c>
      <c r="I60" s="330">
        <v>91.08466</v>
      </c>
      <c r="J60" s="331">
        <v>72.119431691109</v>
      </c>
      <c r="K60" s="334">
        <v>3.2018125844649998</v>
      </c>
    </row>
    <row r="61" spans="1:11" ht="14.4" customHeight="1" thickBot="1" x14ac:dyDescent="0.35">
      <c r="A61" s="352" t="s">
        <v>277</v>
      </c>
      <c r="B61" s="330">
        <v>81.999861559118003</v>
      </c>
      <c r="C61" s="330">
        <v>132.21358000000001</v>
      </c>
      <c r="D61" s="331">
        <v>50.213718440881003</v>
      </c>
      <c r="E61" s="332">
        <v>1.6123634538660001</v>
      </c>
      <c r="F61" s="330">
        <v>263.99999168464097</v>
      </c>
      <c r="G61" s="331">
        <v>175.999994456427</v>
      </c>
      <c r="H61" s="333">
        <v>15.884880000000001</v>
      </c>
      <c r="I61" s="330">
        <v>57.758339999999997</v>
      </c>
      <c r="J61" s="331">
        <v>-118.241654456427</v>
      </c>
      <c r="K61" s="334">
        <v>0.21878159780000001</v>
      </c>
    </row>
    <row r="62" spans="1:11" ht="14.4" customHeight="1" thickBot="1" x14ac:dyDescent="0.35">
      <c r="A62" s="352" t="s">
        <v>278</v>
      </c>
      <c r="B62" s="330">
        <v>134.701911682375</v>
      </c>
      <c r="C62" s="330">
        <v>65.157510000000002</v>
      </c>
      <c r="D62" s="331">
        <v>-69.544401682374001</v>
      </c>
      <c r="E62" s="332">
        <v>0.48371629761000001</v>
      </c>
      <c r="F62" s="330">
        <v>53.480360060938999</v>
      </c>
      <c r="G62" s="331">
        <v>35.653573373958999</v>
      </c>
      <c r="H62" s="333">
        <v>6.9144800000000002</v>
      </c>
      <c r="I62" s="330">
        <v>47.695030000000003</v>
      </c>
      <c r="J62" s="331">
        <v>12.04145662604</v>
      </c>
      <c r="K62" s="334">
        <v>0.89182327766000002</v>
      </c>
    </row>
    <row r="63" spans="1:11" ht="14.4" customHeight="1" thickBot="1" x14ac:dyDescent="0.35">
      <c r="A63" s="355" t="s">
        <v>33</v>
      </c>
      <c r="B63" s="335">
        <v>0</v>
      </c>
      <c r="C63" s="335">
        <v>21</v>
      </c>
      <c r="D63" s="336">
        <v>21</v>
      </c>
      <c r="E63" s="337" t="s">
        <v>221</v>
      </c>
      <c r="F63" s="335">
        <v>0</v>
      </c>
      <c r="G63" s="336">
        <v>0</v>
      </c>
      <c r="H63" s="338">
        <v>0</v>
      </c>
      <c r="I63" s="335">
        <v>17.998000000000001</v>
      </c>
      <c r="J63" s="336">
        <v>17.998000000000001</v>
      </c>
      <c r="K63" s="339" t="s">
        <v>221</v>
      </c>
    </row>
    <row r="64" spans="1:11" ht="14.4" customHeight="1" thickBot="1" x14ac:dyDescent="0.35">
      <c r="A64" s="351" t="s">
        <v>279</v>
      </c>
      <c r="B64" s="335">
        <v>0</v>
      </c>
      <c r="C64" s="335">
        <v>21</v>
      </c>
      <c r="D64" s="336">
        <v>21</v>
      </c>
      <c r="E64" s="337" t="s">
        <v>221</v>
      </c>
      <c r="F64" s="335">
        <v>0</v>
      </c>
      <c r="G64" s="336">
        <v>0</v>
      </c>
      <c r="H64" s="338">
        <v>0</v>
      </c>
      <c r="I64" s="335">
        <v>17.998000000000001</v>
      </c>
      <c r="J64" s="336">
        <v>17.998000000000001</v>
      </c>
      <c r="K64" s="339" t="s">
        <v>221</v>
      </c>
    </row>
    <row r="65" spans="1:11" ht="14.4" customHeight="1" thickBot="1" x14ac:dyDescent="0.35">
      <c r="A65" s="352" t="s">
        <v>280</v>
      </c>
      <c r="B65" s="330">
        <v>0</v>
      </c>
      <c r="C65" s="330">
        <v>17.149999999999999</v>
      </c>
      <c r="D65" s="331">
        <v>17.149999999999999</v>
      </c>
      <c r="E65" s="340" t="s">
        <v>221</v>
      </c>
      <c r="F65" s="330">
        <v>0</v>
      </c>
      <c r="G65" s="331">
        <v>0</v>
      </c>
      <c r="H65" s="333">
        <v>0</v>
      </c>
      <c r="I65" s="330">
        <v>10.108000000000001</v>
      </c>
      <c r="J65" s="331">
        <v>10.108000000000001</v>
      </c>
      <c r="K65" s="341" t="s">
        <v>221</v>
      </c>
    </row>
    <row r="66" spans="1:11" ht="14.4" customHeight="1" thickBot="1" x14ac:dyDescent="0.35">
      <c r="A66" s="352" t="s">
        <v>281</v>
      </c>
      <c r="B66" s="330">
        <v>0</v>
      </c>
      <c r="C66" s="330">
        <v>3.85</v>
      </c>
      <c r="D66" s="331">
        <v>3.85</v>
      </c>
      <c r="E66" s="340" t="s">
        <v>221</v>
      </c>
      <c r="F66" s="330">
        <v>0</v>
      </c>
      <c r="G66" s="331">
        <v>0</v>
      </c>
      <c r="H66" s="333">
        <v>0</v>
      </c>
      <c r="I66" s="330">
        <v>7.89</v>
      </c>
      <c r="J66" s="331">
        <v>7.89</v>
      </c>
      <c r="K66" s="341" t="s">
        <v>221</v>
      </c>
    </row>
    <row r="67" spans="1:11" ht="14.4" customHeight="1" thickBot="1" x14ac:dyDescent="0.35">
      <c r="A67" s="350" t="s">
        <v>34</v>
      </c>
      <c r="B67" s="330">
        <v>4068.2465816159101</v>
      </c>
      <c r="C67" s="330">
        <v>7810.44643</v>
      </c>
      <c r="D67" s="331">
        <v>3742.1998483840898</v>
      </c>
      <c r="E67" s="332">
        <v>1.9198557101460001</v>
      </c>
      <c r="F67" s="330">
        <v>8608.4418508416002</v>
      </c>
      <c r="G67" s="331">
        <v>5738.9612338943998</v>
      </c>
      <c r="H67" s="333">
        <v>198.20528999999999</v>
      </c>
      <c r="I67" s="330">
        <v>6480.8952200000003</v>
      </c>
      <c r="J67" s="331">
        <v>741.933986105602</v>
      </c>
      <c r="K67" s="334">
        <v>0.75285345853399999</v>
      </c>
    </row>
    <row r="68" spans="1:11" ht="14.4" customHeight="1" thickBot="1" x14ac:dyDescent="0.35">
      <c r="A68" s="351" t="s">
        <v>282</v>
      </c>
      <c r="B68" s="335">
        <v>1.0919770817029999</v>
      </c>
      <c r="C68" s="335">
        <v>3.5870000000000002</v>
      </c>
      <c r="D68" s="336">
        <v>2.4950229182960002</v>
      </c>
      <c r="E68" s="342">
        <v>3.284867475794</v>
      </c>
      <c r="F68" s="335">
        <v>4.9288370241140003</v>
      </c>
      <c r="G68" s="336">
        <v>3.2858913494089999</v>
      </c>
      <c r="H68" s="338">
        <v>0.54500000000000004</v>
      </c>
      <c r="I68" s="335">
        <v>2.0859999999999999</v>
      </c>
      <c r="J68" s="336">
        <v>-1.199891349409</v>
      </c>
      <c r="K68" s="343">
        <v>0.42322356973699998</v>
      </c>
    </row>
    <row r="69" spans="1:11" ht="14.4" customHeight="1" thickBot="1" x14ac:dyDescent="0.35">
      <c r="A69" s="352" t="s">
        <v>283</v>
      </c>
      <c r="B69" s="330">
        <v>1.0919770817029999</v>
      </c>
      <c r="C69" s="330">
        <v>3.5870000000000002</v>
      </c>
      <c r="D69" s="331">
        <v>2.4950229182960002</v>
      </c>
      <c r="E69" s="332">
        <v>3.284867475794</v>
      </c>
      <c r="F69" s="330">
        <v>4.9288370241140003</v>
      </c>
      <c r="G69" s="331">
        <v>3.2858913494089999</v>
      </c>
      <c r="H69" s="333">
        <v>0.54500000000000004</v>
      </c>
      <c r="I69" s="330">
        <v>2.0859999999999999</v>
      </c>
      <c r="J69" s="331">
        <v>-1.199891349409</v>
      </c>
      <c r="K69" s="334">
        <v>0.42322356973699998</v>
      </c>
    </row>
    <row r="70" spans="1:11" ht="14.4" customHeight="1" thickBot="1" x14ac:dyDescent="0.35">
      <c r="A70" s="351" t="s">
        <v>284</v>
      </c>
      <c r="B70" s="335">
        <v>4.802707233534</v>
      </c>
      <c r="C70" s="335">
        <v>6.3520300000000001</v>
      </c>
      <c r="D70" s="336">
        <v>1.549322766465</v>
      </c>
      <c r="E70" s="342">
        <v>1.322593631285</v>
      </c>
      <c r="F70" s="335">
        <v>7.0592965272099999</v>
      </c>
      <c r="G70" s="336">
        <v>4.706197684807</v>
      </c>
      <c r="H70" s="338">
        <v>0.29388999999999998</v>
      </c>
      <c r="I70" s="335">
        <v>1.9003300000000001</v>
      </c>
      <c r="J70" s="336">
        <v>-2.8058676848070001</v>
      </c>
      <c r="K70" s="343">
        <v>0.269195378416</v>
      </c>
    </row>
    <row r="71" spans="1:11" ht="14.4" customHeight="1" thickBot="1" x14ac:dyDescent="0.35">
      <c r="A71" s="352" t="s">
        <v>285</v>
      </c>
      <c r="B71" s="330">
        <v>4.802707233534</v>
      </c>
      <c r="C71" s="330">
        <v>6.3520300000000001</v>
      </c>
      <c r="D71" s="331">
        <v>1.549322766465</v>
      </c>
      <c r="E71" s="332">
        <v>1.322593631285</v>
      </c>
      <c r="F71" s="330">
        <v>7.0592965272099999</v>
      </c>
      <c r="G71" s="331">
        <v>4.706197684807</v>
      </c>
      <c r="H71" s="333">
        <v>0.29388999999999998</v>
      </c>
      <c r="I71" s="330">
        <v>1.9003300000000001</v>
      </c>
      <c r="J71" s="331">
        <v>-2.8058676848070001</v>
      </c>
      <c r="K71" s="334">
        <v>0.269195378416</v>
      </c>
    </row>
    <row r="72" spans="1:11" ht="14.4" customHeight="1" thickBot="1" x14ac:dyDescent="0.35">
      <c r="A72" s="351" t="s">
        <v>286</v>
      </c>
      <c r="B72" s="335">
        <v>20.325387597793998</v>
      </c>
      <c r="C72" s="335">
        <v>24.0822</v>
      </c>
      <c r="D72" s="336">
        <v>3.756812402205</v>
      </c>
      <c r="E72" s="342">
        <v>1.1848334937830001</v>
      </c>
      <c r="F72" s="335">
        <v>20.999999338550001</v>
      </c>
      <c r="G72" s="336">
        <v>13.999999559033</v>
      </c>
      <c r="H72" s="338">
        <v>0.32634000000000002</v>
      </c>
      <c r="I72" s="335">
        <v>19.030339999999999</v>
      </c>
      <c r="J72" s="336">
        <v>5.0303404409660004</v>
      </c>
      <c r="K72" s="343">
        <v>0.90620669520899999</v>
      </c>
    </row>
    <row r="73" spans="1:11" ht="14.4" customHeight="1" thickBot="1" x14ac:dyDescent="0.35">
      <c r="A73" s="352" t="s">
        <v>287</v>
      </c>
      <c r="B73" s="330">
        <v>6.0008246184620004</v>
      </c>
      <c r="C73" s="330">
        <v>6.48</v>
      </c>
      <c r="D73" s="331">
        <v>0.47917538153700001</v>
      </c>
      <c r="E73" s="332">
        <v>1.0798515890730001</v>
      </c>
      <c r="F73" s="330">
        <v>5.9999998110139998</v>
      </c>
      <c r="G73" s="331">
        <v>3.9999998740090001</v>
      </c>
      <c r="H73" s="333">
        <v>0</v>
      </c>
      <c r="I73" s="330">
        <v>4.8600000000000003</v>
      </c>
      <c r="J73" s="331">
        <v>0.86000012598999998</v>
      </c>
      <c r="K73" s="334">
        <v>0.81000002551299999</v>
      </c>
    </row>
    <row r="74" spans="1:11" ht="14.4" customHeight="1" thickBot="1" x14ac:dyDescent="0.35">
      <c r="A74" s="352" t="s">
        <v>288</v>
      </c>
      <c r="B74" s="330">
        <v>14.324562979331001</v>
      </c>
      <c r="C74" s="330">
        <v>17.6022</v>
      </c>
      <c r="D74" s="331">
        <v>3.2776370206680001</v>
      </c>
      <c r="E74" s="332">
        <v>1.228812357165</v>
      </c>
      <c r="F74" s="330">
        <v>14.999999527536</v>
      </c>
      <c r="G74" s="331">
        <v>9.9999996850239992</v>
      </c>
      <c r="H74" s="333">
        <v>0.32634000000000002</v>
      </c>
      <c r="I74" s="330">
        <v>14.170339999999999</v>
      </c>
      <c r="J74" s="331">
        <v>4.1703403149750002</v>
      </c>
      <c r="K74" s="334">
        <v>0.944689363088</v>
      </c>
    </row>
    <row r="75" spans="1:11" ht="14.4" customHeight="1" thickBot="1" x14ac:dyDescent="0.35">
      <c r="A75" s="351" t="s">
        <v>289</v>
      </c>
      <c r="B75" s="335">
        <v>0</v>
      </c>
      <c r="C75" s="335">
        <v>1.8149999999999999</v>
      </c>
      <c r="D75" s="336">
        <v>1.8149999999999999</v>
      </c>
      <c r="E75" s="337" t="s">
        <v>245</v>
      </c>
      <c r="F75" s="335">
        <v>0</v>
      </c>
      <c r="G75" s="336">
        <v>0</v>
      </c>
      <c r="H75" s="338">
        <v>0</v>
      </c>
      <c r="I75" s="335">
        <v>0</v>
      </c>
      <c r="J75" s="336">
        <v>0</v>
      </c>
      <c r="K75" s="339" t="s">
        <v>221</v>
      </c>
    </row>
    <row r="76" spans="1:11" ht="14.4" customHeight="1" thickBot="1" x14ac:dyDescent="0.35">
      <c r="A76" s="352" t="s">
        <v>290</v>
      </c>
      <c r="B76" s="330">
        <v>0</v>
      </c>
      <c r="C76" s="330">
        <v>1.8149999999999999</v>
      </c>
      <c r="D76" s="331">
        <v>1.8149999999999999</v>
      </c>
      <c r="E76" s="340" t="s">
        <v>245</v>
      </c>
      <c r="F76" s="330">
        <v>0</v>
      </c>
      <c r="G76" s="331">
        <v>0</v>
      </c>
      <c r="H76" s="333">
        <v>0</v>
      </c>
      <c r="I76" s="330">
        <v>0</v>
      </c>
      <c r="J76" s="331">
        <v>0</v>
      </c>
      <c r="K76" s="341" t="s">
        <v>221</v>
      </c>
    </row>
    <row r="77" spans="1:11" ht="14.4" customHeight="1" thickBot="1" x14ac:dyDescent="0.35">
      <c r="A77" s="351" t="s">
        <v>291</v>
      </c>
      <c r="B77" s="335">
        <v>3275.8686367514401</v>
      </c>
      <c r="C77" s="335">
        <v>2961.4804100000001</v>
      </c>
      <c r="D77" s="336">
        <v>-314.388226751437</v>
      </c>
      <c r="E77" s="342">
        <v>0.90402904950899998</v>
      </c>
      <c r="F77" s="335">
        <v>3159.4773717541402</v>
      </c>
      <c r="G77" s="336">
        <v>2106.31824783609</v>
      </c>
      <c r="H77" s="338">
        <v>184.05139</v>
      </c>
      <c r="I77" s="335">
        <v>1737.4607599999999</v>
      </c>
      <c r="J77" s="336">
        <v>-368.85748783609398</v>
      </c>
      <c r="K77" s="343">
        <v>0.54992030502599998</v>
      </c>
    </row>
    <row r="78" spans="1:11" ht="14.4" customHeight="1" thickBot="1" x14ac:dyDescent="0.35">
      <c r="A78" s="352" t="s">
        <v>292</v>
      </c>
      <c r="B78" s="330">
        <v>2950.7320486654799</v>
      </c>
      <c r="C78" s="330">
        <v>2616.0415400000002</v>
      </c>
      <c r="D78" s="331">
        <v>-334.69050866547502</v>
      </c>
      <c r="E78" s="332">
        <v>0.88657373724699995</v>
      </c>
      <c r="F78" s="330">
        <v>2813.8817109481301</v>
      </c>
      <c r="G78" s="331">
        <v>1875.9211406320901</v>
      </c>
      <c r="H78" s="333">
        <v>183.05139</v>
      </c>
      <c r="I78" s="330">
        <v>1516.4039399999999</v>
      </c>
      <c r="J78" s="331">
        <v>-359.51720063208899</v>
      </c>
      <c r="K78" s="334">
        <v>0.53890109669499997</v>
      </c>
    </row>
    <row r="79" spans="1:11" ht="14.4" customHeight="1" thickBot="1" x14ac:dyDescent="0.35">
      <c r="A79" s="352" t="s">
        <v>293</v>
      </c>
      <c r="B79" s="330">
        <v>325.13658808596199</v>
      </c>
      <c r="C79" s="330">
        <v>345.43887000000001</v>
      </c>
      <c r="D79" s="331">
        <v>20.302281914038002</v>
      </c>
      <c r="E79" s="332">
        <v>1.062442317038</v>
      </c>
      <c r="F79" s="330">
        <v>345.595660806007</v>
      </c>
      <c r="G79" s="331">
        <v>230.39710720400501</v>
      </c>
      <c r="H79" s="333">
        <v>0</v>
      </c>
      <c r="I79" s="330">
        <v>220.05681999999999</v>
      </c>
      <c r="J79" s="331">
        <v>-10.340287204003999</v>
      </c>
      <c r="K79" s="334">
        <v>0.63674647849099997</v>
      </c>
    </row>
    <row r="80" spans="1:11" ht="14.4" customHeight="1" thickBot="1" x14ac:dyDescent="0.35">
      <c r="A80" s="352" t="s">
        <v>294</v>
      </c>
      <c r="B80" s="330">
        <v>0</v>
      </c>
      <c r="C80" s="330">
        <v>0</v>
      </c>
      <c r="D80" s="331">
        <v>0</v>
      </c>
      <c r="E80" s="332">
        <v>1</v>
      </c>
      <c r="F80" s="330">
        <v>0</v>
      </c>
      <c r="G80" s="331">
        <v>0</v>
      </c>
      <c r="H80" s="333">
        <v>1</v>
      </c>
      <c r="I80" s="330">
        <v>1</v>
      </c>
      <c r="J80" s="331">
        <v>1</v>
      </c>
      <c r="K80" s="341" t="s">
        <v>245</v>
      </c>
    </row>
    <row r="81" spans="1:11" ht="14.4" customHeight="1" thickBot="1" x14ac:dyDescent="0.35">
      <c r="A81" s="351" t="s">
        <v>295</v>
      </c>
      <c r="B81" s="335">
        <v>766.15787295144003</v>
      </c>
      <c r="C81" s="335">
        <v>4806.6052900000004</v>
      </c>
      <c r="D81" s="336">
        <v>4040.4474170485601</v>
      </c>
      <c r="E81" s="342">
        <v>6.2736486299919996</v>
      </c>
      <c r="F81" s="335">
        <v>5413.15437339045</v>
      </c>
      <c r="G81" s="336">
        <v>3608.7695822603</v>
      </c>
      <c r="H81" s="338">
        <v>12.988670000000001</v>
      </c>
      <c r="I81" s="335">
        <v>4720.4177900000004</v>
      </c>
      <c r="J81" s="336">
        <v>1111.6482077397</v>
      </c>
      <c r="K81" s="343">
        <v>0.872027188658</v>
      </c>
    </row>
    <row r="82" spans="1:11" ht="14.4" customHeight="1" thickBot="1" x14ac:dyDescent="0.35">
      <c r="A82" s="352" t="s">
        <v>296</v>
      </c>
      <c r="B82" s="330">
        <v>35.290920653268998</v>
      </c>
      <c r="C82" s="330">
        <v>8.9049999999999994</v>
      </c>
      <c r="D82" s="331">
        <v>-26.385920653269</v>
      </c>
      <c r="E82" s="332">
        <v>0.25233118986800002</v>
      </c>
      <c r="F82" s="330">
        <v>73.999997669178995</v>
      </c>
      <c r="G82" s="331">
        <v>49.333331779452998</v>
      </c>
      <c r="H82" s="333">
        <v>0</v>
      </c>
      <c r="I82" s="330">
        <v>32.503999999999998</v>
      </c>
      <c r="J82" s="331">
        <v>-16.829331779453</v>
      </c>
      <c r="K82" s="334">
        <v>0.43924325707799999</v>
      </c>
    </row>
    <row r="83" spans="1:11" ht="14.4" customHeight="1" thickBot="1" x14ac:dyDescent="0.35">
      <c r="A83" s="352" t="s">
        <v>297</v>
      </c>
      <c r="B83" s="330">
        <v>715.96003256276902</v>
      </c>
      <c r="C83" s="330">
        <v>615.33640000000003</v>
      </c>
      <c r="D83" s="331">
        <v>-100.623632562769</v>
      </c>
      <c r="E83" s="332">
        <v>0.85945635512200003</v>
      </c>
      <c r="F83" s="330">
        <v>542.71621057062703</v>
      </c>
      <c r="G83" s="331">
        <v>361.81080704708501</v>
      </c>
      <c r="H83" s="333">
        <v>9.4864999999999995</v>
      </c>
      <c r="I83" s="330">
        <v>479.86577999999997</v>
      </c>
      <c r="J83" s="331">
        <v>118.05497295291499</v>
      </c>
      <c r="K83" s="334">
        <v>0.88419282610899996</v>
      </c>
    </row>
    <row r="84" spans="1:11" ht="14.4" customHeight="1" thickBot="1" x14ac:dyDescent="0.35">
      <c r="A84" s="352" t="s">
        <v>298</v>
      </c>
      <c r="B84" s="330">
        <v>4.0014576669619997</v>
      </c>
      <c r="C84" s="330">
        <v>3.2669999999999999</v>
      </c>
      <c r="D84" s="331">
        <v>-0.73445766696199999</v>
      </c>
      <c r="E84" s="332">
        <v>0.81645247105100005</v>
      </c>
      <c r="F84" s="330">
        <v>6.9999997795160001</v>
      </c>
      <c r="G84" s="331">
        <v>4.6666665196770003</v>
      </c>
      <c r="H84" s="333">
        <v>0</v>
      </c>
      <c r="I84" s="330">
        <v>0.78300000000000003</v>
      </c>
      <c r="J84" s="331">
        <v>-3.8836665196769999</v>
      </c>
      <c r="K84" s="334">
        <v>0.11185714637999999</v>
      </c>
    </row>
    <row r="85" spans="1:11" ht="14.4" customHeight="1" thickBot="1" x14ac:dyDescent="0.35">
      <c r="A85" s="352" t="s">
        <v>299</v>
      </c>
      <c r="B85" s="330">
        <v>0</v>
      </c>
      <c r="C85" s="330">
        <v>4.9473900000000004</v>
      </c>
      <c r="D85" s="331">
        <v>4.9473900000000004</v>
      </c>
      <c r="E85" s="340" t="s">
        <v>245</v>
      </c>
      <c r="F85" s="330">
        <v>6.033427503685</v>
      </c>
      <c r="G85" s="331">
        <v>4.022285002456</v>
      </c>
      <c r="H85" s="333">
        <v>0</v>
      </c>
      <c r="I85" s="330">
        <v>0</v>
      </c>
      <c r="J85" s="331">
        <v>-4.022285002456</v>
      </c>
      <c r="K85" s="334">
        <v>0</v>
      </c>
    </row>
    <row r="86" spans="1:11" ht="14.4" customHeight="1" thickBot="1" x14ac:dyDescent="0.35">
      <c r="A86" s="352" t="s">
        <v>300</v>
      </c>
      <c r="B86" s="330">
        <v>10.905462068438</v>
      </c>
      <c r="C86" s="330">
        <v>4174.1495000000004</v>
      </c>
      <c r="D86" s="331">
        <v>4163.2440379315603</v>
      </c>
      <c r="E86" s="332">
        <v>382.75769277858302</v>
      </c>
      <c r="F86" s="330">
        <v>4783.4047378674404</v>
      </c>
      <c r="G86" s="331">
        <v>3188.9364919116301</v>
      </c>
      <c r="H86" s="333">
        <v>3.50217</v>
      </c>
      <c r="I86" s="330">
        <v>4207.2650100000001</v>
      </c>
      <c r="J86" s="331">
        <v>1018.3285180883699</v>
      </c>
      <c r="K86" s="334">
        <v>0.87955446811600002</v>
      </c>
    </row>
    <row r="87" spans="1:11" ht="14.4" customHeight="1" thickBot="1" x14ac:dyDescent="0.35">
      <c r="A87" s="351" t="s">
        <v>301</v>
      </c>
      <c r="B87" s="335">
        <v>0</v>
      </c>
      <c r="C87" s="335">
        <v>6.5244999999999997</v>
      </c>
      <c r="D87" s="336">
        <v>6.5244999999999997</v>
      </c>
      <c r="E87" s="337" t="s">
        <v>221</v>
      </c>
      <c r="F87" s="335">
        <v>2.821972807127</v>
      </c>
      <c r="G87" s="336">
        <v>1.881315204751</v>
      </c>
      <c r="H87" s="338">
        <v>0</v>
      </c>
      <c r="I87" s="335">
        <v>0</v>
      </c>
      <c r="J87" s="336">
        <v>-1.881315204751</v>
      </c>
      <c r="K87" s="343">
        <v>0</v>
      </c>
    </row>
    <row r="88" spans="1:11" ht="14.4" customHeight="1" thickBot="1" x14ac:dyDescent="0.35">
      <c r="A88" s="352" t="s">
        <v>302</v>
      </c>
      <c r="B88" s="330">
        <v>0</v>
      </c>
      <c r="C88" s="330">
        <v>0.77700000000000002</v>
      </c>
      <c r="D88" s="331">
        <v>0.77700000000000002</v>
      </c>
      <c r="E88" s="340" t="s">
        <v>221</v>
      </c>
      <c r="F88" s="330">
        <v>2.821972807127</v>
      </c>
      <c r="G88" s="331">
        <v>1.881315204751</v>
      </c>
      <c r="H88" s="333">
        <v>0</v>
      </c>
      <c r="I88" s="330">
        <v>0</v>
      </c>
      <c r="J88" s="331">
        <v>-1.881315204751</v>
      </c>
      <c r="K88" s="334">
        <v>0</v>
      </c>
    </row>
    <row r="89" spans="1:11" ht="14.4" customHeight="1" thickBot="1" x14ac:dyDescent="0.35">
      <c r="A89" s="352" t="s">
        <v>303</v>
      </c>
      <c r="B89" s="330">
        <v>0</v>
      </c>
      <c r="C89" s="330">
        <v>5.7474999999999996</v>
      </c>
      <c r="D89" s="331">
        <v>5.7474999999999996</v>
      </c>
      <c r="E89" s="340" t="s">
        <v>245</v>
      </c>
      <c r="F89" s="330">
        <v>0</v>
      </c>
      <c r="G89" s="331">
        <v>0</v>
      </c>
      <c r="H89" s="333">
        <v>0</v>
      </c>
      <c r="I89" s="330">
        <v>0</v>
      </c>
      <c r="J89" s="331">
        <v>0</v>
      </c>
      <c r="K89" s="334">
        <v>0</v>
      </c>
    </row>
    <row r="90" spans="1:11" ht="14.4" customHeight="1" thickBot="1" x14ac:dyDescent="0.35">
      <c r="A90" s="349" t="s">
        <v>35</v>
      </c>
      <c r="B90" s="330">
        <v>21080.104276682399</v>
      </c>
      <c r="C90" s="330">
        <v>23085.713660000001</v>
      </c>
      <c r="D90" s="331">
        <v>2005.6093833176201</v>
      </c>
      <c r="E90" s="332">
        <v>1.095142289477</v>
      </c>
      <c r="F90" s="330">
        <v>22867.9992797134</v>
      </c>
      <c r="G90" s="331">
        <v>15245.332853142299</v>
      </c>
      <c r="H90" s="333">
        <v>1974.3140599999999</v>
      </c>
      <c r="I90" s="330">
        <v>15903.97586</v>
      </c>
      <c r="J90" s="331">
        <v>658.64300685773003</v>
      </c>
      <c r="K90" s="334">
        <v>0.69546861819700001</v>
      </c>
    </row>
    <row r="91" spans="1:11" ht="14.4" customHeight="1" thickBot="1" x14ac:dyDescent="0.35">
      <c r="A91" s="355" t="s">
        <v>304</v>
      </c>
      <c r="B91" s="335">
        <v>15627.9999999997</v>
      </c>
      <c r="C91" s="335">
        <v>17114.232</v>
      </c>
      <c r="D91" s="336">
        <v>1486.2320000002901</v>
      </c>
      <c r="E91" s="342">
        <v>1.0951005886859999</v>
      </c>
      <c r="F91" s="335">
        <v>16951.999466053101</v>
      </c>
      <c r="G91" s="336">
        <v>11301.3329773687</v>
      </c>
      <c r="H91" s="338">
        <v>1463.117</v>
      </c>
      <c r="I91" s="335">
        <v>11793.687</v>
      </c>
      <c r="J91" s="336">
        <v>492.35402263127997</v>
      </c>
      <c r="K91" s="343">
        <v>0.69571067552300003</v>
      </c>
    </row>
    <row r="92" spans="1:11" ht="14.4" customHeight="1" thickBot="1" x14ac:dyDescent="0.35">
      <c r="A92" s="351" t="s">
        <v>305</v>
      </c>
      <c r="B92" s="335">
        <v>15575.9999999997</v>
      </c>
      <c r="C92" s="335">
        <v>17067.292000000001</v>
      </c>
      <c r="D92" s="336">
        <v>1491.29200000029</v>
      </c>
      <c r="E92" s="342">
        <v>1.0957429378529999</v>
      </c>
      <c r="F92" s="335">
        <v>16898.9994677225</v>
      </c>
      <c r="G92" s="336">
        <v>11265.9996451483</v>
      </c>
      <c r="H92" s="338">
        <v>1460.492</v>
      </c>
      <c r="I92" s="335">
        <v>11742.209000000001</v>
      </c>
      <c r="J92" s="336">
        <v>476.209354851699</v>
      </c>
      <c r="K92" s="343">
        <v>0.69484640332799996</v>
      </c>
    </row>
    <row r="93" spans="1:11" ht="14.4" customHeight="1" thickBot="1" x14ac:dyDescent="0.35">
      <c r="A93" s="352" t="s">
        <v>306</v>
      </c>
      <c r="B93" s="330">
        <v>15575.9999999997</v>
      </c>
      <c r="C93" s="330">
        <v>17067.292000000001</v>
      </c>
      <c r="D93" s="331">
        <v>1491.29200000029</v>
      </c>
      <c r="E93" s="332">
        <v>1.0957429378529999</v>
      </c>
      <c r="F93" s="330">
        <v>16898.9994677225</v>
      </c>
      <c r="G93" s="331">
        <v>11265.9996451483</v>
      </c>
      <c r="H93" s="333">
        <v>1460.492</v>
      </c>
      <c r="I93" s="330">
        <v>11742.209000000001</v>
      </c>
      <c r="J93" s="331">
        <v>476.209354851699</v>
      </c>
      <c r="K93" s="334">
        <v>0.69484640332799996</v>
      </c>
    </row>
    <row r="94" spans="1:11" ht="14.4" customHeight="1" thickBot="1" x14ac:dyDescent="0.35">
      <c r="A94" s="351" t="s">
        <v>307</v>
      </c>
      <c r="B94" s="335">
        <v>51.999999999998998</v>
      </c>
      <c r="C94" s="335">
        <v>46.94</v>
      </c>
      <c r="D94" s="336">
        <v>-5.0599999999990004</v>
      </c>
      <c r="E94" s="342">
        <v>0.90269230769200004</v>
      </c>
      <c r="F94" s="335">
        <v>52.999998330628003</v>
      </c>
      <c r="G94" s="336">
        <v>35.333332220418001</v>
      </c>
      <c r="H94" s="338">
        <v>2.625</v>
      </c>
      <c r="I94" s="335">
        <v>51.478000000000002</v>
      </c>
      <c r="J94" s="336">
        <v>16.144667779580999</v>
      </c>
      <c r="K94" s="343">
        <v>0.97128304945999999</v>
      </c>
    </row>
    <row r="95" spans="1:11" ht="14.4" customHeight="1" thickBot="1" x14ac:dyDescent="0.35">
      <c r="A95" s="352" t="s">
        <v>308</v>
      </c>
      <c r="B95" s="330">
        <v>51.999999999998998</v>
      </c>
      <c r="C95" s="330">
        <v>46.94</v>
      </c>
      <c r="D95" s="331">
        <v>-5.0599999999990004</v>
      </c>
      <c r="E95" s="332">
        <v>0.90269230769200004</v>
      </c>
      <c r="F95" s="330">
        <v>52.999998330628003</v>
      </c>
      <c r="G95" s="331">
        <v>35.333332220418001</v>
      </c>
      <c r="H95" s="333">
        <v>2.625</v>
      </c>
      <c r="I95" s="330">
        <v>51.478000000000002</v>
      </c>
      <c r="J95" s="331">
        <v>16.144667779580999</v>
      </c>
      <c r="K95" s="334">
        <v>0.97128304945999999</v>
      </c>
    </row>
    <row r="96" spans="1:11" ht="14.4" customHeight="1" thickBot="1" x14ac:dyDescent="0.35">
      <c r="A96" s="350" t="s">
        <v>309</v>
      </c>
      <c r="B96" s="330">
        <v>5296.1042766826804</v>
      </c>
      <c r="C96" s="330">
        <v>5800.2638299999999</v>
      </c>
      <c r="D96" s="331">
        <v>504.15955331732101</v>
      </c>
      <c r="E96" s="332">
        <v>1.095194415928</v>
      </c>
      <c r="F96" s="330">
        <v>5746.9998189834296</v>
      </c>
      <c r="G96" s="331">
        <v>3831.3332126556202</v>
      </c>
      <c r="H96" s="333">
        <v>496.56639999999999</v>
      </c>
      <c r="I96" s="330">
        <v>3992.3526499999998</v>
      </c>
      <c r="J96" s="331">
        <v>161.01943734438399</v>
      </c>
      <c r="K96" s="334">
        <v>0.69468466604300005</v>
      </c>
    </row>
    <row r="97" spans="1:11" ht="14.4" customHeight="1" thickBot="1" x14ac:dyDescent="0.35">
      <c r="A97" s="351" t="s">
        <v>310</v>
      </c>
      <c r="B97" s="335">
        <v>1402.10427668276</v>
      </c>
      <c r="C97" s="335">
        <v>1536.1835799999999</v>
      </c>
      <c r="D97" s="336">
        <v>134.079303317241</v>
      </c>
      <c r="E97" s="342">
        <v>1.095627198024</v>
      </c>
      <c r="F97" s="335">
        <v>1521.99995206069</v>
      </c>
      <c r="G97" s="336">
        <v>1014.66663470713</v>
      </c>
      <c r="H97" s="338">
        <v>131.4434</v>
      </c>
      <c r="I97" s="335">
        <v>1056.8004000000001</v>
      </c>
      <c r="J97" s="336">
        <v>42.133765292874003</v>
      </c>
      <c r="K97" s="343">
        <v>0.69434982476100005</v>
      </c>
    </row>
    <row r="98" spans="1:11" ht="14.4" customHeight="1" thickBot="1" x14ac:dyDescent="0.35">
      <c r="A98" s="352" t="s">
        <v>311</v>
      </c>
      <c r="B98" s="330">
        <v>1402.10427668276</v>
      </c>
      <c r="C98" s="330">
        <v>1536.1835799999999</v>
      </c>
      <c r="D98" s="331">
        <v>134.079303317241</v>
      </c>
      <c r="E98" s="332">
        <v>1.095627198024</v>
      </c>
      <c r="F98" s="330">
        <v>1521.99995206069</v>
      </c>
      <c r="G98" s="331">
        <v>1014.66663470713</v>
      </c>
      <c r="H98" s="333">
        <v>131.4434</v>
      </c>
      <c r="I98" s="330">
        <v>1056.8004000000001</v>
      </c>
      <c r="J98" s="331">
        <v>42.133765292874003</v>
      </c>
      <c r="K98" s="334">
        <v>0.69434982476100005</v>
      </c>
    </row>
    <row r="99" spans="1:11" ht="14.4" customHeight="1" thickBot="1" x14ac:dyDescent="0.35">
      <c r="A99" s="351" t="s">
        <v>312</v>
      </c>
      <c r="B99" s="335">
        <v>3893.99999999992</v>
      </c>
      <c r="C99" s="335">
        <v>4264.08025</v>
      </c>
      <c r="D99" s="336">
        <v>370.08025000008001</v>
      </c>
      <c r="E99" s="342">
        <v>1.0950385850019999</v>
      </c>
      <c r="F99" s="335">
        <v>4224.9998669227398</v>
      </c>
      <c r="G99" s="336">
        <v>2816.6665779484902</v>
      </c>
      <c r="H99" s="338">
        <v>365.12299999999999</v>
      </c>
      <c r="I99" s="335">
        <v>2935.5522500000002</v>
      </c>
      <c r="J99" s="336">
        <v>118.885672051508</v>
      </c>
      <c r="K99" s="343">
        <v>0.69480528815599996</v>
      </c>
    </row>
    <row r="100" spans="1:11" ht="14.4" customHeight="1" thickBot="1" x14ac:dyDescent="0.35">
      <c r="A100" s="352" t="s">
        <v>313</v>
      </c>
      <c r="B100" s="330">
        <v>3893.99999999992</v>
      </c>
      <c r="C100" s="330">
        <v>4264.08025</v>
      </c>
      <c r="D100" s="331">
        <v>370.08025000008001</v>
      </c>
      <c r="E100" s="332">
        <v>1.0950385850019999</v>
      </c>
      <c r="F100" s="330">
        <v>4224.9998669227398</v>
      </c>
      <c r="G100" s="331">
        <v>2816.6665779484902</v>
      </c>
      <c r="H100" s="333">
        <v>365.12299999999999</v>
      </c>
      <c r="I100" s="330">
        <v>2935.5522500000002</v>
      </c>
      <c r="J100" s="331">
        <v>118.885672051508</v>
      </c>
      <c r="K100" s="334">
        <v>0.69480528815599996</v>
      </c>
    </row>
    <row r="101" spans="1:11" ht="14.4" customHeight="1" thickBot="1" x14ac:dyDescent="0.35">
      <c r="A101" s="350" t="s">
        <v>314</v>
      </c>
      <c r="B101" s="330">
        <v>155.99999999999699</v>
      </c>
      <c r="C101" s="330">
        <v>171.21782999999999</v>
      </c>
      <c r="D101" s="331">
        <v>15.217830000003</v>
      </c>
      <c r="E101" s="332">
        <v>1.0975501923069999</v>
      </c>
      <c r="F101" s="330">
        <v>168.99999467691001</v>
      </c>
      <c r="G101" s="331">
        <v>112.66666311794</v>
      </c>
      <c r="H101" s="333">
        <v>14.630660000000001</v>
      </c>
      <c r="I101" s="330">
        <v>117.93621</v>
      </c>
      <c r="J101" s="331">
        <v>5.2695468820600002</v>
      </c>
      <c r="K101" s="334">
        <v>0.69784741842999998</v>
      </c>
    </row>
    <row r="102" spans="1:11" ht="14.4" customHeight="1" thickBot="1" x14ac:dyDescent="0.35">
      <c r="A102" s="351" t="s">
        <v>315</v>
      </c>
      <c r="B102" s="335">
        <v>155.99999999999699</v>
      </c>
      <c r="C102" s="335">
        <v>171.21782999999999</v>
      </c>
      <c r="D102" s="336">
        <v>15.217830000003</v>
      </c>
      <c r="E102" s="342">
        <v>1.0975501923069999</v>
      </c>
      <c r="F102" s="335">
        <v>168.99999467691001</v>
      </c>
      <c r="G102" s="336">
        <v>112.66666311794</v>
      </c>
      <c r="H102" s="338">
        <v>14.630660000000001</v>
      </c>
      <c r="I102" s="335">
        <v>117.93621</v>
      </c>
      <c r="J102" s="336">
        <v>5.2695468820600002</v>
      </c>
      <c r="K102" s="343">
        <v>0.69784741842999998</v>
      </c>
    </row>
    <row r="103" spans="1:11" ht="14.4" customHeight="1" thickBot="1" x14ac:dyDescent="0.35">
      <c r="A103" s="352" t="s">
        <v>316</v>
      </c>
      <c r="B103" s="330">
        <v>155.99999999999699</v>
      </c>
      <c r="C103" s="330">
        <v>171.21782999999999</v>
      </c>
      <c r="D103" s="331">
        <v>15.217830000003</v>
      </c>
      <c r="E103" s="332">
        <v>1.0975501923069999</v>
      </c>
      <c r="F103" s="330">
        <v>168.99999467691001</v>
      </c>
      <c r="G103" s="331">
        <v>112.66666311794</v>
      </c>
      <c r="H103" s="333">
        <v>14.630660000000001</v>
      </c>
      <c r="I103" s="330">
        <v>117.93621</v>
      </c>
      <c r="J103" s="331">
        <v>5.2695468820600002</v>
      </c>
      <c r="K103" s="334">
        <v>0.69784741842999998</v>
      </c>
    </row>
    <row r="104" spans="1:11" ht="14.4" customHeight="1" thickBot="1" x14ac:dyDescent="0.35">
      <c r="A104" s="349" t="s">
        <v>317</v>
      </c>
      <c r="B104" s="330">
        <v>0</v>
      </c>
      <c r="C104" s="330">
        <v>42.719099999999997</v>
      </c>
      <c r="D104" s="331">
        <v>42.719099999999997</v>
      </c>
      <c r="E104" s="340" t="s">
        <v>221</v>
      </c>
      <c r="F104" s="330">
        <v>0</v>
      </c>
      <c r="G104" s="331">
        <v>0</v>
      </c>
      <c r="H104" s="333">
        <v>0.14874999999999999</v>
      </c>
      <c r="I104" s="330">
        <v>28.297750000000001</v>
      </c>
      <c r="J104" s="331">
        <v>28.297750000000001</v>
      </c>
      <c r="K104" s="341" t="s">
        <v>221</v>
      </c>
    </row>
    <row r="105" spans="1:11" ht="14.4" customHeight="1" thickBot="1" x14ac:dyDescent="0.35">
      <c r="A105" s="350" t="s">
        <v>318</v>
      </c>
      <c r="B105" s="330">
        <v>0</v>
      </c>
      <c r="C105" s="330">
        <v>42.719099999999997</v>
      </c>
      <c r="D105" s="331">
        <v>42.719099999999997</v>
      </c>
      <c r="E105" s="340" t="s">
        <v>221</v>
      </c>
      <c r="F105" s="330">
        <v>0</v>
      </c>
      <c r="G105" s="331">
        <v>0</v>
      </c>
      <c r="H105" s="333">
        <v>0.14874999999999999</v>
      </c>
      <c r="I105" s="330">
        <v>28.297750000000001</v>
      </c>
      <c r="J105" s="331">
        <v>28.297750000000001</v>
      </c>
      <c r="K105" s="341" t="s">
        <v>221</v>
      </c>
    </row>
    <row r="106" spans="1:11" ht="14.4" customHeight="1" thickBot="1" x14ac:dyDescent="0.35">
      <c r="A106" s="351" t="s">
        <v>319</v>
      </c>
      <c r="B106" s="335">
        <v>0</v>
      </c>
      <c r="C106" s="335">
        <v>31.508949999999999</v>
      </c>
      <c r="D106" s="336">
        <v>31.508949999999999</v>
      </c>
      <c r="E106" s="337" t="s">
        <v>221</v>
      </c>
      <c r="F106" s="335">
        <v>0</v>
      </c>
      <c r="G106" s="336">
        <v>0</v>
      </c>
      <c r="H106" s="338">
        <v>0.14874999999999999</v>
      </c>
      <c r="I106" s="335">
        <v>27.297750000000001</v>
      </c>
      <c r="J106" s="336">
        <v>27.297750000000001</v>
      </c>
      <c r="K106" s="339" t="s">
        <v>221</v>
      </c>
    </row>
    <row r="107" spans="1:11" ht="14.4" customHeight="1" thickBot="1" x14ac:dyDescent="0.35">
      <c r="A107" s="352" t="s">
        <v>320</v>
      </c>
      <c r="B107" s="330">
        <v>0</v>
      </c>
      <c r="C107" s="330">
        <v>0.58094999999999997</v>
      </c>
      <c r="D107" s="331">
        <v>0.58094999999999997</v>
      </c>
      <c r="E107" s="340" t="s">
        <v>221</v>
      </c>
      <c r="F107" s="330">
        <v>0</v>
      </c>
      <c r="G107" s="331">
        <v>0</v>
      </c>
      <c r="H107" s="333">
        <v>0.14874999999999999</v>
      </c>
      <c r="I107" s="330">
        <v>2.2057500000000001</v>
      </c>
      <c r="J107" s="331">
        <v>2.2057500000000001</v>
      </c>
      <c r="K107" s="341" t="s">
        <v>221</v>
      </c>
    </row>
    <row r="108" spans="1:11" ht="14.4" customHeight="1" thickBot="1" x14ac:dyDescent="0.35">
      <c r="A108" s="352" t="s">
        <v>321</v>
      </c>
      <c r="B108" s="330">
        <v>0</v>
      </c>
      <c r="C108" s="330">
        <v>30.928000000000001</v>
      </c>
      <c r="D108" s="331">
        <v>30.928000000000001</v>
      </c>
      <c r="E108" s="340" t="s">
        <v>221</v>
      </c>
      <c r="F108" s="330">
        <v>0</v>
      </c>
      <c r="G108" s="331">
        <v>0</v>
      </c>
      <c r="H108" s="333">
        <v>0</v>
      </c>
      <c r="I108" s="330">
        <v>25.091999999999999</v>
      </c>
      <c r="J108" s="331">
        <v>25.091999999999999</v>
      </c>
      <c r="K108" s="341" t="s">
        <v>221</v>
      </c>
    </row>
    <row r="109" spans="1:11" ht="14.4" customHeight="1" thickBot="1" x14ac:dyDescent="0.35">
      <c r="A109" s="351" t="s">
        <v>322</v>
      </c>
      <c r="B109" s="335">
        <v>0</v>
      </c>
      <c r="C109" s="335">
        <v>0.95014999999899996</v>
      </c>
      <c r="D109" s="336">
        <v>0.95014999999899996</v>
      </c>
      <c r="E109" s="337" t="s">
        <v>245</v>
      </c>
      <c r="F109" s="335">
        <v>0</v>
      </c>
      <c r="G109" s="336">
        <v>0</v>
      </c>
      <c r="H109" s="338">
        <v>0</v>
      </c>
      <c r="I109" s="335">
        <v>0</v>
      </c>
      <c r="J109" s="336">
        <v>0</v>
      </c>
      <c r="K109" s="339" t="s">
        <v>221</v>
      </c>
    </row>
    <row r="110" spans="1:11" ht="14.4" customHeight="1" thickBot="1" x14ac:dyDescent="0.35">
      <c r="A110" s="352" t="s">
        <v>323</v>
      </c>
      <c r="B110" s="330">
        <v>0</v>
      </c>
      <c r="C110" s="330">
        <v>0.95014999999899996</v>
      </c>
      <c r="D110" s="331">
        <v>0.95014999999899996</v>
      </c>
      <c r="E110" s="340" t="s">
        <v>245</v>
      </c>
      <c r="F110" s="330">
        <v>0</v>
      </c>
      <c r="G110" s="331">
        <v>0</v>
      </c>
      <c r="H110" s="333">
        <v>0</v>
      </c>
      <c r="I110" s="330">
        <v>0</v>
      </c>
      <c r="J110" s="331">
        <v>0</v>
      </c>
      <c r="K110" s="341" t="s">
        <v>221</v>
      </c>
    </row>
    <row r="111" spans="1:11" ht="14.4" customHeight="1" thickBot="1" x14ac:dyDescent="0.35">
      <c r="A111" s="354" t="s">
        <v>324</v>
      </c>
      <c r="B111" s="330">
        <v>0</v>
      </c>
      <c r="C111" s="330">
        <v>10.26</v>
      </c>
      <c r="D111" s="331">
        <v>10.26</v>
      </c>
      <c r="E111" s="340" t="s">
        <v>245</v>
      </c>
      <c r="F111" s="330">
        <v>0</v>
      </c>
      <c r="G111" s="331">
        <v>0</v>
      </c>
      <c r="H111" s="333">
        <v>0</v>
      </c>
      <c r="I111" s="330">
        <v>1</v>
      </c>
      <c r="J111" s="331">
        <v>1</v>
      </c>
      <c r="K111" s="341" t="s">
        <v>221</v>
      </c>
    </row>
    <row r="112" spans="1:11" ht="14.4" customHeight="1" thickBot="1" x14ac:dyDescent="0.35">
      <c r="A112" s="352" t="s">
        <v>325</v>
      </c>
      <c r="B112" s="330">
        <v>0</v>
      </c>
      <c r="C112" s="330">
        <v>10.26</v>
      </c>
      <c r="D112" s="331">
        <v>10.26</v>
      </c>
      <c r="E112" s="340" t="s">
        <v>245</v>
      </c>
      <c r="F112" s="330">
        <v>0</v>
      </c>
      <c r="G112" s="331">
        <v>0</v>
      </c>
      <c r="H112" s="333">
        <v>0</v>
      </c>
      <c r="I112" s="330">
        <v>1</v>
      </c>
      <c r="J112" s="331">
        <v>1</v>
      </c>
      <c r="K112" s="341" t="s">
        <v>221</v>
      </c>
    </row>
    <row r="113" spans="1:11" ht="14.4" customHeight="1" thickBot="1" x14ac:dyDescent="0.35">
      <c r="A113" s="349" t="s">
        <v>326</v>
      </c>
      <c r="B113" s="330">
        <v>20186.963161780001</v>
      </c>
      <c r="C113" s="330">
        <v>20748.079659999999</v>
      </c>
      <c r="D113" s="331">
        <v>561.11649821997696</v>
      </c>
      <c r="E113" s="332">
        <v>1.027795983661</v>
      </c>
      <c r="F113" s="330">
        <v>19901.0028991049</v>
      </c>
      <c r="G113" s="331">
        <v>13267.33526607</v>
      </c>
      <c r="H113" s="333">
        <v>1651.6</v>
      </c>
      <c r="I113" s="330">
        <v>13412.226849999999</v>
      </c>
      <c r="J113" s="331">
        <v>144.89158393004399</v>
      </c>
      <c r="K113" s="334">
        <v>0.67394728386199998</v>
      </c>
    </row>
    <row r="114" spans="1:11" ht="14.4" customHeight="1" thickBot="1" x14ac:dyDescent="0.35">
      <c r="A114" s="350" t="s">
        <v>327</v>
      </c>
      <c r="B114" s="330">
        <v>20146.963161780001</v>
      </c>
      <c r="C114" s="330">
        <v>20354.355</v>
      </c>
      <c r="D114" s="331">
        <v>207.39183821997699</v>
      </c>
      <c r="E114" s="332">
        <v>1.010293950336</v>
      </c>
      <c r="F114" s="330">
        <v>19867.0028991049</v>
      </c>
      <c r="G114" s="331">
        <v>13244.6685994033</v>
      </c>
      <c r="H114" s="333">
        <v>1631.95</v>
      </c>
      <c r="I114" s="330">
        <v>13246.611999999999</v>
      </c>
      <c r="J114" s="331">
        <v>1.9434005967100001</v>
      </c>
      <c r="K114" s="334">
        <v>0.66676448718799997</v>
      </c>
    </row>
    <row r="115" spans="1:11" ht="14.4" customHeight="1" thickBot="1" x14ac:dyDescent="0.35">
      <c r="A115" s="351" t="s">
        <v>328</v>
      </c>
      <c r="B115" s="335">
        <v>20146.963161780001</v>
      </c>
      <c r="C115" s="335">
        <v>20354.355</v>
      </c>
      <c r="D115" s="336">
        <v>207.39183821997699</v>
      </c>
      <c r="E115" s="342">
        <v>1.010293950336</v>
      </c>
      <c r="F115" s="335">
        <v>19867.0028991049</v>
      </c>
      <c r="G115" s="336">
        <v>13244.6685994033</v>
      </c>
      <c r="H115" s="338">
        <v>1631.95</v>
      </c>
      <c r="I115" s="335">
        <v>13246.611999999999</v>
      </c>
      <c r="J115" s="336">
        <v>1.9434005967100001</v>
      </c>
      <c r="K115" s="343">
        <v>0.66676448718799997</v>
      </c>
    </row>
    <row r="116" spans="1:11" ht="14.4" customHeight="1" thickBot="1" x14ac:dyDescent="0.35">
      <c r="A116" s="352" t="s">
        <v>329</v>
      </c>
      <c r="B116" s="330">
        <v>345.98625349666401</v>
      </c>
      <c r="C116" s="330">
        <v>351.27800000000002</v>
      </c>
      <c r="D116" s="331">
        <v>5.2917465033360003</v>
      </c>
      <c r="E116" s="332">
        <v>1.015294672692</v>
      </c>
      <c r="F116" s="330">
        <v>359.99998866086599</v>
      </c>
      <c r="G116" s="331">
        <v>239.99999244057699</v>
      </c>
      <c r="H116" s="333">
        <v>29.995999999999999</v>
      </c>
      <c r="I116" s="330">
        <v>239.96799999999999</v>
      </c>
      <c r="J116" s="331">
        <v>-3.1992440576000002E-2</v>
      </c>
      <c r="K116" s="334">
        <v>0.66657779877300005</v>
      </c>
    </row>
    <row r="117" spans="1:11" ht="14.4" customHeight="1" thickBot="1" x14ac:dyDescent="0.35">
      <c r="A117" s="352" t="s">
        <v>330</v>
      </c>
      <c r="B117" s="330">
        <v>6724.9999999998799</v>
      </c>
      <c r="C117" s="330">
        <v>6925.0079999999998</v>
      </c>
      <c r="D117" s="331">
        <v>200.00800000012501</v>
      </c>
      <c r="E117" s="332">
        <v>1.0297409665420001</v>
      </c>
      <c r="F117" s="330">
        <v>6955.99978090272</v>
      </c>
      <c r="G117" s="331">
        <v>4637.3331872684803</v>
      </c>
      <c r="H117" s="333">
        <v>583.32899999999995</v>
      </c>
      <c r="I117" s="330">
        <v>4662.067</v>
      </c>
      <c r="J117" s="331">
        <v>24.733812731516998</v>
      </c>
      <c r="K117" s="334">
        <v>0.67022241904000002</v>
      </c>
    </row>
    <row r="118" spans="1:11" ht="14.4" customHeight="1" thickBot="1" x14ac:dyDescent="0.35">
      <c r="A118" s="352" t="s">
        <v>331</v>
      </c>
      <c r="B118" s="330">
        <v>426.00356411090002</v>
      </c>
      <c r="C118" s="330">
        <v>426.09500000000003</v>
      </c>
      <c r="D118" s="331">
        <v>9.1435889098999995E-2</v>
      </c>
      <c r="E118" s="332">
        <v>1.0002146364410001</v>
      </c>
      <c r="F118" s="330">
        <v>420.003283155166</v>
      </c>
      <c r="G118" s="331">
        <v>280.00218877011099</v>
      </c>
      <c r="H118" s="333">
        <v>34.866999999999997</v>
      </c>
      <c r="I118" s="330">
        <v>280.85599999999999</v>
      </c>
      <c r="J118" s="331">
        <v>0.85381122988900005</v>
      </c>
      <c r="K118" s="334">
        <v>0.66869953465599996</v>
      </c>
    </row>
    <row r="119" spans="1:11" ht="14.4" customHeight="1" thickBot="1" x14ac:dyDescent="0.35">
      <c r="A119" s="352" t="s">
        <v>332</v>
      </c>
      <c r="B119" s="330">
        <v>2163.9733441727699</v>
      </c>
      <c r="C119" s="330">
        <v>2165.0259999999998</v>
      </c>
      <c r="D119" s="331">
        <v>1.0526558272269999</v>
      </c>
      <c r="E119" s="332">
        <v>1.0004864458380001</v>
      </c>
      <c r="F119" s="330">
        <v>2166.99993174471</v>
      </c>
      <c r="G119" s="331">
        <v>1444.66662116314</v>
      </c>
      <c r="H119" s="333">
        <v>180.56899999999999</v>
      </c>
      <c r="I119" s="330">
        <v>1444.5519999999999</v>
      </c>
      <c r="J119" s="331">
        <v>-0.11462116314</v>
      </c>
      <c r="K119" s="334">
        <v>0.66661377272699995</v>
      </c>
    </row>
    <row r="120" spans="1:11" ht="14.4" customHeight="1" thickBot="1" x14ac:dyDescent="0.35">
      <c r="A120" s="352" t="s">
        <v>333</v>
      </c>
      <c r="B120" s="330">
        <v>9736.9999999998308</v>
      </c>
      <c r="C120" s="330">
        <v>9737.5630000000001</v>
      </c>
      <c r="D120" s="331">
        <v>0.56300000017399998</v>
      </c>
      <c r="E120" s="332">
        <v>1.0000578206840001</v>
      </c>
      <c r="F120" s="330">
        <v>9741.9999216339402</v>
      </c>
      <c r="G120" s="331">
        <v>6494.6666144226301</v>
      </c>
      <c r="H120" s="333">
        <v>800.81100000000004</v>
      </c>
      <c r="I120" s="330">
        <v>6406.5219999999999</v>
      </c>
      <c r="J120" s="331">
        <v>-88.144614422624002</v>
      </c>
      <c r="K120" s="334">
        <v>0.65761876940399999</v>
      </c>
    </row>
    <row r="121" spans="1:11" ht="14.4" customHeight="1" thickBot="1" x14ac:dyDescent="0.35">
      <c r="A121" s="352" t="s">
        <v>334</v>
      </c>
      <c r="B121" s="330">
        <v>748.99999999998602</v>
      </c>
      <c r="C121" s="330">
        <v>749.38499999999999</v>
      </c>
      <c r="D121" s="331">
        <v>0.38500000001399998</v>
      </c>
      <c r="E121" s="332">
        <v>1.000514018691</v>
      </c>
      <c r="F121" s="330">
        <v>221.99999300753399</v>
      </c>
      <c r="G121" s="331">
        <v>147.999995338356</v>
      </c>
      <c r="H121" s="333">
        <v>2.3780000000000001</v>
      </c>
      <c r="I121" s="330">
        <v>212.64699999999999</v>
      </c>
      <c r="J121" s="331">
        <v>64.647004661644004</v>
      </c>
      <c r="K121" s="334">
        <v>0.95786939953899997</v>
      </c>
    </row>
    <row r="122" spans="1:11" ht="14.4" customHeight="1" thickBot="1" x14ac:dyDescent="0.35">
      <c r="A122" s="350" t="s">
        <v>335</v>
      </c>
      <c r="B122" s="330">
        <v>40</v>
      </c>
      <c r="C122" s="330">
        <v>393.72465999999997</v>
      </c>
      <c r="D122" s="331">
        <v>353.72465999999997</v>
      </c>
      <c r="E122" s="332">
        <v>9.8431165000000007</v>
      </c>
      <c r="F122" s="330">
        <v>34</v>
      </c>
      <c r="G122" s="331">
        <v>22.666666666666</v>
      </c>
      <c r="H122" s="333">
        <v>19.649999999999999</v>
      </c>
      <c r="I122" s="330">
        <v>165.61484999999999</v>
      </c>
      <c r="J122" s="331">
        <v>142.94818333333299</v>
      </c>
      <c r="K122" s="334">
        <v>4.8710250000000004</v>
      </c>
    </row>
    <row r="123" spans="1:11" ht="14.4" customHeight="1" thickBot="1" x14ac:dyDescent="0.35">
      <c r="A123" s="351" t="s">
        <v>336</v>
      </c>
      <c r="B123" s="335">
        <v>40</v>
      </c>
      <c r="C123" s="335">
        <v>259.59710999999999</v>
      </c>
      <c r="D123" s="336">
        <v>219.59710999999999</v>
      </c>
      <c r="E123" s="342">
        <v>6.4899277499999997</v>
      </c>
      <c r="F123" s="335">
        <v>34</v>
      </c>
      <c r="G123" s="336">
        <v>22.666666666666</v>
      </c>
      <c r="H123" s="338">
        <v>0</v>
      </c>
      <c r="I123" s="335">
        <v>145.96485000000001</v>
      </c>
      <c r="J123" s="336">
        <v>123.298183333333</v>
      </c>
      <c r="K123" s="343">
        <v>4.2930838235289999</v>
      </c>
    </row>
    <row r="124" spans="1:11" ht="14.4" customHeight="1" thickBot="1" x14ac:dyDescent="0.35">
      <c r="A124" s="352" t="s">
        <v>337</v>
      </c>
      <c r="B124" s="330">
        <v>40</v>
      </c>
      <c r="C124" s="330">
        <v>174.79884999999999</v>
      </c>
      <c r="D124" s="331">
        <v>134.79884999999999</v>
      </c>
      <c r="E124" s="332">
        <v>4.3699712499999999</v>
      </c>
      <c r="F124" s="330">
        <v>34</v>
      </c>
      <c r="G124" s="331">
        <v>22.666666666666</v>
      </c>
      <c r="H124" s="333">
        <v>0</v>
      </c>
      <c r="I124" s="330">
        <v>87.425129999999996</v>
      </c>
      <c r="J124" s="331">
        <v>64.758463333332998</v>
      </c>
      <c r="K124" s="334">
        <v>2.5713273529410001</v>
      </c>
    </row>
    <row r="125" spans="1:11" ht="14.4" customHeight="1" thickBot="1" x14ac:dyDescent="0.35">
      <c r="A125" s="352" t="s">
        <v>338</v>
      </c>
      <c r="B125" s="330">
        <v>0</v>
      </c>
      <c r="C125" s="330">
        <v>84.798259999999999</v>
      </c>
      <c r="D125" s="331">
        <v>84.798259999999999</v>
      </c>
      <c r="E125" s="340" t="s">
        <v>221</v>
      </c>
      <c r="F125" s="330">
        <v>0</v>
      </c>
      <c r="G125" s="331">
        <v>0</v>
      </c>
      <c r="H125" s="333">
        <v>0</v>
      </c>
      <c r="I125" s="330">
        <v>58.539720000000003</v>
      </c>
      <c r="J125" s="331">
        <v>58.539720000000003</v>
      </c>
      <c r="K125" s="341" t="s">
        <v>245</v>
      </c>
    </row>
    <row r="126" spans="1:11" ht="14.4" customHeight="1" thickBot="1" x14ac:dyDescent="0.35">
      <c r="A126" s="351" t="s">
        <v>339</v>
      </c>
      <c r="B126" s="335">
        <v>0</v>
      </c>
      <c r="C126" s="335">
        <v>110.06908</v>
      </c>
      <c r="D126" s="336">
        <v>110.06908</v>
      </c>
      <c r="E126" s="337" t="s">
        <v>221</v>
      </c>
      <c r="F126" s="335">
        <v>0</v>
      </c>
      <c r="G126" s="336">
        <v>0</v>
      </c>
      <c r="H126" s="338">
        <v>0</v>
      </c>
      <c r="I126" s="335">
        <v>0</v>
      </c>
      <c r="J126" s="336">
        <v>0</v>
      </c>
      <c r="K126" s="343">
        <v>0</v>
      </c>
    </row>
    <row r="127" spans="1:11" ht="14.4" customHeight="1" thickBot="1" x14ac:dyDescent="0.35">
      <c r="A127" s="352" t="s">
        <v>340</v>
      </c>
      <c r="B127" s="330">
        <v>0</v>
      </c>
      <c r="C127" s="330">
        <v>110.06908</v>
      </c>
      <c r="D127" s="331">
        <v>110.06908</v>
      </c>
      <c r="E127" s="340" t="s">
        <v>221</v>
      </c>
      <c r="F127" s="330">
        <v>0</v>
      </c>
      <c r="G127" s="331">
        <v>0</v>
      </c>
      <c r="H127" s="333">
        <v>0</v>
      </c>
      <c r="I127" s="330">
        <v>0</v>
      </c>
      <c r="J127" s="331">
        <v>0</v>
      </c>
      <c r="K127" s="334">
        <v>0</v>
      </c>
    </row>
    <row r="128" spans="1:11" ht="14.4" customHeight="1" thickBot="1" x14ac:dyDescent="0.35">
      <c r="A128" s="351" t="s">
        <v>341</v>
      </c>
      <c r="B128" s="335">
        <v>0</v>
      </c>
      <c r="C128" s="335">
        <v>18.158470000000001</v>
      </c>
      <c r="D128" s="336">
        <v>18.158470000000001</v>
      </c>
      <c r="E128" s="337" t="s">
        <v>221</v>
      </c>
      <c r="F128" s="335">
        <v>0</v>
      </c>
      <c r="G128" s="336">
        <v>0</v>
      </c>
      <c r="H128" s="338">
        <v>19.649999999999999</v>
      </c>
      <c r="I128" s="335">
        <v>19.649999999999999</v>
      </c>
      <c r="J128" s="336">
        <v>19.649999999999999</v>
      </c>
      <c r="K128" s="339" t="s">
        <v>221</v>
      </c>
    </row>
    <row r="129" spans="1:11" ht="14.4" customHeight="1" thickBot="1" x14ac:dyDescent="0.35">
      <c r="A129" s="352" t="s">
        <v>342</v>
      </c>
      <c r="B129" s="330">
        <v>0</v>
      </c>
      <c r="C129" s="330">
        <v>18.158470000000001</v>
      </c>
      <c r="D129" s="331">
        <v>18.158470000000001</v>
      </c>
      <c r="E129" s="340" t="s">
        <v>221</v>
      </c>
      <c r="F129" s="330">
        <v>0</v>
      </c>
      <c r="G129" s="331">
        <v>0</v>
      </c>
      <c r="H129" s="333">
        <v>19.649999999999999</v>
      </c>
      <c r="I129" s="330">
        <v>19.649999999999999</v>
      </c>
      <c r="J129" s="331">
        <v>19.649999999999999</v>
      </c>
      <c r="K129" s="341" t="s">
        <v>221</v>
      </c>
    </row>
    <row r="130" spans="1:11" ht="14.4" customHeight="1" thickBot="1" x14ac:dyDescent="0.35">
      <c r="A130" s="351" t="s">
        <v>343</v>
      </c>
      <c r="B130" s="335">
        <v>0</v>
      </c>
      <c r="C130" s="335">
        <v>5.9</v>
      </c>
      <c r="D130" s="336">
        <v>5.9</v>
      </c>
      <c r="E130" s="337" t="s">
        <v>245</v>
      </c>
      <c r="F130" s="335">
        <v>0</v>
      </c>
      <c r="G130" s="336">
        <v>0</v>
      </c>
      <c r="H130" s="338">
        <v>0</v>
      </c>
      <c r="I130" s="335">
        <v>0</v>
      </c>
      <c r="J130" s="336">
        <v>0</v>
      </c>
      <c r="K130" s="339" t="s">
        <v>221</v>
      </c>
    </row>
    <row r="131" spans="1:11" ht="14.4" customHeight="1" thickBot="1" x14ac:dyDescent="0.35">
      <c r="A131" s="352" t="s">
        <v>344</v>
      </c>
      <c r="B131" s="330">
        <v>0</v>
      </c>
      <c r="C131" s="330">
        <v>5.9</v>
      </c>
      <c r="D131" s="331">
        <v>5.9</v>
      </c>
      <c r="E131" s="340" t="s">
        <v>245</v>
      </c>
      <c r="F131" s="330">
        <v>0</v>
      </c>
      <c r="G131" s="331">
        <v>0</v>
      </c>
      <c r="H131" s="333">
        <v>0</v>
      </c>
      <c r="I131" s="330">
        <v>0</v>
      </c>
      <c r="J131" s="331">
        <v>0</v>
      </c>
      <c r="K131" s="341" t="s">
        <v>221</v>
      </c>
    </row>
    <row r="132" spans="1:11" ht="14.4" customHeight="1" thickBot="1" x14ac:dyDescent="0.35">
      <c r="A132" s="349" t="s">
        <v>345</v>
      </c>
      <c r="B132" s="330">
        <v>0</v>
      </c>
      <c r="C132" s="330">
        <v>113.55182000000001</v>
      </c>
      <c r="D132" s="331">
        <v>113.55182000000001</v>
      </c>
      <c r="E132" s="340" t="s">
        <v>221</v>
      </c>
      <c r="F132" s="330">
        <v>0</v>
      </c>
      <c r="G132" s="331">
        <v>0</v>
      </c>
      <c r="H132" s="333">
        <v>1.7539199999999999</v>
      </c>
      <c r="I132" s="330">
        <v>34.726680000000002</v>
      </c>
      <c r="J132" s="331">
        <v>34.726680000000002</v>
      </c>
      <c r="K132" s="341" t="s">
        <v>221</v>
      </c>
    </row>
    <row r="133" spans="1:11" ht="14.4" customHeight="1" thickBot="1" x14ac:dyDescent="0.35">
      <c r="A133" s="350" t="s">
        <v>346</v>
      </c>
      <c r="B133" s="330">
        <v>0</v>
      </c>
      <c r="C133" s="330">
        <v>113.55182000000001</v>
      </c>
      <c r="D133" s="331">
        <v>113.55182000000001</v>
      </c>
      <c r="E133" s="340" t="s">
        <v>221</v>
      </c>
      <c r="F133" s="330">
        <v>0</v>
      </c>
      <c r="G133" s="331">
        <v>0</v>
      </c>
      <c r="H133" s="333">
        <v>1.7539199999999999</v>
      </c>
      <c r="I133" s="330">
        <v>34.726680000000002</v>
      </c>
      <c r="J133" s="331">
        <v>34.726680000000002</v>
      </c>
      <c r="K133" s="341" t="s">
        <v>221</v>
      </c>
    </row>
    <row r="134" spans="1:11" ht="14.4" customHeight="1" thickBot="1" x14ac:dyDescent="0.35">
      <c r="A134" s="351" t="s">
        <v>347</v>
      </c>
      <c r="B134" s="335">
        <v>0</v>
      </c>
      <c r="C134" s="335">
        <v>113.55182000000001</v>
      </c>
      <c r="D134" s="336">
        <v>113.55182000000001</v>
      </c>
      <c r="E134" s="337" t="s">
        <v>221</v>
      </c>
      <c r="F134" s="335">
        <v>0</v>
      </c>
      <c r="G134" s="336">
        <v>0</v>
      </c>
      <c r="H134" s="338">
        <v>1.7539199999999999</v>
      </c>
      <c r="I134" s="335">
        <v>34.726680000000002</v>
      </c>
      <c r="J134" s="336">
        <v>34.726680000000002</v>
      </c>
      <c r="K134" s="339" t="s">
        <v>221</v>
      </c>
    </row>
    <row r="135" spans="1:11" ht="14.4" customHeight="1" thickBot="1" x14ac:dyDescent="0.35">
      <c r="A135" s="352" t="s">
        <v>348</v>
      </c>
      <c r="B135" s="330">
        <v>0</v>
      </c>
      <c r="C135" s="330">
        <v>113.55182000000001</v>
      </c>
      <c r="D135" s="331">
        <v>113.55182000000001</v>
      </c>
      <c r="E135" s="340" t="s">
        <v>221</v>
      </c>
      <c r="F135" s="330">
        <v>0</v>
      </c>
      <c r="G135" s="331">
        <v>0</v>
      </c>
      <c r="H135" s="333">
        <v>1.7539199999999999</v>
      </c>
      <c r="I135" s="330">
        <v>34.726680000000002</v>
      </c>
      <c r="J135" s="331">
        <v>34.726680000000002</v>
      </c>
      <c r="K135" s="341" t="s">
        <v>221</v>
      </c>
    </row>
    <row r="136" spans="1:11" ht="14.4" customHeight="1" thickBot="1" x14ac:dyDescent="0.35">
      <c r="A136" s="348" t="s">
        <v>349</v>
      </c>
      <c r="B136" s="330">
        <v>62.146079213581999</v>
      </c>
      <c r="C136" s="330">
        <v>97.601100000000002</v>
      </c>
      <c r="D136" s="331">
        <v>35.455020786417002</v>
      </c>
      <c r="E136" s="332">
        <v>1.570510983718</v>
      </c>
      <c r="F136" s="330">
        <v>228.988260687858</v>
      </c>
      <c r="G136" s="331">
        <v>152.658840458572</v>
      </c>
      <c r="H136" s="333">
        <v>5.1559999999999997</v>
      </c>
      <c r="I136" s="330">
        <v>169.29692</v>
      </c>
      <c r="J136" s="331">
        <v>16.638079541427</v>
      </c>
      <c r="K136" s="334">
        <v>0.73932576059300004</v>
      </c>
    </row>
    <row r="137" spans="1:11" ht="14.4" customHeight="1" thickBot="1" x14ac:dyDescent="0.35">
      <c r="A137" s="349" t="s">
        <v>350</v>
      </c>
      <c r="B137" s="330">
        <v>5.1460792135820004</v>
      </c>
      <c r="C137" s="330">
        <v>4.9090999999999996</v>
      </c>
      <c r="D137" s="331">
        <v>-0.236979213582</v>
      </c>
      <c r="E137" s="332">
        <v>0.95394955970399997</v>
      </c>
      <c r="F137" s="330">
        <v>4.0926489969600004</v>
      </c>
      <c r="G137" s="331">
        <v>2.7284326646400001</v>
      </c>
      <c r="H137" s="333">
        <v>0</v>
      </c>
      <c r="I137" s="330">
        <v>0</v>
      </c>
      <c r="J137" s="331">
        <v>-2.7284326646400001</v>
      </c>
      <c r="K137" s="334">
        <v>0</v>
      </c>
    </row>
    <row r="138" spans="1:11" ht="14.4" customHeight="1" thickBot="1" x14ac:dyDescent="0.35">
      <c r="A138" s="355" t="s">
        <v>351</v>
      </c>
      <c r="B138" s="335">
        <v>5.1460792135820004</v>
      </c>
      <c r="C138" s="335">
        <v>4.9090999999999996</v>
      </c>
      <c r="D138" s="336">
        <v>-0.236979213582</v>
      </c>
      <c r="E138" s="342">
        <v>0.95394955970399997</v>
      </c>
      <c r="F138" s="335">
        <v>4.0926489969600004</v>
      </c>
      <c r="G138" s="336">
        <v>2.7284326646400001</v>
      </c>
      <c r="H138" s="338">
        <v>0</v>
      </c>
      <c r="I138" s="335">
        <v>0</v>
      </c>
      <c r="J138" s="336">
        <v>-2.7284326646400001</v>
      </c>
      <c r="K138" s="343">
        <v>0</v>
      </c>
    </row>
    <row r="139" spans="1:11" ht="14.4" customHeight="1" thickBot="1" x14ac:dyDescent="0.35">
      <c r="A139" s="351" t="s">
        <v>352</v>
      </c>
      <c r="B139" s="335">
        <v>0</v>
      </c>
      <c r="C139" s="335">
        <v>2.0000000000000002E-5</v>
      </c>
      <c r="D139" s="336">
        <v>2.0000000000000002E-5</v>
      </c>
      <c r="E139" s="337" t="s">
        <v>221</v>
      </c>
      <c r="F139" s="335">
        <v>0</v>
      </c>
      <c r="G139" s="336">
        <v>0</v>
      </c>
      <c r="H139" s="338">
        <v>0</v>
      </c>
      <c r="I139" s="335">
        <v>0</v>
      </c>
      <c r="J139" s="336">
        <v>0</v>
      </c>
      <c r="K139" s="339" t="s">
        <v>221</v>
      </c>
    </row>
    <row r="140" spans="1:11" ht="14.4" customHeight="1" thickBot="1" x14ac:dyDescent="0.35">
      <c r="A140" s="352" t="s">
        <v>353</v>
      </c>
      <c r="B140" s="330">
        <v>0</v>
      </c>
      <c r="C140" s="330">
        <v>2.0000000000000002E-5</v>
      </c>
      <c r="D140" s="331">
        <v>2.0000000000000002E-5</v>
      </c>
      <c r="E140" s="340" t="s">
        <v>221</v>
      </c>
      <c r="F140" s="330">
        <v>0</v>
      </c>
      <c r="G140" s="331">
        <v>0</v>
      </c>
      <c r="H140" s="333">
        <v>0</v>
      </c>
      <c r="I140" s="330">
        <v>0</v>
      </c>
      <c r="J140" s="331">
        <v>0</v>
      </c>
      <c r="K140" s="341" t="s">
        <v>221</v>
      </c>
    </row>
    <row r="141" spans="1:11" ht="14.4" customHeight="1" thickBot="1" x14ac:dyDescent="0.35">
      <c r="A141" s="351" t="s">
        <v>354</v>
      </c>
      <c r="B141" s="335">
        <v>5.1460792135820004</v>
      </c>
      <c r="C141" s="335">
        <v>4.9090800000000003</v>
      </c>
      <c r="D141" s="336">
        <v>-0.23699921358199999</v>
      </c>
      <c r="E141" s="342">
        <v>0.95394567325000001</v>
      </c>
      <c r="F141" s="335">
        <v>4.0926489969600004</v>
      </c>
      <c r="G141" s="336">
        <v>2.7284326646400001</v>
      </c>
      <c r="H141" s="338">
        <v>0</v>
      </c>
      <c r="I141" s="335">
        <v>0</v>
      </c>
      <c r="J141" s="336">
        <v>-2.7284326646400001</v>
      </c>
      <c r="K141" s="343">
        <v>0</v>
      </c>
    </row>
    <row r="142" spans="1:11" ht="14.4" customHeight="1" thickBot="1" x14ac:dyDescent="0.35">
      <c r="A142" s="352" t="s">
        <v>355</v>
      </c>
      <c r="B142" s="330">
        <v>5.1460792135820004</v>
      </c>
      <c r="C142" s="330">
        <v>4.9090800000000003</v>
      </c>
      <c r="D142" s="331">
        <v>-0.23699921358199999</v>
      </c>
      <c r="E142" s="332">
        <v>0.95394567325000001</v>
      </c>
      <c r="F142" s="330">
        <v>4.0926489969600004</v>
      </c>
      <c r="G142" s="331">
        <v>2.7284326646400001</v>
      </c>
      <c r="H142" s="333">
        <v>0</v>
      </c>
      <c r="I142" s="330">
        <v>0</v>
      </c>
      <c r="J142" s="331">
        <v>-2.7284326646400001</v>
      </c>
      <c r="K142" s="334">
        <v>0</v>
      </c>
    </row>
    <row r="143" spans="1:11" ht="14.4" customHeight="1" thickBot="1" x14ac:dyDescent="0.35">
      <c r="A143" s="349" t="s">
        <v>356</v>
      </c>
      <c r="B143" s="330">
        <v>0</v>
      </c>
      <c r="C143" s="330">
        <v>0</v>
      </c>
      <c r="D143" s="331">
        <v>0</v>
      </c>
      <c r="E143" s="332">
        <v>1</v>
      </c>
      <c r="F143" s="330">
        <v>0</v>
      </c>
      <c r="G143" s="331">
        <v>0</v>
      </c>
      <c r="H143" s="333">
        <v>0</v>
      </c>
      <c r="I143" s="330">
        <v>36.72092</v>
      </c>
      <c r="J143" s="331">
        <v>36.72092</v>
      </c>
      <c r="K143" s="341" t="s">
        <v>245</v>
      </c>
    </row>
    <row r="144" spans="1:11" ht="14.4" customHeight="1" thickBot="1" x14ac:dyDescent="0.35">
      <c r="A144" s="355" t="s">
        <v>357</v>
      </c>
      <c r="B144" s="335">
        <v>0</v>
      </c>
      <c r="C144" s="335">
        <v>0</v>
      </c>
      <c r="D144" s="336">
        <v>0</v>
      </c>
      <c r="E144" s="342">
        <v>1</v>
      </c>
      <c r="F144" s="335">
        <v>0</v>
      </c>
      <c r="G144" s="336">
        <v>0</v>
      </c>
      <c r="H144" s="338">
        <v>0</v>
      </c>
      <c r="I144" s="335">
        <v>36.72092</v>
      </c>
      <c r="J144" s="336">
        <v>36.72092</v>
      </c>
      <c r="K144" s="339" t="s">
        <v>245</v>
      </c>
    </row>
    <row r="145" spans="1:11" ht="14.4" customHeight="1" thickBot="1" x14ac:dyDescent="0.35">
      <c r="A145" s="351" t="s">
        <v>358</v>
      </c>
      <c r="B145" s="335">
        <v>0</v>
      </c>
      <c r="C145" s="335">
        <v>0</v>
      </c>
      <c r="D145" s="336">
        <v>0</v>
      </c>
      <c r="E145" s="342">
        <v>1</v>
      </c>
      <c r="F145" s="335">
        <v>0</v>
      </c>
      <c r="G145" s="336">
        <v>0</v>
      </c>
      <c r="H145" s="338">
        <v>0</v>
      </c>
      <c r="I145" s="335">
        <v>36.72092</v>
      </c>
      <c r="J145" s="336">
        <v>36.72092</v>
      </c>
      <c r="K145" s="339" t="s">
        <v>245</v>
      </c>
    </row>
    <row r="146" spans="1:11" ht="14.4" customHeight="1" thickBot="1" x14ac:dyDescent="0.35">
      <c r="A146" s="352" t="s">
        <v>359</v>
      </c>
      <c r="B146" s="330">
        <v>0</v>
      </c>
      <c r="C146" s="330">
        <v>0</v>
      </c>
      <c r="D146" s="331">
        <v>0</v>
      </c>
      <c r="E146" s="332">
        <v>1</v>
      </c>
      <c r="F146" s="330">
        <v>0</v>
      </c>
      <c r="G146" s="331">
        <v>0</v>
      </c>
      <c r="H146" s="333">
        <v>0</v>
      </c>
      <c r="I146" s="330">
        <v>36.72092</v>
      </c>
      <c r="J146" s="331">
        <v>36.72092</v>
      </c>
      <c r="K146" s="341" t="s">
        <v>245</v>
      </c>
    </row>
    <row r="147" spans="1:11" ht="14.4" customHeight="1" thickBot="1" x14ac:dyDescent="0.35">
      <c r="A147" s="349" t="s">
        <v>360</v>
      </c>
      <c r="B147" s="330">
        <v>57</v>
      </c>
      <c r="C147" s="330">
        <v>92.691999999999993</v>
      </c>
      <c r="D147" s="331">
        <v>35.692</v>
      </c>
      <c r="E147" s="332">
        <v>1.6261754385959999</v>
      </c>
      <c r="F147" s="330">
        <v>224.89561169089799</v>
      </c>
      <c r="G147" s="331">
        <v>149.93040779393201</v>
      </c>
      <c r="H147" s="333">
        <v>5.1559999999999997</v>
      </c>
      <c r="I147" s="330">
        <v>132.57599999999999</v>
      </c>
      <c r="J147" s="331">
        <v>-17.354407793930999</v>
      </c>
      <c r="K147" s="334">
        <v>0.58950016411200001</v>
      </c>
    </row>
    <row r="148" spans="1:11" ht="14.4" customHeight="1" thickBot="1" x14ac:dyDescent="0.35">
      <c r="A148" s="355" t="s">
        <v>361</v>
      </c>
      <c r="B148" s="335">
        <v>57</v>
      </c>
      <c r="C148" s="335">
        <v>92.691999999999993</v>
      </c>
      <c r="D148" s="336">
        <v>35.692</v>
      </c>
      <c r="E148" s="342">
        <v>1.6261754385959999</v>
      </c>
      <c r="F148" s="335">
        <v>224.89561169089799</v>
      </c>
      <c r="G148" s="336">
        <v>149.93040779393201</v>
      </c>
      <c r="H148" s="338">
        <v>5.1559999999999997</v>
      </c>
      <c r="I148" s="335">
        <v>132.57599999999999</v>
      </c>
      <c r="J148" s="336">
        <v>-17.354407793930999</v>
      </c>
      <c r="K148" s="343">
        <v>0.58950016411200001</v>
      </c>
    </row>
    <row r="149" spans="1:11" ht="14.4" customHeight="1" thickBot="1" x14ac:dyDescent="0.35">
      <c r="A149" s="351" t="s">
        <v>362</v>
      </c>
      <c r="B149" s="335">
        <v>57</v>
      </c>
      <c r="C149" s="335">
        <v>56.6</v>
      </c>
      <c r="D149" s="336">
        <v>-0.4</v>
      </c>
      <c r="E149" s="342">
        <v>0.99298245614000002</v>
      </c>
      <c r="F149" s="335">
        <v>182.000000000048</v>
      </c>
      <c r="G149" s="336">
        <v>121.333333333365</v>
      </c>
      <c r="H149" s="338">
        <v>0</v>
      </c>
      <c r="I149" s="335">
        <v>91.328000000000003</v>
      </c>
      <c r="J149" s="336">
        <v>-30.005333333365002</v>
      </c>
      <c r="K149" s="343">
        <v>0.50180219780199997</v>
      </c>
    </row>
    <row r="150" spans="1:11" ht="14.4" customHeight="1" thickBot="1" x14ac:dyDescent="0.35">
      <c r="A150" s="352" t="s">
        <v>363</v>
      </c>
      <c r="B150" s="330">
        <v>57</v>
      </c>
      <c r="C150" s="330">
        <v>56.6</v>
      </c>
      <c r="D150" s="331">
        <v>-0.4</v>
      </c>
      <c r="E150" s="332">
        <v>0.99298245614000002</v>
      </c>
      <c r="F150" s="330">
        <v>182.000000000048</v>
      </c>
      <c r="G150" s="331">
        <v>121.333333333365</v>
      </c>
      <c r="H150" s="333">
        <v>0</v>
      </c>
      <c r="I150" s="330">
        <v>91.328000000000003</v>
      </c>
      <c r="J150" s="331">
        <v>-30.005333333365002</v>
      </c>
      <c r="K150" s="334">
        <v>0.50180219780199997</v>
      </c>
    </row>
    <row r="151" spans="1:11" ht="14.4" customHeight="1" thickBot="1" x14ac:dyDescent="0.35">
      <c r="A151" s="354" t="s">
        <v>364</v>
      </c>
      <c r="B151" s="330">
        <v>0</v>
      </c>
      <c r="C151" s="330">
        <v>36.091999999999999</v>
      </c>
      <c r="D151" s="331">
        <v>36.091999999999999</v>
      </c>
      <c r="E151" s="340" t="s">
        <v>245</v>
      </c>
      <c r="F151" s="330">
        <v>42.895611690849002</v>
      </c>
      <c r="G151" s="331">
        <v>28.597074460565999</v>
      </c>
      <c r="H151" s="333">
        <v>5.1559999999999997</v>
      </c>
      <c r="I151" s="330">
        <v>41.247999999999998</v>
      </c>
      <c r="J151" s="331">
        <v>12.650925539433</v>
      </c>
      <c r="K151" s="334">
        <v>0.96159020408100004</v>
      </c>
    </row>
    <row r="152" spans="1:11" ht="14.4" customHeight="1" thickBot="1" x14ac:dyDescent="0.35">
      <c r="A152" s="352" t="s">
        <v>365</v>
      </c>
      <c r="B152" s="330">
        <v>0</v>
      </c>
      <c r="C152" s="330">
        <v>36.091999999999999</v>
      </c>
      <c r="D152" s="331">
        <v>36.091999999999999</v>
      </c>
      <c r="E152" s="340" t="s">
        <v>245</v>
      </c>
      <c r="F152" s="330">
        <v>42.895611690849002</v>
      </c>
      <c r="G152" s="331">
        <v>28.597074460565999</v>
      </c>
      <c r="H152" s="333">
        <v>5.1559999999999997</v>
      </c>
      <c r="I152" s="330">
        <v>41.247999999999998</v>
      </c>
      <c r="J152" s="331">
        <v>12.650925539433</v>
      </c>
      <c r="K152" s="334">
        <v>0.96159020408100004</v>
      </c>
    </row>
    <row r="153" spans="1:11" ht="14.4" customHeight="1" thickBot="1" x14ac:dyDescent="0.35">
      <c r="A153" s="348" t="s">
        <v>366</v>
      </c>
      <c r="B153" s="330">
        <v>2936.4428464133798</v>
      </c>
      <c r="C153" s="330">
        <v>3159.1585599999999</v>
      </c>
      <c r="D153" s="331">
        <v>222.715713586617</v>
      </c>
      <c r="E153" s="332">
        <v>1.0758454106669999</v>
      </c>
      <c r="F153" s="330">
        <v>3459.9011169897599</v>
      </c>
      <c r="G153" s="331">
        <v>2306.6007446598401</v>
      </c>
      <c r="H153" s="333">
        <v>229.86331000000001</v>
      </c>
      <c r="I153" s="330">
        <v>2102.7618600000001</v>
      </c>
      <c r="J153" s="331">
        <v>-203.83888465983699</v>
      </c>
      <c r="K153" s="334">
        <v>0.60775201050500005</v>
      </c>
    </row>
    <row r="154" spans="1:11" ht="14.4" customHeight="1" thickBot="1" x14ac:dyDescent="0.35">
      <c r="A154" s="353" t="s">
        <v>367</v>
      </c>
      <c r="B154" s="335">
        <v>2936.4428464133798</v>
      </c>
      <c r="C154" s="335">
        <v>3159.1585599999999</v>
      </c>
      <c r="D154" s="336">
        <v>222.715713586617</v>
      </c>
      <c r="E154" s="342">
        <v>1.0758454106669999</v>
      </c>
      <c r="F154" s="335">
        <v>3459.9011169897599</v>
      </c>
      <c r="G154" s="336">
        <v>2306.6007446598401</v>
      </c>
      <c r="H154" s="338">
        <v>229.86331000000001</v>
      </c>
      <c r="I154" s="335">
        <v>2102.7618600000001</v>
      </c>
      <c r="J154" s="336">
        <v>-203.83888465983699</v>
      </c>
      <c r="K154" s="343">
        <v>0.60775201050500005</v>
      </c>
    </row>
    <row r="155" spans="1:11" ht="14.4" customHeight="1" thickBot="1" x14ac:dyDescent="0.35">
      <c r="A155" s="355" t="s">
        <v>41</v>
      </c>
      <c r="B155" s="335">
        <v>2936.4428464133798</v>
      </c>
      <c r="C155" s="335">
        <v>3159.1585599999999</v>
      </c>
      <c r="D155" s="336">
        <v>222.715713586617</v>
      </c>
      <c r="E155" s="342">
        <v>1.0758454106669999</v>
      </c>
      <c r="F155" s="335">
        <v>3459.9011169897599</v>
      </c>
      <c r="G155" s="336">
        <v>2306.6007446598401</v>
      </c>
      <c r="H155" s="338">
        <v>229.86331000000001</v>
      </c>
      <c r="I155" s="335">
        <v>2102.7618600000001</v>
      </c>
      <c r="J155" s="336">
        <v>-203.83888465983699</v>
      </c>
      <c r="K155" s="343">
        <v>0.60775201050500005</v>
      </c>
    </row>
    <row r="156" spans="1:11" ht="14.4" customHeight="1" thickBot="1" x14ac:dyDescent="0.35">
      <c r="A156" s="351" t="s">
        <v>368</v>
      </c>
      <c r="B156" s="335">
        <v>35</v>
      </c>
      <c r="C156" s="335">
        <v>81.84</v>
      </c>
      <c r="D156" s="336">
        <v>46.84</v>
      </c>
      <c r="E156" s="342">
        <v>2.338285714285</v>
      </c>
      <c r="F156" s="335">
        <v>88.589276200903996</v>
      </c>
      <c r="G156" s="336">
        <v>59.059517467269004</v>
      </c>
      <c r="H156" s="338">
        <v>2.0550000000000002</v>
      </c>
      <c r="I156" s="335">
        <v>18.478000000000002</v>
      </c>
      <c r="J156" s="336">
        <v>-40.581517467269002</v>
      </c>
      <c r="K156" s="343">
        <v>0.20858055051800001</v>
      </c>
    </row>
    <row r="157" spans="1:11" ht="14.4" customHeight="1" thickBot="1" x14ac:dyDescent="0.35">
      <c r="A157" s="352" t="s">
        <v>369</v>
      </c>
      <c r="B157" s="330">
        <v>35</v>
      </c>
      <c r="C157" s="330">
        <v>81.84</v>
      </c>
      <c r="D157" s="331">
        <v>46.84</v>
      </c>
      <c r="E157" s="332">
        <v>2.338285714285</v>
      </c>
      <c r="F157" s="330">
        <v>88.589276200903996</v>
      </c>
      <c r="G157" s="331">
        <v>59.059517467269004</v>
      </c>
      <c r="H157" s="333">
        <v>2.0550000000000002</v>
      </c>
      <c r="I157" s="330">
        <v>18.478000000000002</v>
      </c>
      <c r="J157" s="331">
        <v>-40.581517467269002</v>
      </c>
      <c r="K157" s="334">
        <v>0.20858055051800001</v>
      </c>
    </row>
    <row r="158" spans="1:11" ht="14.4" customHeight="1" thickBot="1" x14ac:dyDescent="0.35">
      <c r="A158" s="351" t="s">
        <v>370</v>
      </c>
      <c r="B158" s="335">
        <v>49.006946413382003</v>
      </c>
      <c r="C158" s="335">
        <v>71.032319999999999</v>
      </c>
      <c r="D158" s="336">
        <v>22.025373586617</v>
      </c>
      <c r="E158" s="342">
        <v>1.449433706822</v>
      </c>
      <c r="F158" s="335">
        <v>79.438608827576999</v>
      </c>
      <c r="G158" s="336">
        <v>52.959072551718002</v>
      </c>
      <c r="H158" s="338">
        <v>6.3944999999999999</v>
      </c>
      <c r="I158" s="335">
        <v>38.81082</v>
      </c>
      <c r="J158" s="336">
        <v>-14.148252551718</v>
      </c>
      <c r="K158" s="343">
        <v>0.48856369179600001</v>
      </c>
    </row>
    <row r="159" spans="1:11" ht="14.4" customHeight="1" thickBot="1" x14ac:dyDescent="0.35">
      <c r="A159" s="352" t="s">
        <v>371</v>
      </c>
      <c r="B159" s="330">
        <v>49.006946413382003</v>
      </c>
      <c r="C159" s="330">
        <v>71.032319999999999</v>
      </c>
      <c r="D159" s="331">
        <v>22.025373586617</v>
      </c>
      <c r="E159" s="332">
        <v>1.449433706822</v>
      </c>
      <c r="F159" s="330">
        <v>0</v>
      </c>
      <c r="G159" s="331">
        <v>0</v>
      </c>
      <c r="H159" s="333">
        <v>0</v>
      </c>
      <c r="I159" s="330">
        <v>6.0396132539608503E-14</v>
      </c>
      <c r="J159" s="331">
        <v>6.0396132539608503E-14</v>
      </c>
      <c r="K159" s="341" t="s">
        <v>221</v>
      </c>
    </row>
    <row r="160" spans="1:11" ht="14.4" customHeight="1" thickBot="1" x14ac:dyDescent="0.35">
      <c r="A160" s="352" t="s">
        <v>372</v>
      </c>
      <c r="B160" s="330">
        <v>0</v>
      </c>
      <c r="C160" s="330">
        <v>0</v>
      </c>
      <c r="D160" s="331">
        <v>0</v>
      </c>
      <c r="E160" s="332">
        <v>1</v>
      </c>
      <c r="F160" s="330">
        <v>5.1769290724859998</v>
      </c>
      <c r="G160" s="331">
        <v>3.451286048324</v>
      </c>
      <c r="H160" s="333">
        <v>0</v>
      </c>
      <c r="I160" s="330">
        <v>0</v>
      </c>
      <c r="J160" s="331">
        <v>-3.451286048324</v>
      </c>
      <c r="K160" s="334">
        <v>0</v>
      </c>
    </row>
    <row r="161" spans="1:11" ht="14.4" customHeight="1" thickBot="1" x14ac:dyDescent="0.35">
      <c r="A161" s="352" t="s">
        <v>373</v>
      </c>
      <c r="B161" s="330">
        <v>0</v>
      </c>
      <c r="C161" s="330">
        <v>0</v>
      </c>
      <c r="D161" s="331">
        <v>0</v>
      </c>
      <c r="E161" s="332">
        <v>1</v>
      </c>
      <c r="F161" s="330">
        <v>74.261679755090995</v>
      </c>
      <c r="G161" s="331">
        <v>49.507786503394001</v>
      </c>
      <c r="H161" s="333">
        <v>6.3944999999999999</v>
      </c>
      <c r="I161" s="330">
        <v>38.81082</v>
      </c>
      <c r="J161" s="331">
        <v>-10.696966503394</v>
      </c>
      <c r="K161" s="334">
        <v>0.52262243633500005</v>
      </c>
    </row>
    <row r="162" spans="1:11" ht="14.4" customHeight="1" thickBot="1" x14ac:dyDescent="0.35">
      <c r="A162" s="351" t="s">
        <v>374</v>
      </c>
      <c r="B162" s="335">
        <v>68.435900000000004</v>
      </c>
      <c r="C162" s="335">
        <v>72.135599999999997</v>
      </c>
      <c r="D162" s="336">
        <v>3.6996999999989999</v>
      </c>
      <c r="E162" s="342">
        <v>1.054060807266</v>
      </c>
      <c r="F162" s="335">
        <v>71.069478879645999</v>
      </c>
      <c r="G162" s="336">
        <v>47.379652586431</v>
      </c>
      <c r="H162" s="338">
        <v>6.2610999999999999</v>
      </c>
      <c r="I162" s="335">
        <v>51.987020000000001</v>
      </c>
      <c r="J162" s="336">
        <v>4.6073674135680003</v>
      </c>
      <c r="K162" s="343">
        <v>0.731495725303</v>
      </c>
    </row>
    <row r="163" spans="1:11" ht="14.4" customHeight="1" thickBot="1" x14ac:dyDescent="0.35">
      <c r="A163" s="352" t="s">
        <v>375</v>
      </c>
      <c r="B163" s="330">
        <v>68.435900000000004</v>
      </c>
      <c r="C163" s="330">
        <v>72.135599999999997</v>
      </c>
      <c r="D163" s="331">
        <v>3.6996999999989999</v>
      </c>
      <c r="E163" s="332">
        <v>1.054060807266</v>
      </c>
      <c r="F163" s="330">
        <v>71.069478879645999</v>
      </c>
      <c r="G163" s="331">
        <v>47.379652586431</v>
      </c>
      <c r="H163" s="333">
        <v>6.2610999999999999</v>
      </c>
      <c r="I163" s="330">
        <v>51.987020000000001</v>
      </c>
      <c r="J163" s="331">
        <v>4.6073674135680003</v>
      </c>
      <c r="K163" s="334">
        <v>0.731495725303</v>
      </c>
    </row>
    <row r="164" spans="1:11" ht="14.4" customHeight="1" thickBot="1" x14ac:dyDescent="0.35">
      <c r="A164" s="351" t="s">
        <v>376</v>
      </c>
      <c r="B164" s="335">
        <v>0</v>
      </c>
      <c r="C164" s="335">
        <v>1.7000000000000001E-2</v>
      </c>
      <c r="D164" s="336">
        <v>1.7000000000000001E-2</v>
      </c>
      <c r="E164" s="337" t="s">
        <v>245</v>
      </c>
      <c r="F164" s="335">
        <v>0</v>
      </c>
      <c r="G164" s="336">
        <v>0</v>
      </c>
      <c r="H164" s="338">
        <v>0</v>
      </c>
      <c r="I164" s="335">
        <v>0</v>
      </c>
      <c r="J164" s="336">
        <v>0</v>
      </c>
      <c r="K164" s="339" t="s">
        <v>221</v>
      </c>
    </row>
    <row r="165" spans="1:11" ht="14.4" customHeight="1" thickBot="1" x14ac:dyDescent="0.35">
      <c r="A165" s="352" t="s">
        <v>377</v>
      </c>
      <c r="B165" s="330">
        <v>0</v>
      </c>
      <c r="C165" s="330">
        <v>1.7000000000000001E-2</v>
      </c>
      <c r="D165" s="331">
        <v>1.7000000000000001E-2</v>
      </c>
      <c r="E165" s="340" t="s">
        <v>245</v>
      </c>
      <c r="F165" s="330">
        <v>0</v>
      </c>
      <c r="G165" s="331">
        <v>0</v>
      </c>
      <c r="H165" s="333">
        <v>0</v>
      </c>
      <c r="I165" s="330">
        <v>0</v>
      </c>
      <c r="J165" s="331">
        <v>0</v>
      </c>
      <c r="K165" s="341" t="s">
        <v>221</v>
      </c>
    </row>
    <row r="166" spans="1:11" ht="14.4" customHeight="1" thickBot="1" x14ac:dyDescent="0.35">
      <c r="A166" s="351" t="s">
        <v>378</v>
      </c>
      <c r="B166" s="335">
        <v>441</v>
      </c>
      <c r="C166" s="335">
        <v>386.58582000000001</v>
      </c>
      <c r="D166" s="336">
        <v>-54.414179999999</v>
      </c>
      <c r="E166" s="342">
        <v>0.87661183673400001</v>
      </c>
      <c r="F166" s="335">
        <v>751</v>
      </c>
      <c r="G166" s="336">
        <v>500.66666666666703</v>
      </c>
      <c r="H166" s="338">
        <v>41.972470000000001</v>
      </c>
      <c r="I166" s="335">
        <v>421.429380000001</v>
      </c>
      <c r="J166" s="336">
        <v>-79.237286666665995</v>
      </c>
      <c r="K166" s="343">
        <v>0.56115762982600004</v>
      </c>
    </row>
    <row r="167" spans="1:11" ht="14.4" customHeight="1" thickBot="1" x14ac:dyDescent="0.35">
      <c r="A167" s="352" t="s">
        <v>379</v>
      </c>
      <c r="B167" s="330">
        <v>441</v>
      </c>
      <c r="C167" s="330">
        <v>386.58582000000001</v>
      </c>
      <c r="D167" s="331">
        <v>-54.414179999999</v>
      </c>
      <c r="E167" s="332">
        <v>0.87661183673400001</v>
      </c>
      <c r="F167" s="330">
        <v>751</v>
      </c>
      <c r="G167" s="331">
        <v>500.66666666666703</v>
      </c>
      <c r="H167" s="333">
        <v>41.972470000000001</v>
      </c>
      <c r="I167" s="330">
        <v>421.429380000001</v>
      </c>
      <c r="J167" s="331">
        <v>-79.237286666665995</v>
      </c>
      <c r="K167" s="334">
        <v>0.56115762982600004</v>
      </c>
    </row>
    <row r="168" spans="1:11" ht="14.4" customHeight="1" thickBot="1" x14ac:dyDescent="0.35">
      <c r="A168" s="351" t="s">
        <v>380</v>
      </c>
      <c r="B168" s="335">
        <v>2343</v>
      </c>
      <c r="C168" s="335">
        <v>2547.5478199999998</v>
      </c>
      <c r="D168" s="336">
        <v>204.54782</v>
      </c>
      <c r="E168" s="342">
        <v>1.0873016730680001</v>
      </c>
      <c r="F168" s="335">
        <v>2469.80375308163</v>
      </c>
      <c r="G168" s="336">
        <v>1646.53583538775</v>
      </c>
      <c r="H168" s="338">
        <v>173.18024</v>
      </c>
      <c r="I168" s="335">
        <v>1572.05664</v>
      </c>
      <c r="J168" s="336">
        <v>-74.479195387752</v>
      </c>
      <c r="K168" s="343">
        <v>0.63651075031299997</v>
      </c>
    </row>
    <row r="169" spans="1:11" ht="14.4" customHeight="1" thickBot="1" x14ac:dyDescent="0.35">
      <c r="A169" s="352" t="s">
        <v>381</v>
      </c>
      <c r="B169" s="330">
        <v>2343</v>
      </c>
      <c r="C169" s="330">
        <v>2547.5478199999998</v>
      </c>
      <c r="D169" s="331">
        <v>204.54782</v>
      </c>
      <c r="E169" s="332">
        <v>1.0873016730680001</v>
      </c>
      <c r="F169" s="330">
        <v>2469.80375308163</v>
      </c>
      <c r="G169" s="331">
        <v>1646.53583538775</v>
      </c>
      <c r="H169" s="333">
        <v>173.18024</v>
      </c>
      <c r="I169" s="330">
        <v>1572.05664</v>
      </c>
      <c r="J169" s="331">
        <v>-74.479195387752</v>
      </c>
      <c r="K169" s="334">
        <v>0.63651075031299997</v>
      </c>
    </row>
    <row r="170" spans="1:11" ht="14.4" customHeight="1" thickBot="1" x14ac:dyDescent="0.35">
      <c r="A170" s="356"/>
      <c r="B170" s="330">
        <v>-68891.723827809605</v>
      </c>
      <c r="C170" s="330">
        <v>-83104.695139999996</v>
      </c>
      <c r="D170" s="331">
        <v>-14212.971312190401</v>
      </c>
      <c r="E170" s="332">
        <v>1.206308835408</v>
      </c>
      <c r="F170" s="330">
        <v>-82283.204660720206</v>
      </c>
      <c r="G170" s="331">
        <v>-54855.4697738135</v>
      </c>
      <c r="H170" s="333">
        <v>-6843.6850899999999</v>
      </c>
      <c r="I170" s="330">
        <v>-55748.709889999998</v>
      </c>
      <c r="J170" s="331">
        <v>-893.24011618654197</v>
      </c>
      <c r="K170" s="334">
        <v>0.67752234638700004</v>
      </c>
    </row>
    <row r="171" spans="1:11" ht="14.4" customHeight="1" thickBot="1" x14ac:dyDescent="0.35">
      <c r="A171" s="357" t="s">
        <v>53</v>
      </c>
      <c r="B171" s="344">
        <v>-68891.723827809605</v>
      </c>
      <c r="C171" s="344">
        <v>-83104.695139999996</v>
      </c>
      <c r="D171" s="345">
        <v>-14212.971312190401</v>
      </c>
      <c r="E171" s="346">
        <v>-0.71778909602300001</v>
      </c>
      <c r="F171" s="344">
        <v>-82283.204660720206</v>
      </c>
      <c r="G171" s="345">
        <v>-54855.4697738135</v>
      </c>
      <c r="H171" s="344">
        <v>-6843.6850899999999</v>
      </c>
      <c r="I171" s="344">
        <v>-55748.709889999998</v>
      </c>
      <c r="J171" s="345">
        <v>-893.24011618654595</v>
      </c>
      <c r="K171" s="347">
        <v>0.67752234638700004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24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175" customWidth="1"/>
    <col min="2" max="2" width="61.109375" style="175" customWidth="1"/>
    <col min="3" max="3" width="9.5546875" style="107" customWidth="1"/>
    <col min="4" max="4" width="9.5546875" style="176" customWidth="1"/>
    <col min="5" max="5" width="2.21875" style="176" customWidth="1"/>
    <col min="6" max="6" width="9.5546875" style="177" customWidth="1"/>
    <col min="7" max="7" width="9.5546875" style="174" customWidth="1"/>
    <col min="8" max="9" width="9.5546875" style="107" customWidth="1"/>
    <col min="10" max="10" width="0" style="107" hidden="1" customWidth="1"/>
    <col min="11" max="16384" width="8.88671875" style="107"/>
  </cols>
  <sheetData>
    <row r="1" spans="1:10" ht="18.600000000000001" customHeight="1" thickBot="1" x14ac:dyDescent="0.4">
      <c r="A1" s="302" t="s">
        <v>87</v>
      </c>
      <c r="B1" s="303"/>
      <c r="C1" s="303"/>
      <c r="D1" s="303"/>
      <c r="E1" s="303"/>
      <c r="F1" s="303"/>
      <c r="G1" s="274"/>
      <c r="H1" s="304"/>
      <c r="I1" s="304"/>
    </row>
    <row r="2" spans="1:10" ht="14.4" customHeight="1" thickBot="1" x14ac:dyDescent="0.35">
      <c r="A2" s="187" t="s">
        <v>220</v>
      </c>
      <c r="B2" s="173"/>
      <c r="C2" s="173"/>
      <c r="D2" s="173"/>
      <c r="E2" s="173"/>
      <c r="F2" s="173"/>
    </row>
    <row r="3" spans="1:10" ht="14.4" customHeight="1" thickBot="1" x14ac:dyDescent="0.35">
      <c r="A3" s="187"/>
      <c r="B3" s="173"/>
      <c r="C3" s="245">
        <v>2013</v>
      </c>
      <c r="D3" s="246">
        <v>2014</v>
      </c>
      <c r="E3" s="7"/>
      <c r="F3" s="297">
        <v>2015</v>
      </c>
      <c r="G3" s="298"/>
      <c r="H3" s="298"/>
      <c r="I3" s="299"/>
    </row>
    <row r="4" spans="1:10" ht="14.4" customHeight="1" thickBot="1" x14ac:dyDescent="0.35">
      <c r="A4" s="250" t="s">
        <v>0</v>
      </c>
      <c r="B4" s="251" t="s">
        <v>185</v>
      </c>
      <c r="C4" s="300" t="s">
        <v>58</v>
      </c>
      <c r="D4" s="301"/>
      <c r="E4" s="252"/>
      <c r="F4" s="247" t="s">
        <v>58</v>
      </c>
      <c r="G4" s="248" t="s">
        <v>59</v>
      </c>
      <c r="H4" s="248" t="s">
        <v>55</v>
      </c>
      <c r="I4" s="249" t="s">
        <v>60</v>
      </c>
    </row>
    <row r="5" spans="1:10" ht="14.4" customHeight="1" x14ac:dyDescent="0.3">
      <c r="A5" s="358" t="s">
        <v>382</v>
      </c>
      <c r="B5" s="359" t="s">
        <v>383</v>
      </c>
      <c r="C5" s="360" t="s">
        <v>384</v>
      </c>
      <c r="D5" s="360" t="s">
        <v>384</v>
      </c>
      <c r="E5" s="360"/>
      <c r="F5" s="360" t="s">
        <v>384</v>
      </c>
      <c r="G5" s="360" t="s">
        <v>384</v>
      </c>
      <c r="H5" s="360" t="s">
        <v>384</v>
      </c>
      <c r="I5" s="361" t="s">
        <v>384</v>
      </c>
      <c r="J5" s="362" t="s">
        <v>56</v>
      </c>
    </row>
    <row r="6" spans="1:10" ht="14.4" customHeight="1" x14ac:dyDescent="0.3">
      <c r="A6" s="358" t="s">
        <v>382</v>
      </c>
      <c r="B6" s="359" t="s">
        <v>229</v>
      </c>
      <c r="C6" s="360">
        <v>447.91967999999895</v>
      </c>
      <c r="D6" s="360">
        <v>452.29156999999998</v>
      </c>
      <c r="E6" s="360"/>
      <c r="F6" s="360">
        <v>465.52125000000007</v>
      </c>
      <c r="G6" s="360">
        <v>466.11067400605202</v>
      </c>
      <c r="H6" s="360">
        <v>-0.58942400605195644</v>
      </c>
      <c r="I6" s="361">
        <v>0.99873544194775443</v>
      </c>
      <c r="J6" s="362" t="s">
        <v>1</v>
      </c>
    </row>
    <row r="7" spans="1:10" ht="14.4" customHeight="1" x14ac:dyDescent="0.3">
      <c r="A7" s="358" t="s">
        <v>382</v>
      </c>
      <c r="B7" s="359" t="s">
        <v>230</v>
      </c>
      <c r="C7" s="360">
        <v>6.1598899999999999</v>
      </c>
      <c r="D7" s="360">
        <v>0</v>
      </c>
      <c r="E7" s="360"/>
      <c r="F7" s="360" t="s">
        <v>384</v>
      </c>
      <c r="G7" s="360" t="s">
        <v>384</v>
      </c>
      <c r="H7" s="360" t="s">
        <v>384</v>
      </c>
      <c r="I7" s="361" t="s">
        <v>384</v>
      </c>
      <c r="J7" s="362" t="s">
        <v>1</v>
      </c>
    </row>
    <row r="8" spans="1:10" ht="14.4" customHeight="1" x14ac:dyDescent="0.3">
      <c r="A8" s="358" t="s">
        <v>382</v>
      </c>
      <c r="B8" s="359" t="s">
        <v>231</v>
      </c>
      <c r="C8" s="360">
        <v>4.874339999999</v>
      </c>
      <c r="D8" s="360">
        <v>6.1841600000000012</v>
      </c>
      <c r="E8" s="360"/>
      <c r="F8" s="360">
        <v>13.756859999999998</v>
      </c>
      <c r="G8" s="360">
        <v>11.999999622028668</v>
      </c>
      <c r="H8" s="360">
        <v>1.7568603779713303</v>
      </c>
      <c r="I8" s="361">
        <v>1.1464050361090197</v>
      </c>
      <c r="J8" s="362" t="s">
        <v>1</v>
      </c>
    </row>
    <row r="9" spans="1:10" ht="14.4" customHeight="1" x14ac:dyDescent="0.3">
      <c r="A9" s="358" t="s">
        <v>382</v>
      </c>
      <c r="B9" s="359" t="s">
        <v>232</v>
      </c>
      <c r="C9" s="360">
        <v>132.20904000000002</v>
      </c>
      <c r="D9" s="360">
        <v>123.85965999999999</v>
      </c>
      <c r="E9" s="360"/>
      <c r="F9" s="360">
        <v>119.31196</v>
      </c>
      <c r="G9" s="360">
        <v>128.94344409673667</v>
      </c>
      <c r="H9" s="360">
        <v>-9.6314840967366706</v>
      </c>
      <c r="I9" s="361">
        <v>0.92530458477973576</v>
      </c>
      <c r="J9" s="362" t="s">
        <v>1</v>
      </c>
    </row>
    <row r="10" spans="1:10" ht="14.4" customHeight="1" x14ac:dyDescent="0.3">
      <c r="A10" s="358" t="s">
        <v>382</v>
      </c>
      <c r="B10" s="359" t="s">
        <v>385</v>
      </c>
      <c r="C10" s="360">
        <v>591.16294999999798</v>
      </c>
      <c r="D10" s="360">
        <v>582.33538999999996</v>
      </c>
      <c r="E10" s="360"/>
      <c r="F10" s="360">
        <v>598.59007000000008</v>
      </c>
      <c r="G10" s="360">
        <v>607.05411772481739</v>
      </c>
      <c r="H10" s="360">
        <v>-8.4640477248173056</v>
      </c>
      <c r="I10" s="361">
        <v>0.98605717764251433</v>
      </c>
      <c r="J10" s="362" t="s">
        <v>386</v>
      </c>
    </row>
    <row r="12" spans="1:10" ht="14.4" customHeight="1" x14ac:dyDescent="0.3">
      <c r="A12" s="358" t="s">
        <v>382</v>
      </c>
      <c r="B12" s="359" t="s">
        <v>383</v>
      </c>
      <c r="C12" s="360" t="s">
        <v>384</v>
      </c>
      <c r="D12" s="360" t="s">
        <v>384</v>
      </c>
      <c r="E12" s="360"/>
      <c r="F12" s="360" t="s">
        <v>384</v>
      </c>
      <c r="G12" s="360" t="s">
        <v>384</v>
      </c>
      <c r="H12" s="360" t="s">
        <v>384</v>
      </c>
      <c r="I12" s="361" t="s">
        <v>384</v>
      </c>
      <c r="J12" s="362" t="s">
        <v>56</v>
      </c>
    </row>
    <row r="13" spans="1:10" ht="14.4" customHeight="1" x14ac:dyDescent="0.3">
      <c r="A13" s="358" t="s">
        <v>387</v>
      </c>
      <c r="B13" s="359" t="s">
        <v>388</v>
      </c>
      <c r="C13" s="360" t="s">
        <v>384</v>
      </c>
      <c r="D13" s="360" t="s">
        <v>384</v>
      </c>
      <c r="E13" s="360"/>
      <c r="F13" s="360" t="s">
        <v>384</v>
      </c>
      <c r="G13" s="360" t="s">
        <v>384</v>
      </c>
      <c r="H13" s="360" t="s">
        <v>384</v>
      </c>
      <c r="I13" s="361" t="s">
        <v>384</v>
      </c>
      <c r="J13" s="362" t="s">
        <v>0</v>
      </c>
    </row>
    <row r="14" spans="1:10" ht="14.4" customHeight="1" x14ac:dyDescent="0.3">
      <c r="A14" s="358" t="s">
        <v>387</v>
      </c>
      <c r="B14" s="359" t="s">
        <v>229</v>
      </c>
      <c r="C14" s="360">
        <v>435.24515999999898</v>
      </c>
      <c r="D14" s="360">
        <v>438.71386999999999</v>
      </c>
      <c r="E14" s="360"/>
      <c r="F14" s="360">
        <v>457.11354000000006</v>
      </c>
      <c r="G14" s="360">
        <v>455.33331899143667</v>
      </c>
      <c r="H14" s="360">
        <v>1.7802210085633874</v>
      </c>
      <c r="I14" s="361">
        <v>1.0039097095123779</v>
      </c>
      <c r="J14" s="362" t="s">
        <v>1</v>
      </c>
    </row>
    <row r="15" spans="1:10" ht="14.4" customHeight="1" x14ac:dyDescent="0.3">
      <c r="A15" s="358" t="s">
        <v>387</v>
      </c>
      <c r="B15" s="359" t="s">
        <v>230</v>
      </c>
      <c r="C15" s="360">
        <v>6.1598899999999999</v>
      </c>
      <c r="D15" s="360">
        <v>0</v>
      </c>
      <c r="E15" s="360"/>
      <c r="F15" s="360" t="s">
        <v>384</v>
      </c>
      <c r="G15" s="360" t="s">
        <v>384</v>
      </c>
      <c r="H15" s="360" t="s">
        <v>384</v>
      </c>
      <c r="I15" s="361" t="s">
        <v>384</v>
      </c>
      <c r="J15" s="362" t="s">
        <v>1</v>
      </c>
    </row>
    <row r="16" spans="1:10" ht="14.4" customHeight="1" x14ac:dyDescent="0.3">
      <c r="A16" s="358" t="s">
        <v>387</v>
      </c>
      <c r="B16" s="359" t="s">
        <v>231</v>
      </c>
      <c r="C16" s="360">
        <v>4.874339999999</v>
      </c>
      <c r="D16" s="360">
        <v>6.1841600000000012</v>
      </c>
      <c r="E16" s="360"/>
      <c r="F16" s="360">
        <v>13.756859999999998</v>
      </c>
      <c r="G16" s="360">
        <v>11.999999622028668</v>
      </c>
      <c r="H16" s="360">
        <v>1.7568603779713303</v>
      </c>
      <c r="I16" s="361">
        <v>1.1464050361090197</v>
      </c>
      <c r="J16" s="362" t="s">
        <v>1</v>
      </c>
    </row>
    <row r="17" spans="1:10" ht="14.4" customHeight="1" x14ac:dyDescent="0.3">
      <c r="A17" s="358" t="s">
        <v>387</v>
      </c>
      <c r="B17" s="359" t="s">
        <v>232</v>
      </c>
      <c r="C17" s="360">
        <v>132.20904000000002</v>
      </c>
      <c r="D17" s="360">
        <v>123.85965999999999</v>
      </c>
      <c r="E17" s="360"/>
      <c r="F17" s="360">
        <v>119.31196</v>
      </c>
      <c r="G17" s="360">
        <v>128.94344409673667</v>
      </c>
      <c r="H17" s="360">
        <v>-9.6314840967366706</v>
      </c>
      <c r="I17" s="361">
        <v>0.92530458477973576</v>
      </c>
      <c r="J17" s="362" t="s">
        <v>1</v>
      </c>
    </row>
    <row r="18" spans="1:10" ht="14.4" customHeight="1" x14ac:dyDescent="0.3">
      <c r="A18" s="358" t="s">
        <v>387</v>
      </c>
      <c r="B18" s="359" t="s">
        <v>389</v>
      </c>
      <c r="C18" s="360">
        <v>578.48842999999806</v>
      </c>
      <c r="D18" s="360">
        <v>568.75769000000003</v>
      </c>
      <c r="E18" s="360"/>
      <c r="F18" s="360">
        <v>590.18236000000002</v>
      </c>
      <c r="G18" s="360">
        <v>596.27676271020198</v>
      </c>
      <c r="H18" s="360">
        <v>-6.0944027102019618</v>
      </c>
      <c r="I18" s="361">
        <v>0.98977923828105985</v>
      </c>
      <c r="J18" s="362" t="s">
        <v>390</v>
      </c>
    </row>
    <row r="19" spans="1:10" ht="14.4" customHeight="1" x14ac:dyDescent="0.3">
      <c r="A19" s="358" t="s">
        <v>384</v>
      </c>
      <c r="B19" s="359" t="s">
        <v>384</v>
      </c>
      <c r="C19" s="360" t="s">
        <v>384</v>
      </c>
      <c r="D19" s="360" t="s">
        <v>384</v>
      </c>
      <c r="E19" s="360"/>
      <c r="F19" s="360" t="s">
        <v>384</v>
      </c>
      <c r="G19" s="360" t="s">
        <v>384</v>
      </c>
      <c r="H19" s="360" t="s">
        <v>384</v>
      </c>
      <c r="I19" s="361" t="s">
        <v>384</v>
      </c>
      <c r="J19" s="362" t="s">
        <v>391</v>
      </c>
    </row>
    <row r="20" spans="1:10" ht="14.4" customHeight="1" x14ac:dyDescent="0.3">
      <c r="A20" s="358" t="s">
        <v>392</v>
      </c>
      <c r="B20" s="359" t="s">
        <v>393</v>
      </c>
      <c r="C20" s="360" t="s">
        <v>384</v>
      </c>
      <c r="D20" s="360" t="s">
        <v>384</v>
      </c>
      <c r="E20" s="360"/>
      <c r="F20" s="360" t="s">
        <v>384</v>
      </c>
      <c r="G20" s="360" t="s">
        <v>384</v>
      </c>
      <c r="H20" s="360" t="s">
        <v>384</v>
      </c>
      <c r="I20" s="361" t="s">
        <v>384</v>
      </c>
      <c r="J20" s="362" t="s">
        <v>0</v>
      </c>
    </row>
    <row r="21" spans="1:10" ht="14.4" customHeight="1" x14ac:dyDescent="0.3">
      <c r="A21" s="358" t="s">
        <v>392</v>
      </c>
      <c r="B21" s="359" t="s">
        <v>229</v>
      </c>
      <c r="C21" s="360">
        <v>12.674520000000001</v>
      </c>
      <c r="D21" s="360">
        <v>13.577699999999998</v>
      </c>
      <c r="E21" s="360"/>
      <c r="F21" s="360">
        <v>8.4077099999999998</v>
      </c>
      <c r="G21" s="360">
        <v>10.777355014615333</v>
      </c>
      <c r="H21" s="360">
        <v>-2.3696450146153332</v>
      </c>
      <c r="I21" s="361">
        <v>0.78012740497071664</v>
      </c>
      <c r="J21" s="362" t="s">
        <v>1</v>
      </c>
    </row>
    <row r="22" spans="1:10" ht="14.4" customHeight="1" x14ac:dyDescent="0.3">
      <c r="A22" s="358" t="s">
        <v>392</v>
      </c>
      <c r="B22" s="359" t="s">
        <v>394</v>
      </c>
      <c r="C22" s="360">
        <v>12.674520000000001</v>
      </c>
      <c r="D22" s="360">
        <v>13.577699999999998</v>
      </c>
      <c r="E22" s="360"/>
      <c r="F22" s="360">
        <v>8.4077099999999998</v>
      </c>
      <c r="G22" s="360">
        <v>10.777355014615333</v>
      </c>
      <c r="H22" s="360">
        <v>-2.3696450146153332</v>
      </c>
      <c r="I22" s="361">
        <v>0.78012740497071664</v>
      </c>
      <c r="J22" s="362" t="s">
        <v>390</v>
      </c>
    </row>
    <row r="23" spans="1:10" ht="14.4" customHeight="1" x14ac:dyDescent="0.3">
      <c r="A23" s="358" t="s">
        <v>384</v>
      </c>
      <c r="B23" s="359" t="s">
        <v>384</v>
      </c>
      <c r="C23" s="360" t="s">
        <v>384</v>
      </c>
      <c r="D23" s="360" t="s">
        <v>384</v>
      </c>
      <c r="E23" s="360"/>
      <c r="F23" s="360" t="s">
        <v>384</v>
      </c>
      <c r="G23" s="360" t="s">
        <v>384</v>
      </c>
      <c r="H23" s="360" t="s">
        <v>384</v>
      </c>
      <c r="I23" s="361" t="s">
        <v>384</v>
      </c>
      <c r="J23" s="362" t="s">
        <v>391</v>
      </c>
    </row>
    <row r="24" spans="1:10" ht="14.4" customHeight="1" x14ac:dyDescent="0.3">
      <c r="A24" s="358" t="s">
        <v>382</v>
      </c>
      <c r="B24" s="359" t="s">
        <v>385</v>
      </c>
      <c r="C24" s="360">
        <v>591.16294999999809</v>
      </c>
      <c r="D24" s="360">
        <v>582.33539000000007</v>
      </c>
      <c r="E24" s="360"/>
      <c r="F24" s="360">
        <v>598.59006999999997</v>
      </c>
      <c r="G24" s="360">
        <v>607.05411772481727</v>
      </c>
      <c r="H24" s="360">
        <v>-8.4640477248173056</v>
      </c>
      <c r="I24" s="361">
        <v>0.98605717764251433</v>
      </c>
      <c r="J24" s="362" t="s">
        <v>386</v>
      </c>
    </row>
  </sheetData>
  <mergeCells count="3">
    <mergeCell ref="F3:I3"/>
    <mergeCell ref="C4:D4"/>
    <mergeCell ref="A1:I1"/>
  </mergeCells>
  <conditionalFormatting sqref="F11 F25:F65537">
    <cfRule type="cellIs" dxfId="38" priority="18" stopIfTrue="1" operator="greaterThan">
      <formula>1</formula>
    </cfRule>
  </conditionalFormatting>
  <conditionalFormatting sqref="H5:H10">
    <cfRule type="expression" dxfId="37" priority="14">
      <formula>$H5&gt;0</formula>
    </cfRule>
  </conditionalFormatting>
  <conditionalFormatting sqref="I5:I10">
    <cfRule type="expression" dxfId="36" priority="15">
      <formula>$I5&gt;1</formula>
    </cfRule>
  </conditionalFormatting>
  <conditionalFormatting sqref="B5:B10">
    <cfRule type="expression" dxfId="35" priority="11">
      <formula>OR($J5="NS",$J5="SumaNS",$J5="Účet")</formula>
    </cfRule>
  </conditionalFormatting>
  <conditionalFormatting sqref="B5:D10 F5:I10">
    <cfRule type="expression" dxfId="34" priority="17">
      <formula>AND($J5&lt;&gt;"",$J5&lt;&gt;"mezeraKL")</formula>
    </cfRule>
  </conditionalFormatting>
  <conditionalFormatting sqref="B5:D10 F5:I10">
    <cfRule type="expression" dxfId="33" priority="12">
      <formula>OR($J5="KL",$J5="SumaKL")</formula>
    </cfRule>
    <cfRule type="expression" priority="16" stopIfTrue="1">
      <formula>OR($J5="mezeraNS",$J5="mezeraKL")</formula>
    </cfRule>
  </conditionalFormatting>
  <conditionalFormatting sqref="F5:I10 B5:D10">
    <cfRule type="expression" dxfId="32" priority="13">
      <formula>OR($J5="SumaNS",$J5="NS")</formula>
    </cfRule>
  </conditionalFormatting>
  <conditionalFormatting sqref="A5:A10">
    <cfRule type="expression" dxfId="31" priority="9">
      <formula>AND($J5&lt;&gt;"mezeraKL",$J5&lt;&gt;"")</formula>
    </cfRule>
  </conditionalFormatting>
  <conditionalFormatting sqref="A5:A10">
    <cfRule type="expression" dxfId="30" priority="10">
      <formula>AND($J5&lt;&gt;"",$J5&lt;&gt;"mezeraKL")</formula>
    </cfRule>
  </conditionalFormatting>
  <conditionalFormatting sqref="H12:H24">
    <cfRule type="expression" dxfId="29" priority="5">
      <formula>$H12&gt;0</formula>
    </cfRule>
  </conditionalFormatting>
  <conditionalFormatting sqref="A12:A24">
    <cfRule type="expression" dxfId="28" priority="2">
      <formula>AND($J12&lt;&gt;"mezeraKL",$J12&lt;&gt;"")</formula>
    </cfRule>
  </conditionalFormatting>
  <conditionalFormatting sqref="I12:I24">
    <cfRule type="expression" dxfId="27" priority="6">
      <formula>$I12&gt;1</formula>
    </cfRule>
  </conditionalFormatting>
  <conditionalFormatting sqref="B12:B24">
    <cfRule type="expression" dxfId="26" priority="1">
      <formula>OR($J12="NS",$J12="SumaNS",$J12="Účet")</formula>
    </cfRule>
  </conditionalFormatting>
  <conditionalFormatting sqref="A12:D24 F12:I24">
    <cfRule type="expression" dxfId="25" priority="8">
      <formula>AND($J12&lt;&gt;"",$J12&lt;&gt;"mezeraKL")</formula>
    </cfRule>
  </conditionalFormatting>
  <conditionalFormatting sqref="B12:D24 F12:I24">
    <cfRule type="expression" dxfId="24" priority="3">
      <formula>OR($J12="KL",$J12="SumaKL")</formula>
    </cfRule>
    <cfRule type="expression" priority="7" stopIfTrue="1">
      <formula>OR($J12="mezeraNS",$J12="mezeraKL")</formula>
    </cfRule>
  </conditionalFormatting>
  <conditionalFormatting sqref="B12:D24 F12:I24">
    <cfRule type="expression" dxfId="23" priority="4">
      <formula>OR($J12="SumaNS",$J12="NS")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56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107" hidden="1" customWidth="1" outlineLevel="1"/>
    <col min="2" max="2" width="28.33203125" style="107" hidden="1" customWidth="1" outlineLevel="1"/>
    <col min="3" max="3" width="5.33203125" style="176" bestFit="1" customWidth="1" collapsed="1"/>
    <col min="4" max="4" width="18.77734375" style="180" customWidth="1"/>
    <col min="5" max="5" width="9" style="176" bestFit="1" customWidth="1"/>
    <col min="6" max="6" width="18.77734375" style="180" customWidth="1"/>
    <col min="7" max="7" width="5" style="176" customWidth="1"/>
    <col min="8" max="8" width="12.44140625" style="176" hidden="1" customWidth="1" outlineLevel="1"/>
    <col min="9" max="9" width="8.5546875" style="176" hidden="1" customWidth="1" outlineLevel="1"/>
    <col min="10" max="10" width="25.77734375" style="176" customWidth="1" collapsed="1"/>
    <col min="11" max="11" width="8.77734375" style="176" customWidth="1"/>
    <col min="12" max="13" width="7.77734375" style="174" customWidth="1"/>
    <col min="14" max="14" width="11.109375" style="174" customWidth="1"/>
    <col min="15" max="16384" width="8.88671875" style="107"/>
  </cols>
  <sheetData>
    <row r="1" spans="1:14" ht="18.600000000000001" customHeight="1" thickBot="1" x14ac:dyDescent="0.4">
      <c r="A1" s="309" t="s">
        <v>107</v>
      </c>
      <c r="B1" s="274"/>
      <c r="C1" s="274"/>
      <c r="D1" s="274"/>
      <c r="E1" s="274"/>
      <c r="F1" s="274"/>
      <c r="G1" s="274"/>
      <c r="H1" s="274"/>
      <c r="I1" s="274"/>
      <c r="J1" s="274"/>
      <c r="K1" s="274"/>
      <c r="L1" s="274"/>
      <c r="M1" s="274"/>
      <c r="N1" s="274"/>
    </row>
    <row r="2" spans="1:14" ht="14.4" customHeight="1" thickBot="1" x14ac:dyDescent="0.35">
      <c r="A2" s="187" t="s">
        <v>220</v>
      </c>
      <c r="B2" s="62"/>
      <c r="C2" s="178"/>
      <c r="D2" s="178"/>
      <c r="E2" s="178"/>
      <c r="F2" s="178"/>
      <c r="G2" s="178"/>
      <c r="H2" s="178"/>
      <c r="I2" s="178"/>
      <c r="J2" s="178"/>
      <c r="K2" s="178"/>
      <c r="L2" s="179"/>
      <c r="M2" s="179"/>
      <c r="N2" s="179"/>
    </row>
    <row r="3" spans="1:14" ht="14.4" customHeight="1" thickBot="1" x14ac:dyDescent="0.35">
      <c r="A3" s="62"/>
      <c r="B3" s="62"/>
      <c r="C3" s="305"/>
      <c r="D3" s="306"/>
      <c r="E3" s="306"/>
      <c r="F3" s="306"/>
      <c r="G3" s="306"/>
      <c r="H3" s="306"/>
      <c r="I3" s="306"/>
      <c r="J3" s="307" t="s">
        <v>78</v>
      </c>
      <c r="K3" s="308"/>
      <c r="L3" s="81">
        <f>IF(M3&lt;&gt;0,N3/M3,0)</f>
        <v>179.37054956106886</v>
      </c>
      <c r="M3" s="81">
        <f>SUBTOTAL(9,M5:M1048576)</f>
        <v>2672</v>
      </c>
      <c r="N3" s="82">
        <f>SUBTOTAL(9,N5:N1048576)</f>
        <v>479278.10842717602</v>
      </c>
    </row>
    <row r="4" spans="1:14" s="175" customFormat="1" ht="14.4" customHeight="1" thickBot="1" x14ac:dyDescent="0.35">
      <c r="A4" s="363" t="s">
        <v>4</v>
      </c>
      <c r="B4" s="364" t="s">
        <v>5</v>
      </c>
      <c r="C4" s="364" t="s">
        <v>0</v>
      </c>
      <c r="D4" s="364" t="s">
        <v>6</v>
      </c>
      <c r="E4" s="364" t="s">
        <v>7</v>
      </c>
      <c r="F4" s="364" t="s">
        <v>1</v>
      </c>
      <c r="G4" s="364" t="s">
        <v>8</v>
      </c>
      <c r="H4" s="364" t="s">
        <v>9</v>
      </c>
      <c r="I4" s="364" t="s">
        <v>10</v>
      </c>
      <c r="J4" s="365" t="s">
        <v>11</v>
      </c>
      <c r="K4" s="365" t="s">
        <v>12</v>
      </c>
      <c r="L4" s="366" t="s">
        <v>91</v>
      </c>
      <c r="M4" s="366" t="s">
        <v>13</v>
      </c>
      <c r="N4" s="367" t="s">
        <v>102</v>
      </c>
    </row>
    <row r="5" spans="1:14" ht="14.4" customHeight="1" x14ac:dyDescent="0.3">
      <c r="A5" s="370" t="s">
        <v>382</v>
      </c>
      <c r="B5" s="371" t="s">
        <v>540</v>
      </c>
      <c r="C5" s="372" t="s">
        <v>387</v>
      </c>
      <c r="D5" s="373" t="s">
        <v>541</v>
      </c>
      <c r="E5" s="372" t="s">
        <v>395</v>
      </c>
      <c r="F5" s="373" t="s">
        <v>543</v>
      </c>
      <c r="G5" s="372" t="s">
        <v>396</v>
      </c>
      <c r="H5" s="372" t="s">
        <v>397</v>
      </c>
      <c r="I5" s="372" t="s">
        <v>398</v>
      </c>
      <c r="J5" s="372" t="s">
        <v>399</v>
      </c>
      <c r="K5" s="372" t="s">
        <v>400</v>
      </c>
      <c r="L5" s="374">
        <v>87.029743542578743</v>
      </c>
      <c r="M5" s="374">
        <v>63</v>
      </c>
      <c r="N5" s="375">
        <v>5482.8738431824604</v>
      </c>
    </row>
    <row r="6" spans="1:14" ht="14.4" customHeight="1" x14ac:dyDescent="0.3">
      <c r="A6" s="376" t="s">
        <v>382</v>
      </c>
      <c r="B6" s="377" t="s">
        <v>540</v>
      </c>
      <c r="C6" s="378" t="s">
        <v>387</v>
      </c>
      <c r="D6" s="379" t="s">
        <v>541</v>
      </c>
      <c r="E6" s="378" t="s">
        <v>395</v>
      </c>
      <c r="F6" s="379" t="s">
        <v>543</v>
      </c>
      <c r="G6" s="378" t="s">
        <v>396</v>
      </c>
      <c r="H6" s="378" t="s">
        <v>401</v>
      </c>
      <c r="I6" s="378" t="s">
        <v>402</v>
      </c>
      <c r="J6" s="378" t="s">
        <v>403</v>
      </c>
      <c r="K6" s="378" t="s">
        <v>404</v>
      </c>
      <c r="L6" s="380">
        <v>167.18455587397355</v>
      </c>
      <c r="M6" s="380">
        <v>69</v>
      </c>
      <c r="N6" s="381">
        <v>11535.734355304176</v>
      </c>
    </row>
    <row r="7" spans="1:14" ht="14.4" customHeight="1" x14ac:dyDescent="0.3">
      <c r="A7" s="376" t="s">
        <v>382</v>
      </c>
      <c r="B7" s="377" t="s">
        <v>540</v>
      </c>
      <c r="C7" s="378" t="s">
        <v>387</v>
      </c>
      <c r="D7" s="379" t="s">
        <v>541</v>
      </c>
      <c r="E7" s="378" t="s">
        <v>395</v>
      </c>
      <c r="F7" s="379" t="s">
        <v>543</v>
      </c>
      <c r="G7" s="378" t="s">
        <v>396</v>
      </c>
      <c r="H7" s="378" t="s">
        <v>405</v>
      </c>
      <c r="I7" s="378" t="s">
        <v>406</v>
      </c>
      <c r="J7" s="378" t="s">
        <v>407</v>
      </c>
      <c r="K7" s="378" t="s">
        <v>408</v>
      </c>
      <c r="L7" s="380">
        <v>45.343692878626776</v>
      </c>
      <c r="M7" s="380">
        <v>7</v>
      </c>
      <c r="N7" s="381">
        <v>317.40585015038744</v>
      </c>
    </row>
    <row r="8" spans="1:14" ht="14.4" customHeight="1" x14ac:dyDescent="0.3">
      <c r="A8" s="376" t="s">
        <v>382</v>
      </c>
      <c r="B8" s="377" t="s">
        <v>540</v>
      </c>
      <c r="C8" s="378" t="s">
        <v>387</v>
      </c>
      <c r="D8" s="379" t="s">
        <v>541</v>
      </c>
      <c r="E8" s="378" t="s">
        <v>395</v>
      </c>
      <c r="F8" s="379" t="s">
        <v>543</v>
      </c>
      <c r="G8" s="378" t="s">
        <v>396</v>
      </c>
      <c r="H8" s="378" t="s">
        <v>409</v>
      </c>
      <c r="I8" s="378" t="s">
        <v>410</v>
      </c>
      <c r="J8" s="378" t="s">
        <v>411</v>
      </c>
      <c r="K8" s="378" t="s">
        <v>412</v>
      </c>
      <c r="L8" s="380">
        <v>74.477288350357497</v>
      </c>
      <c r="M8" s="380">
        <v>26</v>
      </c>
      <c r="N8" s="381">
        <v>1936.4094971092948</v>
      </c>
    </row>
    <row r="9" spans="1:14" ht="14.4" customHeight="1" x14ac:dyDescent="0.3">
      <c r="A9" s="376" t="s">
        <v>382</v>
      </c>
      <c r="B9" s="377" t="s">
        <v>540</v>
      </c>
      <c r="C9" s="378" t="s">
        <v>387</v>
      </c>
      <c r="D9" s="379" t="s">
        <v>541</v>
      </c>
      <c r="E9" s="378" t="s">
        <v>395</v>
      </c>
      <c r="F9" s="379" t="s">
        <v>543</v>
      </c>
      <c r="G9" s="378" t="s">
        <v>396</v>
      </c>
      <c r="H9" s="378" t="s">
        <v>413</v>
      </c>
      <c r="I9" s="378" t="s">
        <v>414</v>
      </c>
      <c r="J9" s="378" t="s">
        <v>415</v>
      </c>
      <c r="K9" s="378" t="s">
        <v>416</v>
      </c>
      <c r="L9" s="380">
        <v>375.79940637586765</v>
      </c>
      <c r="M9" s="380">
        <v>2</v>
      </c>
      <c r="N9" s="381">
        <v>751.5988127517353</v>
      </c>
    </row>
    <row r="10" spans="1:14" ht="14.4" customHeight="1" x14ac:dyDescent="0.3">
      <c r="A10" s="376" t="s">
        <v>382</v>
      </c>
      <c r="B10" s="377" t="s">
        <v>540</v>
      </c>
      <c r="C10" s="378" t="s">
        <v>387</v>
      </c>
      <c r="D10" s="379" t="s">
        <v>541</v>
      </c>
      <c r="E10" s="378" t="s">
        <v>395</v>
      </c>
      <c r="F10" s="379" t="s">
        <v>543</v>
      </c>
      <c r="G10" s="378" t="s">
        <v>396</v>
      </c>
      <c r="H10" s="378" t="s">
        <v>417</v>
      </c>
      <c r="I10" s="378" t="s">
        <v>110</v>
      </c>
      <c r="J10" s="378" t="s">
        <v>418</v>
      </c>
      <c r="K10" s="378"/>
      <c r="L10" s="380">
        <v>651.73038465726756</v>
      </c>
      <c r="M10" s="380">
        <v>37</v>
      </c>
      <c r="N10" s="381">
        <v>24114.024232318901</v>
      </c>
    </row>
    <row r="11" spans="1:14" ht="14.4" customHeight="1" x14ac:dyDescent="0.3">
      <c r="A11" s="376" t="s">
        <v>382</v>
      </c>
      <c r="B11" s="377" t="s">
        <v>540</v>
      </c>
      <c r="C11" s="378" t="s">
        <v>387</v>
      </c>
      <c r="D11" s="379" t="s">
        <v>541</v>
      </c>
      <c r="E11" s="378" t="s">
        <v>395</v>
      </c>
      <c r="F11" s="379" t="s">
        <v>543</v>
      </c>
      <c r="G11" s="378" t="s">
        <v>396</v>
      </c>
      <c r="H11" s="378" t="s">
        <v>419</v>
      </c>
      <c r="I11" s="378" t="s">
        <v>420</v>
      </c>
      <c r="J11" s="378" t="s">
        <v>421</v>
      </c>
      <c r="K11" s="378" t="s">
        <v>422</v>
      </c>
      <c r="L11" s="380">
        <v>35.990000000000016</v>
      </c>
      <c r="M11" s="380">
        <v>3</v>
      </c>
      <c r="N11" s="381">
        <v>107.97000000000006</v>
      </c>
    </row>
    <row r="12" spans="1:14" ht="14.4" customHeight="1" x14ac:dyDescent="0.3">
      <c r="A12" s="376" t="s">
        <v>382</v>
      </c>
      <c r="B12" s="377" t="s">
        <v>540</v>
      </c>
      <c r="C12" s="378" t="s">
        <v>387</v>
      </c>
      <c r="D12" s="379" t="s">
        <v>541</v>
      </c>
      <c r="E12" s="378" t="s">
        <v>395</v>
      </c>
      <c r="F12" s="379" t="s">
        <v>543</v>
      </c>
      <c r="G12" s="378" t="s">
        <v>396</v>
      </c>
      <c r="H12" s="378" t="s">
        <v>423</v>
      </c>
      <c r="I12" s="378" t="s">
        <v>110</v>
      </c>
      <c r="J12" s="378" t="s">
        <v>424</v>
      </c>
      <c r="K12" s="378"/>
      <c r="L12" s="380">
        <v>89.3818035248689</v>
      </c>
      <c r="M12" s="380">
        <v>20</v>
      </c>
      <c r="N12" s="381">
        <v>1787.6360704973781</v>
      </c>
    </row>
    <row r="13" spans="1:14" ht="14.4" customHeight="1" x14ac:dyDescent="0.3">
      <c r="A13" s="376" t="s">
        <v>382</v>
      </c>
      <c r="B13" s="377" t="s">
        <v>540</v>
      </c>
      <c r="C13" s="378" t="s">
        <v>387</v>
      </c>
      <c r="D13" s="379" t="s">
        <v>541</v>
      </c>
      <c r="E13" s="378" t="s">
        <v>395</v>
      </c>
      <c r="F13" s="379" t="s">
        <v>543</v>
      </c>
      <c r="G13" s="378" t="s">
        <v>396</v>
      </c>
      <c r="H13" s="378" t="s">
        <v>425</v>
      </c>
      <c r="I13" s="378" t="s">
        <v>426</v>
      </c>
      <c r="J13" s="378" t="s">
        <v>427</v>
      </c>
      <c r="K13" s="378"/>
      <c r="L13" s="380">
        <v>474.34556203412961</v>
      </c>
      <c r="M13" s="380">
        <v>13</v>
      </c>
      <c r="N13" s="381">
        <v>6166.4923064436853</v>
      </c>
    </row>
    <row r="14" spans="1:14" ht="14.4" customHeight="1" x14ac:dyDescent="0.3">
      <c r="A14" s="376" t="s">
        <v>382</v>
      </c>
      <c r="B14" s="377" t="s">
        <v>540</v>
      </c>
      <c r="C14" s="378" t="s">
        <v>387</v>
      </c>
      <c r="D14" s="379" t="s">
        <v>541</v>
      </c>
      <c r="E14" s="378" t="s">
        <v>395</v>
      </c>
      <c r="F14" s="379" t="s">
        <v>543</v>
      </c>
      <c r="G14" s="378" t="s">
        <v>396</v>
      </c>
      <c r="H14" s="378" t="s">
        <v>428</v>
      </c>
      <c r="I14" s="378" t="s">
        <v>110</v>
      </c>
      <c r="J14" s="378" t="s">
        <v>429</v>
      </c>
      <c r="K14" s="378"/>
      <c r="L14" s="380">
        <v>102.67359583752466</v>
      </c>
      <c r="M14" s="380">
        <v>84</v>
      </c>
      <c r="N14" s="381">
        <v>8624.5820503520717</v>
      </c>
    </row>
    <row r="15" spans="1:14" ht="14.4" customHeight="1" x14ac:dyDescent="0.3">
      <c r="A15" s="376" t="s">
        <v>382</v>
      </c>
      <c r="B15" s="377" t="s">
        <v>540</v>
      </c>
      <c r="C15" s="378" t="s">
        <v>387</v>
      </c>
      <c r="D15" s="379" t="s">
        <v>541</v>
      </c>
      <c r="E15" s="378" t="s">
        <v>395</v>
      </c>
      <c r="F15" s="379" t="s">
        <v>543</v>
      </c>
      <c r="G15" s="378" t="s">
        <v>396</v>
      </c>
      <c r="H15" s="378" t="s">
        <v>430</v>
      </c>
      <c r="I15" s="378" t="s">
        <v>110</v>
      </c>
      <c r="J15" s="378" t="s">
        <v>431</v>
      </c>
      <c r="K15" s="378"/>
      <c r="L15" s="380">
        <v>44.63</v>
      </c>
      <c r="M15" s="380">
        <v>3</v>
      </c>
      <c r="N15" s="381">
        <v>133.89000000000001</v>
      </c>
    </row>
    <row r="16" spans="1:14" ht="14.4" customHeight="1" x14ac:dyDescent="0.3">
      <c r="A16" s="376" t="s">
        <v>382</v>
      </c>
      <c r="B16" s="377" t="s">
        <v>540</v>
      </c>
      <c r="C16" s="378" t="s">
        <v>387</v>
      </c>
      <c r="D16" s="379" t="s">
        <v>541</v>
      </c>
      <c r="E16" s="378" t="s">
        <v>395</v>
      </c>
      <c r="F16" s="379" t="s">
        <v>543</v>
      </c>
      <c r="G16" s="378" t="s">
        <v>396</v>
      </c>
      <c r="H16" s="378" t="s">
        <v>432</v>
      </c>
      <c r="I16" s="378" t="s">
        <v>433</v>
      </c>
      <c r="J16" s="378" t="s">
        <v>434</v>
      </c>
      <c r="K16" s="378" t="s">
        <v>435</v>
      </c>
      <c r="L16" s="380">
        <v>531.27</v>
      </c>
      <c r="M16" s="380">
        <v>2</v>
      </c>
      <c r="N16" s="381">
        <v>1062.54</v>
      </c>
    </row>
    <row r="17" spans="1:14" ht="14.4" customHeight="1" x14ac:dyDescent="0.3">
      <c r="A17" s="376" t="s">
        <v>382</v>
      </c>
      <c r="B17" s="377" t="s">
        <v>540</v>
      </c>
      <c r="C17" s="378" t="s">
        <v>387</v>
      </c>
      <c r="D17" s="379" t="s">
        <v>541</v>
      </c>
      <c r="E17" s="378" t="s">
        <v>395</v>
      </c>
      <c r="F17" s="379" t="s">
        <v>543</v>
      </c>
      <c r="G17" s="378" t="s">
        <v>396</v>
      </c>
      <c r="H17" s="378" t="s">
        <v>436</v>
      </c>
      <c r="I17" s="378" t="s">
        <v>110</v>
      </c>
      <c r="J17" s="378" t="s">
        <v>437</v>
      </c>
      <c r="K17" s="378"/>
      <c r="L17" s="380">
        <v>65.334957122331701</v>
      </c>
      <c r="M17" s="380">
        <v>10</v>
      </c>
      <c r="N17" s="381">
        <v>653.34957122331707</v>
      </c>
    </row>
    <row r="18" spans="1:14" ht="14.4" customHeight="1" x14ac:dyDescent="0.3">
      <c r="A18" s="376" t="s">
        <v>382</v>
      </c>
      <c r="B18" s="377" t="s">
        <v>540</v>
      </c>
      <c r="C18" s="378" t="s">
        <v>387</v>
      </c>
      <c r="D18" s="379" t="s">
        <v>541</v>
      </c>
      <c r="E18" s="378" t="s">
        <v>395</v>
      </c>
      <c r="F18" s="379" t="s">
        <v>543</v>
      </c>
      <c r="G18" s="378" t="s">
        <v>396</v>
      </c>
      <c r="H18" s="378" t="s">
        <v>438</v>
      </c>
      <c r="I18" s="378" t="s">
        <v>439</v>
      </c>
      <c r="J18" s="378" t="s">
        <v>440</v>
      </c>
      <c r="K18" s="378" t="s">
        <v>441</v>
      </c>
      <c r="L18" s="380">
        <v>103.69987156551534</v>
      </c>
      <c r="M18" s="380">
        <v>20</v>
      </c>
      <c r="N18" s="381">
        <v>2073.9974313103066</v>
      </c>
    </row>
    <row r="19" spans="1:14" ht="14.4" customHeight="1" x14ac:dyDescent="0.3">
      <c r="A19" s="376" t="s">
        <v>382</v>
      </c>
      <c r="B19" s="377" t="s">
        <v>540</v>
      </c>
      <c r="C19" s="378" t="s">
        <v>387</v>
      </c>
      <c r="D19" s="379" t="s">
        <v>541</v>
      </c>
      <c r="E19" s="378" t="s">
        <v>395</v>
      </c>
      <c r="F19" s="379" t="s">
        <v>543</v>
      </c>
      <c r="G19" s="378" t="s">
        <v>396</v>
      </c>
      <c r="H19" s="378" t="s">
        <v>442</v>
      </c>
      <c r="I19" s="378" t="s">
        <v>110</v>
      </c>
      <c r="J19" s="378" t="s">
        <v>443</v>
      </c>
      <c r="K19" s="378" t="s">
        <v>444</v>
      </c>
      <c r="L19" s="380">
        <v>23.700239772020307</v>
      </c>
      <c r="M19" s="380">
        <v>102</v>
      </c>
      <c r="N19" s="381">
        <v>2417.4244567460714</v>
      </c>
    </row>
    <row r="20" spans="1:14" ht="14.4" customHeight="1" x14ac:dyDescent="0.3">
      <c r="A20" s="376" t="s">
        <v>382</v>
      </c>
      <c r="B20" s="377" t="s">
        <v>540</v>
      </c>
      <c r="C20" s="378" t="s">
        <v>387</v>
      </c>
      <c r="D20" s="379" t="s">
        <v>541</v>
      </c>
      <c r="E20" s="378" t="s">
        <v>395</v>
      </c>
      <c r="F20" s="379" t="s">
        <v>543</v>
      </c>
      <c r="G20" s="378" t="s">
        <v>396</v>
      </c>
      <c r="H20" s="378" t="s">
        <v>445</v>
      </c>
      <c r="I20" s="378" t="s">
        <v>446</v>
      </c>
      <c r="J20" s="378" t="s">
        <v>447</v>
      </c>
      <c r="K20" s="378" t="s">
        <v>448</v>
      </c>
      <c r="L20" s="380">
        <v>61.642500000000005</v>
      </c>
      <c r="M20" s="380">
        <v>4</v>
      </c>
      <c r="N20" s="381">
        <v>246.57000000000002</v>
      </c>
    </row>
    <row r="21" spans="1:14" ht="14.4" customHeight="1" x14ac:dyDescent="0.3">
      <c r="A21" s="376" t="s">
        <v>382</v>
      </c>
      <c r="B21" s="377" t="s">
        <v>540</v>
      </c>
      <c r="C21" s="378" t="s">
        <v>387</v>
      </c>
      <c r="D21" s="379" t="s">
        <v>541</v>
      </c>
      <c r="E21" s="378" t="s">
        <v>395</v>
      </c>
      <c r="F21" s="379" t="s">
        <v>543</v>
      </c>
      <c r="G21" s="378" t="s">
        <v>396</v>
      </c>
      <c r="H21" s="378" t="s">
        <v>449</v>
      </c>
      <c r="I21" s="378" t="s">
        <v>110</v>
      </c>
      <c r="J21" s="378" t="s">
        <v>450</v>
      </c>
      <c r="K21" s="378" t="s">
        <v>451</v>
      </c>
      <c r="L21" s="380">
        <v>94.975754028934077</v>
      </c>
      <c r="M21" s="380">
        <v>40</v>
      </c>
      <c r="N21" s="381">
        <v>3799.0301611573632</v>
      </c>
    </row>
    <row r="22" spans="1:14" ht="14.4" customHeight="1" x14ac:dyDescent="0.3">
      <c r="A22" s="376" t="s">
        <v>382</v>
      </c>
      <c r="B22" s="377" t="s">
        <v>540</v>
      </c>
      <c r="C22" s="378" t="s">
        <v>387</v>
      </c>
      <c r="D22" s="379" t="s">
        <v>541</v>
      </c>
      <c r="E22" s="378" t="s">
        <v>395</v>
      </c>
      <c r="F22" s="379" t="s">
        <v>543</v>
      </c>
      <c r="G22" s="378" t="s">
        <v>396</v>
      </c>
      <c r="H22" s="378" t="s">
        <v>452</v>
      </c>
      <c r="I22" s="378" t="s">
        <v>453</v>
      </c>
      <c r="J22" s="378" t="s">
        <v>434</v>
      </c>
      <c r="K22" s="378" t="s">
        <v>454</v>
      </c>
      <c r="L22" s="380">
        <v>201.31463961424612</v>
      </c>
      <c r="M22" s="380">
        <v>500</v>
      </c>
      <c r="N22" s="381">
        <v>100657.31980712306</v>
      </c>
    </row>
    <row r="23" spans="1:14" ht="14.4" customHeight="1" x14ac:dyDescent="0.3">
      <c r="A23" s="376" t="s">
        <v>382</v>
      </c>
      <c r="B23" s="377" t="s">
        <v>540</v>
      </c>
      <c r="C23" s="378" t="s">
        <v>387</v>
      </c>
      <c r="D23" s="379" t="s">
        <v>541</v>
      </c>
      <c r="E23" s="378" t="s">
        <v>395</v>
      </c>
      <c r="F23" s="379" t="s">
        <v>543</v>
      </c>
      <c r="G23" s="378" t="s">
        <v>396</v>
      </c>
      <c r="H23" s="378" t="s">
        <v>455</v>
      </c>
      <c r="I23" s="378" t="s">
        <v>456</v>
      </c>
      <c r="J23" s="378" t="s">
        <v>457</v>
      </c>
      <c r="K23" s="378"/>
      <c r="L23" s="380">
        <v>252.97794949393943</v>
      </c>
      <c r="M23" s="380">
        <v>85</v>
      </c>
      <c r="N23" s="381">
        <v>21503.125706984851</v>
      </c>
    </row>
    <row r="24" spans="1:14" ht="14.4" customHeight="1" x14ac:dyDescent="0.3">
      <c r="A24" s="376" t="s">
        <v>382</v>
      </c>
      <c r="B24" s="377" t="s">
        <v>540</v>
      </c>
      <c r="C24" s="378" t="s">
        <v>387</v>
      </c>
      <c r="D24" s="379" t="s">
        <v>541</v>
      </c>
      <c r="E24" s="378" t="s">
        <v>395</v>
      </c>
      <c r="F24" s="379" t="s">
        <v>543</v>
      </c>
      <c r="G24" s="378" t="s">
        <v>396</v>
      </c>
      <c r="H24" s="378" t="s">
        <v>458</v>
      </c>
      <c r="I24" s="378" t="s">
        <v>459</v>
      </c>
      <c r="J24" s="378" t="s">
        <v>460</v>
      </c>
      <c r="K24" s="378" t="s">
        <v>461</v>
      </c>
      <c r="L24" s="380">
        <v>279.11056608721856</v>
      </c>
      <c r="M24" s="380">
        <v>47</v>
      </c>
      <c r="N24" s="381">
        <v>13118.196606099273</v>
      </c>
    </row>
    <row r="25" spans="1:14" ht="14.4" customHeight="1" x14ac:dyDescent="0.3">
      <c r="A25" s="376" t="s">
        <v>382</v>
      </c>
      <c r="B25" s="377" t="s">
        <v>540</v>
      </c>
      <c r="C25" s="378" t="s">
        <v>387</v>
      </c>
      <c r="D25" s="379" t="s">
        <v>541</v>
      </c>
      <c r="E25" s="378" t="s">
        <v>395</v>
      </c>
      <c r="F25" s="379" t="s">
        <v>543</v>
      </c>
      <c r="G25" s="378" t="s">
        <v>396</v>
      </c>
      <c r="H25" s="378" t="s">
        <v>462</v>
      </c>
      <c r="I25" s="378" t="s">
        <v>463</v>
      </c>
      <c r="J25" s="378" t="s">
        <v>464</v>
      </c>
      <c r="K25" s="378"/>
      <c r="L25" s="380">
        <v>144.03354614071532</v>
      </c>
      <c r="M25" s="380">
        <v>10</v>
      </c>
      <c r="N25" s="381">
        <v>1440.3354614071532</v>
      </c>
    </row>
    <row r="26" spans="1:14" ht="14.4" customHeight="1" x14ac:dyDescent="0.3">
      <c r="A26" s="376" t="s">
        <v>382</v>
      </c>
      <c r="B26" s="377" t="s">
        <v>540</v>
      </c>
      <c r="C26" s="378" t="s">
        <v>387</v>
      </c>
      <c r="D26" s="379" t="s">
        <v>541</v>
      </c>
      <c r="E26" s="378" t="s">
        <v>395</v>
      </c>
      <c r="F26" s="379" t="s">
        <v>543</v>
      </c>
      <c r="G26" s="378" t="s">
        <v>396</v>
      </c>
      <c r="H26" s="378" t="s">
        <v>465</v>
      </c>
      <c r="I26" s="378" t="s">
        <v>466</v>
      </c>
      <c r="J26" s="378" t="s">
        <v>467</v>
      </c>
      <c r="K26" s="378" t="s">
        <v>468</v>
      </c>
      <c r="L26" s="380">
        <v>47.430206871848384</v>
      </c>
      <c r="M26" s="380">
        <v>3</v>
      </c>
      <c r="N26" s="381">
        <v>142.29062061554515</v>
      </c>
    </row>
    <row r="27" spans="1:14" ht="14.4" customHeight="1" x14ac:dyDescent="0.3">
      <c r="A27" s="376" t="s">
        <v>382</v>
      </c>
      <c r="B27" s="377" t="s">
        <v>540</v>
      </c>
      <c r="C27" s="378" t="s">
        <v>387</v>
      </c>
      <c r="D27" s="379" t="s">
        <v>541</v>
      </c>
      <c r="E27" s="378" t="s">
        <v>395</v>
      </c>
      <c r="F27" s="379" t="s">
        <v>543</v>
      </c>
      <c r="G27" s="378" t="s">
        <v>396</v>
      </c>
      <c r="H27" s="378" t="s">
        <v>469</v>
      </c>
      <c r="I27" s="378" t="s">
        <v>110</v>
      </c>
      <c r="J27" s="378" t="s">
        <v>470</v>
      </c>
      <c r="K27" s="378"/>
      <c r="L27" s="380">
        <v>65.07596168886694</v>
      </c>
      <c r="M27" s="380">
        <v>8</v>
      </c>
      <c r="N27" s="381">
        <v>520.60769351093552</v>
      </c>
    </row>
    <row r="28" spans="1:14" ht="14.4" customHeight="1" x14ac:dyDescent="0.3">
      <c r="A28" s="376" t="s">
        <v>382</v>
      </c>
      <c r="B28" s="377" t="s">
        <v>540</v>
      </c>
      <c r="C28" s="378" t="s">
        <v>387</v>
      </c>
      <c r="D28" s="379" t="s">
        <v>541</v>
      </c>
      <c r="E28" s="378" t="s">
        <v>395</v>
      </c>
      <c r="F28" s="379" t="s">
        <v>543</v>
      </c>
      <c r="G28" s="378" t="s">
        <v>396</v>
      </c>
      <c r="H28" s="378" t="s">
        <v>471</v>
      </c>
      <c r="I28" s="378" t="s">
        <v>472</v>
      </c>
      <c r="J28" s="378" t="s">
        <v>473</v>
      </c>
      <c r="K28" s="378"/>
      <c r="L28" s="380">
        <v>2271.6448966412163</v>
      </c>
      <c r="M28" s="380">
        <v>1</v>
      </c>
      <c r="N28" s="381">
        <v>2271.6448966412163</v>
      </c>
    </row>
    <row r="29" spans="1:14" ht="14.4" customHeight="1" x14ac:dyDescent="0.3">
      <c r="A29" s="376" t="s">
        <v>382</v>
      </c>
      <c r="B29" s="377" t="s">
        <v>540</v>
      </c>
      <c r="C29" s="378" t="s">
        <v>387</v>
      </c>
      <c r="D29" s="379" t="s">
        <v>541</v>
      </c>
      <c r="E29" s="378" t="s">
        <v>395</v>
      </c>
      <c r="F29" s="379" t="s">
        <v>543</v>
      </c>
      <c r="G29" s="378" t="s">
        <v>396</v>
      </c>
      <c r="H29" s="378" t="s">
        <v>474</v>
      </c>
      <c r="I29" s="378" t="s">
        <v>475</v>
      </c>
      <c r="J29" s="378" t="s">
        <v>476</v>
      </c>
      <c r="K29" s="378"/>
      <c r="L29" s="380">
        <v>4429.6400328244608</v>
      </c>
      <c r="M29" s="380">
        <v>12</v>
      </c>
      <c r="N29" s="381">
        <v>53155.680393893534</v>
      </c>
    </row>
    <row r="30" spans="1:14" ht="14.4" customHeight="1" x14ac:dyDescent="0.3">
      <c r="A30" s="376" t="s">
        <v>382</v>
      </c>
      <c r="B30" s="377" t="s">
        <v>540</v>
      </c>
      <c r="C30" s="378" t="s">
        <v>387</v>
      </c>
      <c r="D30" s="379" t="s">
        <v>541</v>
      </c>
      <c r="E30" s="378" t="s">
        <v>395</v>
      </c>
      <c r="F30" s="379" t="s">
        <v>543</v>
      </c>
      <c r="G30" s="378" t="s">
        <v>396</v>
      </c>
      <c r="H30" s="378" t="s">
        <v>477</v>
      </c>
      <c r="I30" s="378" t="s">
        <v>478</v>
      </c>
      <c r="J30" s="378" t="s">
        <v>479</v>
      </c>
      <c r="K30" s="378" t="s">
        <v>480</v>
      </c>
      <c r="L30" s="380">
        <v>621.6</v>
      </c>
      <c r="M30" s="380">
        <v>6</v>
      </c>
      <c r="N30" s="381">
        <v>3729.6</v>
      </c>
    </row>
    <row r="31" spans="1:14" ht="14.4" customHeight="1" x14ac:dyDescent="0.3">
      <c r="A31" s="376" t="s">
        <v>382</v>
      </c>
      <c r="B31" s="377" t="s">
        <v>540</v>
      </c>
      <c r="C31" s="378" t="s">
        <v>387</v>
      </c>
      <c r="D31" s="379" t="s">
        <v>541</v>
      </c>
      <c r="E31" s="378" t="s">
        <v>395</v>
      </c>
      <c r="F31" s="379" t="s">
        <v>543</v>
      </c>
      <c r="G31" s="378" t="s">
        <v>396</v>
      </c>
      <c r="H31" s="378" t="s">
        <v>481</v>
      </c>
      <c r="I31" s="378" t="s">
        <v>110</v>
      </c>
      <c r="J31" s="378" t="s">
        <v>482</v>
      </c>
      <c r="K31" s="378" t="s">
        <v>483</v>
      </c>
      <c r="L31" s="380">
        <v>61.533333333333339</v>
      </c>
      <c r="M31" s="380">
        <v>4</v>
      </c>
      <c r="N31" s="381">
        <v>246.13333333333335</v>
      </c>
    </row>
    <row r="32" spans="1:14" ht="14.4" customHeight="1" x14ac:dyDescent="0.3">
      <c r="A32" s="376" t="s">
        <v>382</v>
      </c>
      <c r="B32" s="377" t="s">
        <v>540</v>
      </c>
      <c r="C32" s="378" t="s">
        <v>387</v>
      </c>
      <c r="D32" s="379" t="s">
        <v>541</v>
      </c>
      <c r="E32" s="378" t="s">
        <v>395</v>
      </c>
      <c r="F32" s="379" t="s">
        <v>543</v>
      </c>
      <c r="G32" s="378" t="s">
        <v>396</v>
      </c>
      <c r="H32" s="378" t="s">
        <v>484</v>
      </c>
      <c r="I32" s="378" t="s">
        <v>110</v>
      </c>
      <c r="J32" s="378" t="s">
        <v>485</v>
      </c>
      <c r="K32" s="378"/>
      <c r="L32" s="380">
        <v>496.64396281895802</v>
      </c>
      <c r="M32" s="380">
        <v>162</v>
      </c>
      <c r="N32" s="381">
        <v>80456.321976671199</v>
      </c>
    </row>
    <row r="33" spans="1:14" ht="14.4" customHeight="1" x14ac:dyDescent="0.3">
      <c r="A33" s="376" t="s">
        <v>382</v>
      </c>
      <c r="B33" s="377" t="s">
        <v>540</v>
      </c>
      <c r="C33" s="378" t="s">
        <v>387</v>
      </c>
      <c r="D33" s="379" t="s">
        <v>541</v>
      </c>
      <c r="E33" s="378" t="s">
        <v>395</v>
      </c>
      <c r="F33" s="379" t="s">
        <v>543</v>
      </c>
      <c r="G33" s="378" t="s">
        <v>396</v>
      </c>
      <c r="H33" s="378" t="s">
        <v>486</v>
      </c>
      <c r="I33" s="378" t="s">
        <v>110</v>
      </c>
      <c r="J33" s="378" t="s">
        <v>487</v>
      </c>
      <c r="K33" s="378" t="s">
        <v>488</v>
      </c>
      <c r="L33" s="380">
        <v>75.020309032110205</v>
      </c>
      <c r="M33" s="380">
        <v>3</v>
      </c>
      <c r="N33" s="381">
        <v>225.0609270963306</v>
      </c>
    </row>
    <row r="34" spans="1:14" ht="14.4" customHeight="1" x14ac:dyDescent="0.3">
      <c r="A34" s="376" t="s">
        <v>382</v>
      </c>
      <c r="B34" s="377" t="s">
        <v>540</v>
      </c>
      <c r="C34" s="378" t="s">
        <v>387</v>
      </c>
      <c r="D34" s="379" t="s">
        <v>541</v>
      </c>
      <c r="E34" s="378" t="s">
        <v>395</v>
      </c>
      <c r="F34" s="379" t="s">
        <v>543</v>
      </c>
      <c r="G34" s="378" t="s">
        <v>396</v>
      </c>
      <c r="H34" s="378" t="s">
        <v>489</v>
      </c>
      <c r="I34" s="378" t="s">
        <v>110</v>
      </c>
      <c r="J34" s="378" t="s">
        <v>490</v>
      </c>
      <c r="K34" s="378"/>
      <c r="L34" s="380">
        <v>56.203795533991112</v>
      </c>
      <c r="M34" s="380">
        <v>64</v>
      </c>
      <c r="N34" s="381">
        <v>3597.0429141754312</v>
      </c>
    </row>
    <row r="35" spans="1:14" ht="14.4" customHeight="1" x14ac:dyDescent="0.3">
      <c r="A35" s="376" t="s">
        <v>382</v>
      </c>
      <c r="B35" s="377" t="s">
        <v>540</v>
      </c>
      <c r="C35" s="378" t="s">
        <v>387</v>
      </c>
      <c r="D35" s="379" t="s">
        <v>541</v>
      </c>
      <c r="E35" s="378" t="s">
        <v>395</v>
      </c>
      <c r="F35" s="379" t="s">
        <v>543</v>
      </c>
      <c r="G35" s="378" t="s">
        <v>396</v>
      </c>
      <c r="H35" s="378" t="s">
        <v>491</v>
      </c>
      <c r="I35" s="378" t="s">
        <v>110</v>
      </c>
      <c r="J35" s="378" t="s">
        <v>492</v>
      </c>
      <c r="K35" s="378" t="s">
        <v>493</v>
      </c>
      <c r="L35" s="380">
        <v>83.308918291917962</v>
      </c>
      <c r="M35" s="380">
        <v>996</v>
      </c>
      <c r="N35" s="381">
        <v>82975.682618750288</v>
      </c>
    </row>
    <row r="36" spans="1:14" ht="14.4" customHeight="1" x14ac:dyDescent="0.3">
      <c r="A36" s="376" t="s">
        <v>382</v>
      </c>
      <c r="B36" s="377" t="s">
        <v>540</v>
      </c>
      <c r="C36" s="378" t="s">
        <v>387</v>
      </c>
      <c r="D36" s="379" t="s">
        <v>541</v>
      </c>
      <c r="E36" s="378" t="s">
        <v>395</v>
      </c>
      <c r="F36" s="379" t="s">
        <v>543</v>
      </c>
      <c r="G36" s="378" t="s">
        <v>396</v>
      </c>
      <c r="H36" s="378" t="s">
        <v>494</v>
      </c>
      <c r="I36" s="378" t="s">
        <v>110</v>
      </c>
      <c r="J36" s="378" t="s">
        <v>495</v>
      </c>
      <c r="K36" s="378"/>
      <c r="L36" s="380">
        <v>167.25402221769511</v>
      </c>
      <c r="M36" s="380">
        <v>4</v>
      </c>
      <c r="N36" s="381">
        <v>669.01608887078044</v>
      </c>
    </row>
    <row r="37" spans="1:14" ht="14.4" customHeight="1" x14ac:dyDescent="0.3">
      <c r="A37" s="376" t="s">
        <v>382</v>
      </c>
      <c r="B37" s="377" t="s">
        <v>540</v>
      </c>
      <c r="C37" s="378" t="s">
        <v>387</v>
      </c>
      <c r="D37" s="379" t="s">
        <v>541</v>
      </c>
      <c r="E37" s="378" t="s">
        <v>395</v>
      </c>
      <c r="F37" s="379" t="s">
        <v>543</v>
      </c>
      <c r="G37" s="378" t="s">
        <v>396</v>
      </c>
      <c r="H37" s="378" t="s">
        <v>496</v>
      </c>
      <c r="I37" s="378" t="s">
        <v>497</v>
      </c>
      <c r="J37" s="378" t="s">
        <v>498</v>
      </c>
      <c r="K37" s="378" t="s">
        <v>499</v>
      </c>
      <c r="L37" s="380">
        <v>67.320000000000007</v>
      </c>
      <c r="M37" s="380">
        <v>40</v>
      </c>
      <c r="N37" s="381">
        <v>2692.8</v>
      </c>
    </row>
    <row r="38" spans="1:14" ht="14.4" customHeight="1" x14ac:dyDescent="0.3">
      <c r="A38" s="376" t="s">
        <v>382</v>
      </c>
      <c r="B38" s="377" t="s">
        <v>540</v>
      </c>
      <c r="C38" s="378" t="s">
        <v>387</v>
      </c>
      <c r="D38" s="379" t="s">
        <v>541</v>
      </c>
      <c r="E38" s="378" t="s">
        <v>395</v>
      </c>
      <c r="F38" s="379" t="s">
        <v>543</v>
      </c>
      <c r="G38" s="378" t="s">
        <v>396</v>
      </c>
      <c r="H38" s="378" t="s">
        <v>500</v>
      </c>
      <c r="I38" s="378" t="s">
        <v>110</v>
      </c>
      <c r="J38" s="378" t="s">
        <v>501</v>
      </c>
      <c r="K38" s="378" t="s">
        <v>502</v>
      </c>
      <c r="L38" s="380">
        <v>42.093160444682091</v>
      </c>
      <c r="M38" s="380">
        <v>16</v>
      </c>
      <c r="N38" s="381">
        <v>673.49056711491346</v>
      </c>
    </row>
    <row r="39" spans="1:14" ht="14.4" customHeight="1" x14ac:dyDescent="0.3">
      <c r="A39" s="376" t="s">
        <v>382</v>
      </c>
      <c r="B39" s="377" t="s">
        <v>540</v>
      </c>
      <c r="C39" s="378" t="s">
        <v>387</v>
      </c>
      <c r="D39" s="379" t="s">
        <v>541</v>
      </c>
      <c r="E39" s="378" t="s">
        <v>395</v>
      </c>
      <c r="F39" s="379" t="s">
        <v>543</v>
      </c>
      <c r="G39" s="378" t="s">
        <v>396</v>
      </c>
      <c r="H39" s="378" t="s">
        <v>503</v>
      </c>
      <c r="I39" s="378" t="s">
        <v>503</v>
      </c>
      <c r="J39" s="378" t="s">
        <v>504</v>
      </c>
      <c r="K39" s="378" t="s">
        <v>505</v>
      </c>
      <c r="L39" s="380">
        <v>58.211042356790216</v>
      </c>
      <c r="M39" s="380">
        <v>13</v>
      </c>
      <c r="N39" s="381">
        <v>756.74355063827284</v>
      </c>
    </row>
    <row r="40" spans="1:14" ht="14.4" customHeight="1" x14ac:dyDescent="0.3">
      <c r="A40" s="376" t="s">
        <v>382</v>
      </c>
      <c r="B40" s="377" t="s">
        <v>540</v>
      </c>
      <c r="C40" s="378" t="s">
        <v>387</v>
      </c>
      <c r="D40" s="379" t="s">
        <v>541</v>
      </c>
      <c r="E40" s="378" t="s">
        <v>395</v>
      </c>
      <c r="F40" s="379" t="s">
        <v>543</v>
      </c>
      <c r="G40" s="378" t="s">
        <v>396</v>
      </c>
      <c r="H40" s="378" t="s">
        <v>506</v>
      </c>
      <c r="I40" s="378" t="s">
        <v>506</v>
      </c>
      <c r="J40" s="378" t="s">
        <v>507</v>
      </c>
      <c r="K40" s="378" t="s">
        <v>508</v>
      </c>
      <c r="L40" s="380">
        <v>4216.8940000000002</v>
      </c>
      <c r="M40" s="380">
        <v>1</v>
      </c>
      <c r="N40" s="381">
        <v>4216.8940000000002</v>
      </c>
    </row>
    <row r="41" spans="1:14" ht="14.4" customHeight="1" x14ac:dyDescent="0.3">
      <c r="A41" s="376" t="s">
        <v>382</v>
      </c>
      <c r="B41" s="377" t="s">
        <v>540</v>
      </c>
      <c r="C41" s="378" t="s">
        <v>387</v>
      </c>
      <c r="D41" s="379" t="s">
        <v>541</v>
      </c>
      <c r="E41" s="378" t="s">
        <v>395</v>
      </c>
      <c r="F41" s="379" t="s">
        <v>543</v>
      </c>
      <c r="G41" s="378" t="s">
        <v>396</v>
      </c>
      <c r="H41" s="378" t="s">
        <v>509</v>
      </c>
      <c r="I41" s="378" t="s">
        <v>509</v>
      </c>
      <c r="J41" s="378" t="s">
        <v>510</v>
      </c>
      <c r="K41" s="378" t="s">
        <v>511</v>
      </c>
      <c r="L41" s="380">
        <v>112.38085048921563</v>
      </c>
      <c r="M41" s="380">
        <v>2</v>
      </c>
      <c r="N41" s="381">
        <v>224.76170097843126</v>
      </c>
    </row>
    <row r="42" spans="1:14" ht="14.4" customHeight="1" x14ac:dyDescent="0.3">
      <c r="A42" s="376" t="s">
        <v>382</v>
      </c>
      <c r="B42" s="377" t="s">
        <v>540</v>
      </c>
      <c r="C42" s="378" t="s">
        <v>387</v>
      </c>
      <c r="D42" s="379" t="s">
        <v>541</v>
      </c>
      <c r="E42" s="378" t="s">
        <v>395</v>
      </c>
      <c r="F42" s="379" t="s">
        <v>543</v>
      </c>
      <c r="G42" s="378" t="s">
        <v>396</v>
      </c>
      <c r="H42" s="378" t="s">
        <v>512</v>
      </c>
      <c r="I42" s="378" t="s">
        <v>110</v>
      </c>
      <c r="J42" s="378" t="s">
        <v>513</v>
      </c>
      <c r="K42" s="378" t="s">
        <v>514</v>
      </c>
      <c r="L42" s="380">
        <v>42.608762922834899</v>
      </c>
      <c r="M42" s="380">
        <v>2</v>
      </c>
      <c r="N42" s="381">
        <v>85.217525845669797</v>
      </c>
    </row>
    <row r="43" spans="1:14" ht="14.4" customHeight="1" x14ac:dyDescent="0.3">
      <c r="A43" s="376" t="s">
        <v>382</v>
      </c>
      <c r="B43" s="377" t="s">
        <v>540</v>
      </c>
      <c r="C43" s="378" t="s">
        <v>387</v>
      </c>
      <c r="D43" s="379" t="s">
        <v>541</v>
      </c>
      <c r="E43" s="378" t="s">
        <v>395</v>
      </c>
      <c r="F43" s="379" t="s">
        <v>543</v>
      </c>
      <c r="G43" s="378" t="s">
        <v>396</v>
      </c>
      <c r="H43" s="378" t="s">
        <v>515</v>
      </c>
      <c r="I43" s="378" t="s">
        <v>515</v>
      </c>
      <c r="J43" s="378" t="s">
        <v>516</v>
      </c>
      <c r="K43" s="378" t="s">
        <v>517</v>
      </c>
      <c r="L43" s="380">
        <v>4820.5200000000004</v>
      </c>
      <c r="M43" s="380">
        <v>2</v>
      </c>
      <c r="N43" s="381">
        <v>9641.0400000000009</v>
      </c>
    </row>
    <row r="44" spans="1:14" ht="14.4" customHeight="1" x14ac:dyDescent="0.3">
      <c r="A44" s="376" t="s">
        <v>382</v>
      </c>
      <c r="B44" s="377" t="s">
        <v>540</v>
      </c>
      <c r="C44" s="378" t="s">
        <v>387</v>
      </c>
      <c r="D44" s="379" t="s">
        <v>541</v>
      </c>
      <c r="E44" s="378" t="s">
        <v>395</v>
      </c>
      <c r="F44" s="379" t="s">
        <v>543</v>
      </c>
      <c r="G44" s="378" t="s">
        <v>396</v>
      </c>
      <c r="H44" s="378" t="s">
        <v>518</v>
      </c>
      <c r="I44" s="378" t="s">
        <v>518</v>
      </c>
      <c r="J44" s="378" t="s">
        <v>519</v>
      </c>
      <c r="K44" s="378" t="s">
        <v>520</v>
      </c>
      <c r="L44" s="380">
        <v>483.4000000000002</v>
      </c>
      <c r="M44" s="380">
        <v>2</v>
      </c>
      <c r="N44" s="381">
        <v>966.80000000000041</v>
      </c>
    </row>
    <row r="45" spans="1:14" ht="14.4" customHeight="1" x14ac:dyDescent="0.3">
      <c r="A45" s="376" t="s">
        <v>382</v>
      </c>
      <c r="B45" s="377" t="s">
        <v>540</v>
      </c>
      <c r="C45" s="378" t="s">
        <v>387</v>
      </c>
      <c r="D45" s="379" t="s">
        <v>541</v>
      </c>
      <c r="E45" s="378" t="s">
        <v>521</v>
      </c>
      <c r="F45" s="379" t="s">
        <v>544</v>
      </c>
      <c r="G45" s="378" t="s">
        <v>396</v>
      </c>
      <c r="H45" s="378" t="s">
        <v>522</v>
      </c>
      <c r="I45" s="378" t="s">
        <v>523</v>
      </c>
      <c r="J45" s="378" t="s">
        <v>524</v>
      </c>
      <c r="K45" s="378" t="s">
        <v>525</v>
      </c>
      <c r="L45" s="380">
        <v>68.239709073019412</v>
      </c>
      <c r="M45" s="380">
        <v>88</v>
      </c>
      <c r="N45" s="381">
        <v>6005.0943984257083</v>
      </c>
    </row>
    <row r="46" spans="1:14" ht="14.4" customHeight="1" x14ac:dyDescent="0.3">
      <c r="A46" s="376" t="s">
        <v>382</v>
      </c>
      <c r="B46" s="377" t="s">
        <v>540</v>
      </c>
      <c r="C46" s="378" t="s">
        <v>387</v>
      </c>
      <c r="D46" s="379" t="s">
        <v>541</v>
      </c>
      <c r="E46" s="378" t="s">
        <v>521</v>
      </c>
      <c r="F46" s="379" t="s">
        <v>544</v>
      </c>
      <c r="G46" s="378" t="s">
        <v>396</v>
      </c>
      <c r="H46" s="378" t="s">
        <v>526</v>
      </c>
      <c r="I46" s="378" t="s">
        <v>527</v>
      </c>
      <c r="J46" s="378" t="s">
        <v>528</v>
      </c>
      <c r="K46" s="378" t="s">
        <v>529</v>
      </c>
      <c r="L46" s="380">
        <v>88.370000000000019</v>
      </c>
      <c r="M46" s="380">
        <v>7</v>
      </c>
      <c r="N46" s="381">
        <v>618.59000000000015</v>
      </c>
    </row>
    <row r="47" spans="1:14" ht="14.4" customHeight="1" x14ac:dyDescent="0.3">
      <c r="A47" s="376" t="s">
        <v>382</v>
      </c>
      <c r="B47" s="377" t="s">
        <v>540</v>
      </c>
      <c r="C47" s="378" t="s">
        <v>387</v>
      </c>
      <c r="D47" s="379" t="s">
        <v>541</v>
      </c>
      <c r="E47" s="378" t="s">
        <v>521</v>
      </c>
      <c r="F47" s="379" t="s">
        <v>544</v>
      </c>
      <c r="G47" s="378" t="s">
        <v>396</v>
      </c>
      <c r="H47" s="378" t="s">
        <v>530</v>
      </c>
      <c r="I47" s="378" t="s">
        <v>531</v>
      </c>
      <c r="J47" s="378" t="s">
        <v>532</v>
      </c>
      <c r="K47" s="378" t="s">
        <v>525</v>
      </c>
      <c r="L47" s="380">
        <v>60.204890724067646</v>
      </c>
      <c r="M47" s="380">
        <v>22</v>
      </c>
      <c r="N47" s="381">
        <v>1324.5075959294882</v>
      </c>
    </row>
    <row r="48" spans="1:14" ht="14.4" customHeight="1" x14ac:dyDescent="0.3">
      <c r="A48" s="376" t="s">
        <v>382</v>
      </c>
      <c r="B48" s="377" t="s">
        <v>540</v>
      </c>
      <c r="C48" s="378" t="s">
        <v>387</v>
      </c>
      <c r="D48" s="379" t="s">
        <v>541</v>
      </c>
      <c r="E48" s="378" t="s">
        <v>521</v>
      </c>
      <c r="F48" s="379" t="s">
        <v>544</v>
      </c>
      <c r="G48" s="378" t="s">
        <v>533</v>
      </c>
      <c r="H48" s="378" t="s">
        <v>534</v>
      </c>
      <c r="I48" s="378" t="s">
        <v>534</v>
      </c>
      <c r="J48" s="378" t="s">
        <v>535</v>
      </c>
      <c r="K48" s="378" t="s">
        <v>536</v>
      </c>
      <c r="L48" s="380">
        <v>1936.2199999999998</v>
      </c>
      <c r="M48" s="380">
        <v>4</v>
      </c>
      <c r="N48" s="381">
        <v>7744.8799999999992</v>
      </c>
    </row>
    <row r="49" spans="1:14" ht="14.4" customHeight="1" x14ac:dyDescent="0.3">
      <c r="A49" s="376" t="s">
        <v>382</v>
      </c>
      <c r="B49" s="377" t="s">
        <v>540</v>
      </c>
      <c r="C49" s="378" t="s">
        <v>392</v>
      </c>
      <c r="D49" s="379" t="s">
        <v>542</v>
      </c>
      <c r="E49" s="378" t="s">
        <v>395</v>
      </c>
      <c r="F49" s="379" t="s">
        <v>543</v>
      </c>
      <c r="G49" s="378" t="s">
        <v>396</v>
      </c>
      <c r="H49" s="378" t="s">
        <v>409</v>
      </c>
      <c r="I49" s="378" t="s">
        <v>410</v>
      </c>
      <c r="J49" s="378" t="s">
        <v>411</v>
      </c>
      <c r="K49" s="378" t="s">
        <v>412</v>
      </c>
      <c r="L49" s="380">
        <v>73.735204379069742</v>
      </c>
      <c r="M49" s="380">
        <v>11</v>
      </c>
      <c r="N49" s="381">
        <v>811.08724816976724</v>
      </c>
    </row>
    <row r="50" spans="1:14" ht="14.4" customHeight="1" x14ac:dyDescent="0.3">
      <c r="A50" s="376" t="s">
        <v>382</v>
      </c>
      <c r="B50" s="377" t="s">
        <v>540</v>
      </c>
      <c r="C50" s="378" t="s">
        <v>392</v>
      </c>
      <c r="D50" s="379" t="s">
        <v>542</v>
      </c>
      <c r="E50" s="378" t="s">
        <v>395</v>
      </c>
      <c r="F50" s="379" t="s">
        <v>543</v>
      </c>
      <c r="G50" s="378" t="s">
        <v>396</v>
      </c>
      <c r="H50" s="378" t="s">
        <v>413</v>
      </c>
      <c r="I50" s="378" t="s">
        <v>414</v>
      </c>
      <c r="J50" s="378" t="s">
        <v>415</v>
      </c>
      <c r="K50" s="378" t="s">
        <v>416</v>
      </c>
      <c r="L50" s="380">
        <v>375.7999999999999</v>
      </c>
      <c r="M50" s="380">
        <v>2</v>
      </c>
      <c r="N50" s="381">
        <v>751.5999999999998</v>
      </c>
    </row>
    <row r="51" spans="1:14" ht="14.4" customHeight="1" x14ac:dyDescent="0.3">
      <c r="A51" s="376" t="s">
        <v>382</v>
      </c>
      <c r="B51" s="377" t="s">
        <v>540</v>
      </c>
      <c r="C51" s="378" t="s">
        <v>392</v>
      </c>
      <c r="D51" s="379" t="s">
        <v>542</v>
      </c>
      <c r="E51" s="378" t="s">
        <v>395</v>
      </c>
      <c r="F51" s="379" t="s">
        <v>543</v>
      </c>
      <c r="G51" s="378" t="s">
        <v>396</v>
      </c>
      <c r="H51" s="378" t="s">
        <v>432</v>
      </c>
      <c r="I51" s="378" t="s">
        <v>433</v>
      </c>
      <c r="J51" s="378" t="s">
        <v>434</v>
      </c>
      <c r="K51" s="378" t="s">
        <v>435</v>
      </c>
      <c r="L51" s="380">
        <v>531.26924625708057</v>
      </c>
      <c r="M51" s="380">
        <v>4</v>
      </c>
      <c r="N51" s="381">
        <v>2125.0769850283223</v>
      </c>
    </row>
    <row r="52" spans="1:14" ht="14.4" customHeight="1" x14ac:dyDescent="0.3">
      <c r="A52" s="376" t="s">
        <v>382</v>
      </c>
      <c r="B52" s="377" t="s">
        <v>540</v>
      </c>
      <c r="C52" s="378" t="s">
        <v>392</v>
      </c>
      <c r="D52" s="379" t="s">
        <v>542</v>
      </c>
      <c r="E52" s="378" t="s">
        <v>395</v>
      </c>
      <c r="F52" s="379" t="s">
        <v>543</v>
      </c>
      <c r="G52" s="378" t="s">
        <v>396</v>
      </c>
      <c r="H52" s="378" t="s">
        <v>537</v>
      </c>
      <c r="I52" s="378" t="s">
        <v>538</v>
      </c>
      <c r="J52" s="378" t="s">
        <v>434</v>
      </c>
      <c r="K52" s="378" t="s">
        <v>539</v>
      </c>
      <c r="L52" s="380">
        <v>312.84000000000003</v>
      </c>
      <c r="M52" s="380">
        <v>7</v>
      </c>
      <c r="N52" s="381">
        <v>2189.88</v>
      </c>
    </row>
    <row r="53" spans="1:14" ht="14.4" customHeight="1" x14ac:dyDescent="0.3">
      <c r="A53" s="376" t="s">
        <v>382</v>
      </c>
      <c r="B53" s="377" t="s">
        <v>540</v>
      </c>
      <c r="C53" s="378" t="s">
        <v>392</v>
      </c>
      <c r="D53" s="379" t="s">
        <v>542</v>
      </c>
      <c r="E53" s="378" t="s">
        <v>395</v>
      </c>
      <c r="F53" s="379" t="s">
        <v>543</v>
      </c>
      <c r="G53" s="378" t="s">
        <v>396</v>
      </c>
      <c r="H53" s="378" t="s">
        <v>442</v>
      </c>
      <c r="I53" s="378" t="s">
        <v>110</v>
      </c>
      <c r="J53" s="378" t="s">
        <v>443</v>
      </c>
      <c r="K53" s="378" t="s">
        <v>444</v>
      </c>
      <c r="L53" s="380">
        <v>23.700815224869057</v>
      </c>
      <c r="M53" s="380">
        <v>18</v>
      </c>
      <c r="N53" s="381">
        <v>426.61467404764301</v>
      </c>
    </row>
    <row r="54" spans="1:14" ht="14.4" customHeight="1" x14ac:dyDescent="0.3">
      <c r="A54" s="376" t="s">
        <v>382</v>
      </c>
      <c r="B54" s="377" t="s">
        <v>540</v>
      </c>
      <c r="C54" s="378" t="s">
        <v>392</v>
      </c>
      <c r="D54" s="379" t="s">
        <v>542</v>
      </c>
      <c r="E54" s="378" t="s">
        <v>395</v>
      </c>
      <c r="F54" s="379" t="s">
        <v>543</v>
      </c>
      <c r="G54" s="378" t="s">
        <v>396</v>
      </c>
      <c r="H54" s="378" t="s">
        <v>445</v>
      </c>
      <c r="I54" s="378" t="s">
        <v>446</v>
      </c>
      <c r="J54" s="378" t="s">
        <v>447</v>
      </c>
      <c r="K54" s="378" t="s">
        <v>448</v>
      </c>
      <c r="L54" s="380">
        <v>60.95</v>
      </c>
      <c r="M54" s="380">
        <v>5</v>
      </c>
      <c r="N54" s="381">
        <v>304.75</v>
      </c>
    </row>
    <row r="55" spans="1:14" ht="14.4" customHeight="1" x14ac:dyDescent="0.3">
      <c r="A55" s="376" t="s">
        <v>382</v>
      </c>
      <c r="B55" s="377" t="s">
        <v>540</v>
      </c>
      <c r="C55" s="378" t="s">
        <v>392</v>
      </c>
      <c r="D55" s="379" t="s">
        <v>542</v>
      </c>
      <c r="E55" s="378" t="s">
        <v>395</v>
      </c>
      <c r="F55" s="379" t="s">
        <v>543</v>
      </c>
      <c r="G55" s="378" t="s">
        <v>396</v>
      </c>
      <c r="H55" s="378" t="s">
        <v>452</v>
      </c>
      <c r="I55" s="378" t="s">
        <v>453</v>
      </c>
      <c r="J55" s="378" t="s">
        <v>434</v>
      </c>
      <c r="K55" s="378" t="s">
        <v>454</v>
      </c>
      <c r="L55" s="380">
        <v>201.30000000000004</v>
      </c>
      <c r="M55" s="380">
        <v>3</v>
      </c>
      <c r="N55" s="381">
        <v>603.90000000000009</v>
      </c>
    </row>
    <row r="56" spans="1:14" ht="14.4" customHeight="1" thickBot="1" x14ac:dyDescent="0.35">
      <c r="A56" s="382" t="s">
        <v>382</v>
      </c>
      <c r="B56" s="383" t="s">
        <v>540</v>
      </c>
      <c r="C56" s="384" t="s">
        <v>392</v>
      </c>
      <c r="D56" s="385" t="s">
        <v>542</v>
      </c>
      <c r="E56" s="384" t="s">
        <v>395</v>
      </c>
      <c r="F56" s="385" t="s">
        <v>543</v>
      </c>
      <c r="G56" s="384" t="s">
        <v>396</v>
      </c>
      <c r="H56" s="384" t="s">
        <v>469</v>
      </c>
      <c r="I56" s="384" t="s">
        <v>110</v>
      </c>
      <c r="J56" s="384" t="s">
        <v>470</v>
      </c>
      <c r="K56" s="384"/>
      <c r="L56" s="386">
        <v>91.907115175204368</v>
      </c>
      <c r="M56" s="386">
        <v>13</v>
      </c>
      <c r="N56" s="387">
        <v>1194.7924972776568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0" tint="-0.249977111117893"/>
    <pageSetUpPr fitToPage="1"/>
  </sheetPr>
  <dimension ref="A1:F9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RowHeight="14.4" customHeight="1" x14ac:dyDescent="0.3"/>
  <cols>
    <col min="1" max="1" width="46.6640625" style="107" customWidth="1"/>
    <col min="2" max="2" width="10" style="174" customWidth="1"/>
    <col min="3" max="3" width="5.5546875" style="177" customWidth="1"/>
    <col min="4" max="4" width="10" style="174" customWidth="1"/>
    <col min="5" max="5" width="5.5546875" style="177" customWidth="1"/>
    <col min="6" max="6" width="10" style="174" customWidth="1"/>
    <col min="7" max="16384" width="8.88671875" style="107"/>
  </cols>
  <sheetData>
    <row r="1" spans="1:6" ht="37.200000000000003" customHeight="1" thickBot="1" x14ac:dyDescent="0.4">
      <c r="A1" s="310" t="s">
        <v>108</v>
      </c>
      <c r="B1" s="311"/>
      <c r="C1" s="311"/>
      <c r="D1" s="311"/>
      <c r="E1" s="311"/>
      <c r="F1" s="311"/>
    </row>
    <row r="2" spans="1:6" ht="14.4" customHeight="1" thickBot="1" x14ac:dyDescent="0.35">
      <c r="A2" s="187" t="s">
        <v>220</v>
      </c>
      <c r="B2" s="63"/>
      <c r="C2" s="64"/>
      <c r="D2" s="65"/>
      <c r="E2" s="64"/>
      <c r="F2" s="65"/>
    </row>
    <row r="3" spans="1:6" ht="14.4" customHeight="1" thickBot="1" x14ac:dyDescent="0.35">
      <c r="A3" s="83"/>
      <c r="B3" s="312" t="s">
        <v>80</v>
      </c>
      <c r="C3" s="313"/>
      <c r="D3" s="314" t="s">
        <v>79</v>
      </c>
      <c r="E3" s="313"/>
      <c r="F3" s="70" t="s">
        <v>3</v>
      </c>
    </row>
    <row r="4" spans="1:6" ht="14.4" customHeight="1" thickBot="1" x14ac:dyDescent="0.35">
      <c r="A4" s="388" t="s">
        <v>92</v>
      </c>
      <c r="B4" s="389" t="s">
        <v>14</v>
      </c>
      <c r="C4" s="390" t="s">
        <v>2</v>
      </c>
      <c r="D4" s="389" t="s">
        <v>14</v>
      </c>
      <c r="E4" s="390" t="s">
        <v>2</v>
      </c>
      <c r="F4" s="391" t="s">
        <v>14</v>
      </c>
    </row>
    <row r="5" spans="1:6" ht="14.4" customHeight="1" thickBot="1" x14ac:dyDescent="0.35">
      <c r="A5" s="402" t="s">
        <v>545</v>
      </c>
      <c r="B5" s="368"/>
      <c r="C5" s="392">
        <v>0</v>
      </c>
      <c r="D5" s="368">
        <v>7744.88</v>
      </c>
      <c r="E5" s="392">
        <v>1</v>
      </c>
      <c r="F5" s="369">
        <v>7744.88</v>
      </c>
    </row>
    <row r="6" spans="1:6" ht="14.4" customHeight="1" thickBot="1" x14ac:dyDescent="0.35">
      <c r="A6" s="398" t="s">
        <v>3</v>
      </c>
      <c r="B6" s="399"/>
      <c r="C6" s="400">
        <v>0</v>
      </c>
      <c r="D6" s="399">
        <v>7744.88</v>
      </c>
      <c r="E6" s="400">
        <v>1</v>
      </c>
      <c r="F6" s="401">
        <v>7744.88</v>
      </c>
    </row>
    <row r="7" spans="1:6" ht="14.4" customHeight="1" thickBot="1" x14ac:dyDescent="0.35"/>
    <row r="8" spans="1:6" ht="14.4" customHeight="1" thickBot="1" x14ac:dyDescent="0.35">
      <c r="A8" s="402" t="s">
        <v>546</v>
      </c>
      <c r="B8" s="368"/>
      <c r="C8" s="392">
        <v>0</v>
      </c>
      <c r="D8" s="368">
        <v>7744.88</v>
      </c>
      <c r="E8" s="392">
        <v>1</v>
      </c>
      <c r="F8" s="369">
        <v>7744.88</v>
      </c>
    </row>
    <row r="9" spans="1:6" ht="14.4" customHeight="1" thickBot="1" x14ac:dyDescent="0.35">
      <c r="A9" s="398" t="s">
        <v>3</v>
      </c>
      <c r="B9" s="399"/>
      <c r="C9" s="400">
        <v>0</v>
      </c>
      <c r="D9" s="399">
        <v>7744.88</v>
      </c>
      <c r="E9" s="400">
        <v>1</v>
      </c>
      <c r="F9" s="401">
        <v>7744.88</v>
      </c>
    </row>
  </sheetData>
  <mergeCells count="3">
    <mergeCell ref="A1:F1"/>
    <mergeCell ref="B3:C3"/>
    <mergeCell ref="D3:E3"/>
  </mergeCells>
  <conditionalFormatting sqref="C5:C1048576">
    <cfRule type="cellIs" dxfId="22" priority="8" stopIfTrue="1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theme="0" tint="-0.249977111117893"/>
    <pageSetUpPr fitToPage="1"/>
  </sheetPr>
  <dimension ref="A1:M6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5.77734375" style="107" bestFit="1" customWidth="1"/>
    <col min="2" max="2" width="8.88671875" style="107" bestFit="1" customWidth="1"/>
    <col min="3" max="3" width="7" style="107" bestFit="1" customWidth="1"/>
    <col min="4" max="4" width="53.44140625" style="107" bestFit="1" customWidth="1"/>
    <col min="5" max="5" width="28.44140625" style="107" bestFit="1" customWidth="1"/>
    <col min="6" max="6" width="6.6640625" style="174" customWidth="1"/>
    <col min="7" max="7" width="10" style="174" customWidth="1"/>
    <col min="8" max="8" width="6.77734375" style="177" bestFit="1" customWidth="1"/>
    <col min="9" max="9" width="6.6640625" style="174" customWidth="1"/>
    <col min="10" max="10" width="10" style="174" customWidth="1"/>
    <col min="11" max="11" width="6.77734375" style="177" bestFit="1" customWidth="1"/>
    <col min="12" max="12" width="6.6640625" style="174" customWidth="1"/>
    <col min="13" max="13" width="10" style="174" customWidth="1"/>
    <col min="14" max="16384" width="8.88671875" style="107"/>
  </cols>
  <sheetData>
    <row r="1" spans="1:13" ht="18.600000000000001" customHeight="1" thickBot="1" x14ac:dyDescent="0.4">
      <c r="A1" s="311" t="s">
        <v>548</v>
      </c>
      <c r="B1" s="311"/>
      <c r="C1" s="311"/>
      <c r="D1" s="311"/>
      <c r="E1" s="311"/>
      <c r="F1" s="311"/>
      <c r="G1" s="311"/>
      <c r="H1" s="311"/>
      <c r="I1" s="311"/>
      <c r="J1" s="311"/>
      <c r="K1" s="311"/>
      <c r="L1" s="273"/>
      <c r="M1" s="273"/>
    </row>
    <row r="2" spans="1:13" ht="14.4" customHeight="1" thickBot="1" x14ac:dyDescent="0.35">
      <c r="A2" s="187" t="s">
        <v>220</v>
      </c>
      <c r="B2" s="173"/>
      <c r="C2" s="173"/>
      <c r="D2" s="173"/>
      <c r="E2" s="173"/>
      <c r="F2" s="181"/>
      <c r="G2" s="181"/>
      <c r="H2" s="182"/>
      <c r="I2" s="181"/>
      <c r="J2" s="181"/>
      <c r="K2" s="182"/>
      <c r="L2" s="181"/>
    </row>
    <row r="3" spans="1:13" ht="14.4" customHeight="1" thickBot="1" x14ac:dyDescent="0.35">
      <c r="E3" s="69" t="s">
        <v>78</v>
      </c>
      <c r="F3" s="43">
        <f>SUBTOTAL(9,F6:F1048576)</f>
        <v>0</v>
      </c>
      <c r="G3" s="43">
        <f>SUBTOTAL(9,G6:G1048576)</f>
        <v>0</v>
      </c>
      <c r="H3" s="44">
        <f>IF(M3=0,0,G3/M3)</f>
        <v>0</v>
      </c>
      <c r="I3" s="43">
        <f>SUBTOTAL(9,I6:I1048576)</f>
        <v>4</v>
      </c>
      <c r="J3" s="43">
        <f>SUBTOTAL(9,J6:J1048576)</f>
        <v>7744.88</v>
      </c>
      <c r="K3" s="44">
        <f>IF(M3=0,0,J3/M3)</f>
        <v>1</v>
      </c>
      <c r="L3" s="43">
        <f>SUBTOTAL(9,L6:L1048576)</f>
        <v>4</v>
      </c>
      <c r="M3" s="45">
        <f>SUBTOTAL(9,M6:M1048576)</f>
        <v>7744.88</v>
      </c>
    </row>
    <row r="4" spans="1:13" ht="14.4" customHeight="1" thickBot="1" x14ac:dyDescent="0.35">
      <c r="A4" s="41"/>
      <c r="B4" s="41"/>
      <c r="C4" s="41"/>
      <c r="D4" s="41"/>
      <c r="E4" s="42"/>
      <c r="F4" s="315" t="s">
        <v>80</v>
      </c>
      <c r="G4" s="316"/>
      <c r="H4" s="317"/>
      <c r="I4" s="318" t="s">
        <v>79</v>
      </c>
      <c r="J4" s="316"/>
      <c r="K4" s="317"/>
      <c r="L4" s="319" t="s">
        <v>3</v>
      </c>
      <c r="M4" s="320"/>
    </row>
    <row r="5" spans="1:13" ht="14.4" customHeight="1" thickBot="1" x14ac:dyDescent="0.35">
      <c r="A5" s="388" t="s">
        <v>81</v>
      </c>
      <c r="B5" s="404" t="s">
        <v>82</v>
      </c>
      <c r="C5" s="404" t="s">
        <v>57</v>
      </c>
      <c r="D5" s="404" t="s">
        <v>83</v>
      </c>
      <c r="E5" s="404" t="s">
        <v>84</v>
      </c>
      <c r="F5" s="405" t="s">
        <v>15</v>
      </c>
      <c r="G5" s="405" t="s">
        <v>14</v>
      </c>
      <c r="H5" s="390" t="s">
        <v>85</v>
      </c>
      <c r="I5" s="389" t="s">
        <v>15</v>
      </c>
      <c r="J5" s="405" t="s">
        <v>14</v>
      </c>
      <c r="K5" s="390" t="s">
        <v>85</v>
      </c>
      <c r="L5" s="389" t="s">
        <v>15</v>
      </c>
      <c r="M5" s="406" t="s">
        <v>14</v>
      </c>
    </row>
    <row r="6" spans="1:13" ht="14.4" customHeight="1" thickBot="1" x14ac:dyDescent="0.35">
      <c r="A6" s="395" t="s">
        <v>387</v>
      </c>
      <c r="B6" s="407" t="s">
        <v>547</v>
      </c>
      <c r="C6" s="407" t="s">
        <v>534</v>
      </c>
      <c r="D6" s="407" t="s">
        <v>535</v>
      </c>
      <c r="E6" s="407" t="s">
        <v>536</v>
      </c>
      <c r="F6" s="396"/>
      <c r="G6" s="396"/>
      <c r="H6" s="255">
        <v>0</v>
      </c>
      <c r="I6" s="396">
        <v>4</v>
      </c>
      <c r="J6" s="396">
        <v>7744.88</v>
      </c>
      <c r="K6" s="255">
        <v>1</v>
      </c>
      <c r="L6" s="396">
        <v>4</v>
      </c>
      <c r="M6" s="397">
        <v>7744.88</v>
      </c>
    </row>
  </sheetData>
  <autoFilter ref="A5:M374"/>
  <mergeCells count="4">
    <mergeCell ref="F4:H4"/>
    <mergeCell ref="I4:K4"/>
    <mergeCell ref="L4:M4"/>
    <mergeCell ref="A1:M1"/>
  </mergeCells>
  <conditionalFormatting sqref="H3 H6:H1048576">
    <cfRule type="cellIs" dxfId="21" priority="4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14</vt:i4>
      </vt:variant>
    </vt:vector>
  </HeadingPairs>
  <TitlesOfParts>
    <vt:vector size="14" baseType="lpstr">
      <vt:lpstr>Obsah</vt:lpstr>
      <vt:lpstr>Motivace</vt:lpstr>
      <vt:lpstr>HI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Materiál Žádanky</vt:lpstr>
      <vt:lpstr>MŽ Detail</vt:lpstr>
      <vt:lpstr>Osobní náklady</vt:lpstr>
      <vt:lpstr>ON Data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2014-08-21T08:13:26Z</cp:lastPrinted>
  <dcterms:created xsi:type="dcterms:W3CDTF">2013-04-17T20:15:29Z</dcterms:created>
  <dcterms:modified xsi:type="dcterms:W3CDTF">2015-09-24T15:45:20Z</dcterms:modified>
</cp:coreProperties>
</file>