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V" sheetId="367" r:id="rId4"/>
    <sheet name="Léky Žádanky" sheetId="219" r:id="rId5"/>
    <sheet name="LŽ Detail" sheetId="220" r:id="rId6"/>
    <sheet name="LŽ PL" sheetId="380" r:id="rId7"/>
    <sheet name="LŽ PL Detail" sheetId="387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</sheets>
  <definedNames>
    <definedName name="_xlnm._FilterDatabase" localSheetId="3" hidden="1">HV!$A$5:$A$5</definedName>
    <definedName name="_xlnm._FilterDatabase" localSheetId="4" hidden="1">'Léky Žádanky'!$A$4:$I$4</definedName>
    <definedName name="_xlnm._FilterDatabase" localSheetId="5" hidden="1">'LŽ Detail'!$A$4:$N$4</definedName>
    <definedName name="_xlnm._FilterDatabase" localSheetId="6" hidden="1">'LŽ PL'!$A$4:$F$15</definedName>
    <definedName name="_xlnm._FilterDatabase" localSheetId="7" hidden="1">'LŽ PL Detail'!$A$5:$M$374</definedName>
    <definedName name="_xlnm._FilterDatabase" localSheetId="8" hidden="1">'LŽ Statim'!$A$5:$I$5</definedName>
    <definedName name="_xlnm._FilterDatabase" localSheetId="9" hidden="1">'Materiál Žádanky'!$A$4:$I$4</definedName>
    <definedName name="_xlnm._FilterDatabase" localSheetId="10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4" i="383" l="1"/>
  <c r="A9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3" i="414" l="1"/>
  <c r="E7" i="414"/>
  <c r="E8" i="414"/>
  <c r="A12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6" i="383"/>
  <c r="A15" i="383"/>
  <c r="A11" i="383"/>
  <c r="A10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<sst xmlns="http://schemas.openxmlformats.org/spreadsheetml/2006/main" count="5840" uniqueCount="1421">
  <si>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</si>
  <si>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</si>
  <si>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</si>
  <si>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</si>
  <si>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</si>
  <si>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</si>
  <si>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</si>
  <si>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</si>
  <si>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</si>
  <si>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</si>
  <si>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</si>
  <si>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</si>
  <si>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</si>
  <si>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</si>
  <si>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</si>
  <si>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</si>
  <si>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502     Spotřeba energie</t>
  </si>
  <si>
    <t>511     Opravy a udržování</t>
  </si>
  <si>
    <t>512     Cestovné</t>
  </si>
  <si>
    <t>518     Ostatní služby</t>
  </si>
  <si>
    <t>52     Osobní náklady</t>
  </si>
  <si>
    <t>799     Vnitropodnikové náklady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</si>
  <si>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</si>
  <si>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</si>
  <si>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</si>
  <si>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</si>
  <si>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</si>
  <si>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</si>
  <si>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</si>
  <si>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</si>
  <si>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</si>
  <si>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</si>
  <si>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</si>
  <si>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</si>
  <si>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</si>
  <si>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</si>
  <si>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</si>
  <si>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</si>
  <si>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</si>
  <si>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</si>
  <si>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</si>
  <si>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</si>
  <si>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</si>
  <si>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</si>
  <si>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</si>
  <si>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</si>
  <si>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</si>
  <si>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</si>
  <si>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</si>
  <si>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</si>
  <si>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</si>
  <si>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</si>
  <si>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</si>
  <si>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</si>
  <si>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</si>
  <si>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</si>
  <si>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</si>
  <si>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</si>
  <si>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</si>
  <si>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</si>
  <si>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</si>
  <si>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</si>
  <si>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</si>
  <si>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</si>
  <si>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</si>
  <si>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</si>
  <si>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</si>
  <si>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</si>
  <si>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</si>
  <si>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</si>
  <si>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</si>
  <si>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</si>
  <si>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</si>
  <si>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</si>
  <si>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</si>
  <si>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</si>
  <si>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</si>
  <si>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</si>
  <si>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</si>
  <si>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</si>
  <si>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</si>
  <si>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</si>
  <si>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</si>
  <si>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</si>
  <si>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</si>
  <si>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</si>
  <si>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</si>
  <si>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</si>
  <si>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</si>
  <si>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</si>
  <si>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</si>
  <si>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</si>
  <si>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</si>
  <si>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</si>
  <si>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</si>
  <si>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</si>
  <si>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</si>
  <si>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</si>
  <si>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</si>
  <si>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</si>
  <si>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</si>
  <si>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</si>
  <si>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</si>
  <si>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</si>
  <si>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</si>
  <si>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</si>
  <si>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</si>
  <si>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</si>
  <si>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</si>
  <si>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</si>
  <si>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</si>
  <si>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</si>
  <si>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</si>
  <si>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</si>
  <si>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</si>
  <si>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</si>
  <si>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</si>
  <si>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</si>
  <si>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</si>
  <si>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</si>
  <si>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</si>
  <si>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</si>
  <si>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</si>
  <si>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</si>
  <si>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</si>
  <si>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</si>
  <si>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</si>
  <si>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</si>
  <si>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</si>
  <si>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</si>
  <si>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</si>
  <si>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</si>
  <si>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</si>
  <si>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</si>
  <si>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</si>
  <si>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</si>
  <si>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</si>
  <si>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</si>
  <si>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</si>
  <si>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</si>
  <si>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</si>
  <si>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</si>
  <si>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</si>
  <si>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</si>
  <si>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</si>
  <si>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</si>
  <si>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</si>
  <si>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</si>
  <si>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</si>
  <si>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</si>
  <si>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</si>
  <si>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</si>
  <si>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</si>
  <si>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</si>
  <si>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</si>
  <si>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</si>
  <si>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</si>
  <si>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</si>
  <si>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</si>
  <si>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</si>
  <si>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</si>
  <si>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</si>
  <si>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</si>
  <si>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</si>
  <si>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</si>
  <si>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</si>
  <si>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</si>
  <si>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</si>
  <si>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</si>
  <si>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</si>
  <si>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</si>
  <si>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</si>
  <si>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</si>
  <si>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</si>
  <si>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</si>
  <si>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</si>
  <si>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</si>
  <si>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</si>
  <si>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</si>
  <si>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</si>
  <si>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</si>
  <si>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>5     Účtová třída 5 - Náklady</t>
  </si>
  <si>
    <t>50     Spotřebované nákupy</t>
  </si>
  <si>
    <t>501     Spotřeba materiálu</t>
  </si>
  <si>
    <t>50109     Cenové odchylky k materiálu</t>
  </si>
  <si>
    <t>/0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</si>
  <si>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</si>
  <si>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</si>
  <si>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</si>
  <si>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</si>
  <si>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</si>
  <si>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</si>
  <si>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</si>
  <si>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</si>
  <si>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</si>
  <si>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</si>
  <si>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</si>
  <si>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</si>
  <si>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</si>
  <si>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</si>
  <si>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</si>
  <si>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</si>
  <si>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</si>
  <si>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</si>
  <si>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</si>
  <si>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</si>
  <si>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</si>
  <si>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</si>
  <si>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</si>
  <si>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</si>
  <si>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</si>
  <si>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</si>
  <si>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</si>
  <si>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</si>
  <si>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</si>
  <si>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</si>
  <si>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</si>
  <si>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</si>
  <si>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</si>
  <si>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</si>
  <si>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</si>
  <si>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</si>
  <si>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</si>
  <si>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</si>
  <si>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</si>
  <si>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</si>
  <si>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</si>
  <si>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</si>
  <si>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</si>
  <si>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</si>
  <si>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</si>
  <si>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</si>
  <si>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</si>
  <si>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</si>
  <si>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</si>
  <si>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</si>
  <si>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</si>
  <si>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</si>
  <si>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</si>
  <si>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</si>
  <si>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</si>
  <si>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</si>
  <si>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</si>
  <si>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</si>
  <si>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</si>
  <si>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</si>
  <si>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</si>
  <si>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</si>
  <si>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</si>
  <si>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</si>
  <si>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</si>
  <si>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</si>
  <si>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</si>
  <si>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</si>
  <si>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</si>
  <si>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</si>
  <si>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</si>
  <si>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</si>
  <si>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</si>
  <si>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</si>
  <si>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</si>
  <si>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</si>
  <si>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</si>
  <si>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</si>
  <si>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</si>
  <si>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</si>
  <si>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</si>
  <si>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</si>
  <si>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</si>
  <si>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</si>
  <si>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</si>
  <si>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</si>
  <si>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</si>
  <si>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</si>
  <si>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</si>
  <si>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</si>
  <si>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</si>
  <si>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</si>
  <si>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</si>
  <si>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</si>
  <si>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</si>
  <si>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</si>
  <si>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</si>
  <si>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</si>
  <si>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</si>
  <si>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</si>
  <si>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</si>
  <si>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</si>
  <si>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</si>
  <si>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</si>
  <si>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</si>
  <si>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</si>
  <si>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</si>
  <si>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</si>
  <si>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</si>
  <si>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</si>
  <si>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</si>
  <si>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</si>
  <si>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</si>
  <si>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</si>
  <si>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</si>
  <si>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</si>
  <si>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</si>
  <si>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</si>
  <si>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</si>
  <si>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</si>
  <si>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</si>
  <si>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</si>
  <si>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</si>
  <si>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</si>
  <si>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</si>
  <si>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</si>
  <si>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</si>
  <si>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</si>
  <si>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</si>
  <si>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</si>
  <si>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</si>
  <si>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</si>
  <si>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</si>
  <si>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</si>
  <si>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</si>
  <si>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</si>
  <si>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</si>
  <si>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</si>
  <si>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</si>
  <si>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</si>
  <si>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</si>
  <si>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</si>
  <si>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</si>
  <si>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</si>
  <si>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</si>
  <si>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</si>
  <si>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</si>
  <si>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</si>
  <si>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</si>
  <si>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</si>
  <si>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</si>
  <si>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</si>
  <si>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</si>
  <si>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</si>
  <si>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</si>
  <si>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</si>
  <si>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</si>
  <si>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</si>
  <si>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</si>
  <si>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</si>
  <si>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</si>
  <si>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</si>
  <si>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</si>
  <si>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</si>
  <si>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</si>
  <si>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</si>
  <si>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</si>
  <si>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</si>
  <si>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</si>
  <si>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</si>
  <si>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</si>
  <si>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</si>
  <si>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</si>
  <si>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</si>
  <si>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</si>
  <si>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</si>
  <si>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</si>
  <si>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</si>
  <si>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</si>
  <si>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</si>
  <si>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</si>
  <si>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</si>
  <si>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</si>
  <si>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</si>
  <si>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</si>
  <si>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</si>
  <si>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</si>
  <si>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</si>
  <si>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</si>
  <si>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</si>
  <si>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</si>
  <si>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</si>
  <si>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</si>
  <si>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</si>
  <si>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</si>
  <si>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</si>
  <si>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</si>
  <si>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</si>
  <si>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900503</t>
  </si>
  <si>
    <t>KL AQUA PURIF. 1000G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</si>
  <si>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</si>
  <si>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</si>
  <si>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</si>
  <si>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</si>
  <si>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</si>
  <si>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</si>
  <si>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</si>
  <si>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</si>
  <si>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</si>
  <si>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</si>
  <si>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</si>
  <si>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</si>
  <si>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</si>
  <si>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</si>
  <si>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</si>
  <si>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</si>
  <si>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</si>
  <si>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</si>
  <si>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</si>
  <si>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</si>
  <si>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</si>
  <si>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</si>
  <si>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</si>
  <si>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</si>
  <si>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</si>
  <si>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</si>
  <si>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</si>
  <si>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</si>
  <si>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921184</t>
  </si>
  <si>
    <t>KL UNGUENTUM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</si>
  <si>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</si>
  <si>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</si>
  <si>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</si>
  <si>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</si>
  <si>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</si>
  <si>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</si>
  <si>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</si>
  <si>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</si>
  <si>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</si>
  <si>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</si>
  <si>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</si>
  <si>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</si>
  <si>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</si>
  <si>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</si>
  <si>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</si>
  <si>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</si>
  <si>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</si>
  <si>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</si>
  <si>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</si>
  <si>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</si>
  <si>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</si>
  <si>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</si>
  <si>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</si>
  <si>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</si>
  <si>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</si>
  <si>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</si>
  <si>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</si>
  <si>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</si>
  <si>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</si>
  <si>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</si>
  <si>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</si>
  <si>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</si>
  <si>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</si>
  <si>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</si>
  <si>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</si>
  <si>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</si>
  <si>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</si>
  <si>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</si>
  <si>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</si>
  <si>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</si>
  <si>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</si>
  <si>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</si>
  <si>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</si>
  <si>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</si>
  <si>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</si>
  <si>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</si>
  <si>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</si>
  <si>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</si>
  <si>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</si>
  <si>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</si>
  <si>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</si>
  <si>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</si>
  <si>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</si>
  <si>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</si>
  <si>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</si>
  <si>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</si>
  <si>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LIQUIDUM 10 ml</t>
  </si>
  <si>
    <t>IR 10 ml</t>
  </si>
  <si>
    <t>920294</t>
  </si>
  <si>
    <t>KL SOL.FORMALDEHYDI 3% 1 KG</t>
  </si>
  <si>
    <t>200863</t>
  </si>
  <si>
    <t>OPHTHALMO-SEPTONEX</t>
  </si>
  <si>
    <t>OPH GTT SOL 1X10ML PLAST</t>
  </si>
  <si>
    <t>153347</t>
  </si>
  <si>
    <t>TISSEEL (FROZ)</t>
  </si>
  <si>
    <t>EPL GKU SOL 1X4ML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</si>
  <si>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</si>
  <si>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</si>
  <si>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</si>
  <si>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</si>
  <si>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</si>
  <si>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</si>
  <si>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</si>
  <si>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</si>
  <si>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</si>
  <si>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</si>
  <si>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</si>
  <si>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</si>
  <si>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</si>
  <si>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</si>
  <si>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</si>
  <si>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</si>
  <si>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</si>
  <si>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</si>
  <si>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</si>
  <si>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</si>
  <si>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</si>
  <si>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</si>
  <si>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</si>
  <si>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</si>
  <si>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</si>
  <si>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</si>
  <si>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</si>
  <si>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</si>
  <si>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</si>
  <si>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</si>
  <si>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198872</t>
  </si>
  <si>
    <t>98872</t>
  </si>
  <si>
    <t>INF SOL 30X250ML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</si>
  <si>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</si>
  <si>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</si>
  <si>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</si>
  <si>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</si>
  <si>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</si>
  <si>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</si>
  <si>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</si>
  <si>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</si>
  <si>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</si>
  <si>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</si>
  <si>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</si>
  <si>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</si>
  <si>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</si>
  <si>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</si>
  <si>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ZA031</t>
  </si>
  <si>
    <t>Vata obvazová 1000 g nest.vinutá 110710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</si>
  <si>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</si>
  <si>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</si>
  <si>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</si>
  <si>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</si>
  <si>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</si>
  <si>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</si>
  <si>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</si>
  <si>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</si>
  <si>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</si>
  <si>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</si>
  <si>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</si>
  <si>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</si>
  <si>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</si>
  <si>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</si>
  <si>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</si>
  <si>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</si>
  <si>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</si>
  <si>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</si>
  <si>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</si>
  <si>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</si>
  <si>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</si>
  <si>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</si>
  <si>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</si>
  <si>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</si>
  <si>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</si>
  <si>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</si>
  <si>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ZA465</t>
  </si>
  <si>
    <t>Fólie incizní raucodrape sterilní 45 x 50 cm 25445</t>
  </si>
  <si>
    <t>ZA467</t>
  </si>
  <si>
    <t>Tyčinka vatová nesterilní 15 cm bal. á 100 ks 9679369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</si>
  <si>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</si>
  <si>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</si>
  <si>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</si>
  <si>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</si>
  <si>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</si>
  <si>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</si>
  <si>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</si>
  <si>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</si>
  <si>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</si>
  <si>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</si>
  <si>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</si>
  <si>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</si>
  <si>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</si>
  <si>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 / 1 ks sterilní NT savá 1230114051</t>
  </si>
  <si>
    <t>Kompresa AB 20 x 40 cm/1 ks sterilní NT savá 1230114051</t>
  </si>
  <si>
    <t>ZA593</t>
  </si>
  <si>
    <t>Tampon stáčený sterilní 20 x 20 cm / 5 ks 28003</t>
  </si>
  <si>
    <t>ZA601</t>
  </si>
  <si>
    <t>Obinadlo fixa crep 12 cm x 4 m 1323100105</t>
  </si>
  <si>
    <t>ZA614</t>
  </si>
  <si>
    <t>Gáza přířezy 48 cm x 50 cm 17 nití karton á 750 ks 07012+</t>
  </si>
  <si>
    <t>ZA618</t>
  </si>
  <si>
    <t>Tampon sterilní stáčený 30 x 30 dvouvr.(30x60) cm / 5 ks karton á 1200 ks 28020</t>
  </si>
  <si>
    <t>ZB084</t>
  </si>
  <si>
    <t>Náplast transpore 2,50 cm x 9,14 m 1527-1</t>
  </si>
  <si>
    <t>ZB085</t>
  </si>
  <si>
    <t>Krytí surgicel standard 5 x 7,50 cm bal. á 12 ks 1903GB</t>
  </si>
  <si>
    <t>ZB404</t>
  </si>
  <si>
    <t>Náplast cosmos 8 cm x 1 m 5403353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</si>
  <si>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</si>
  <si>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</si>
  <si>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</si>
  <si>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</si>
  <si>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</si>
  <si>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</si>
  <si>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ZC854</t>
  </si>
  <si>
    <t>Kompresa NT 7,5 x 7,5 cm / 2 ks sterilní 26510</t>
  </si>
  <si>
    <t>ZC885</t>
  </si>
  <si>
    <t>Náplast omnifix E 10 cm x 10 m 900650</t>
  </si>
  <si>
    <t>ZD103</t>
  </si>
  <si>
    <t>Náplast omniplast 2,5 cm x 9,2 m 9004530</t>
  </si>
  <si>
    <t>ZD104</t>
  </si>
  <si>
    <t>Náplast omniplast 10,0 cm x 10,0 m 9004472 (900535)</t>
  </si>
  <si>
    <t>ZD111</t>
  </si>
  <si>
    <t>Náplast omnifix E 5 cm x 10 m 9006493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</si>
  <si>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</si>
  <si>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</si>
  <si>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</si>
  <si>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</si>
  <si>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cm/5 ks sterilní 1325019265(1230119225)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</si>
  <si>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</si>
  <si>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</si>
  <si>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</si>
  <si>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</si>
  <si>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</si>
  <si>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</si>
  <si>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</si>
  <si>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</si>
  <si>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</si>
  <si>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</si>
  <si>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</si>
  <si>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</si>
  <si>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</si>
  <si>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</si>
  <si>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</si>
  <si>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</si>
  <si>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</si>
  <si>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</si>
  <si>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</si>
  <si>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</si>
  <si>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</si>
  <si>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</si>
  <si>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ZA442</t>
  </si>
  <si>
    <t>Steh náplasťový Steri-strip 6 x 75 mm bal. á 50 ks R1541</t>
  </si>
  <si>
    <t>ZA531</t>
  </si>
  <si>
    <t>Textilie obv.kombinov. 140-3020 COM 30</t>
  </si>
  <si>
    <t>ZA556</t>
  </si>
  <si>
    <t>Obvaz sádrový safix plus 10 cm x 3 m á 2 ks 3327410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</si>
  <si>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</si>
  <si>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</si>
  <si>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</si>
  <si>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</si>
  <si>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</si>
  <si>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ZB086</t>
  </si>
  <si>
    <t>Krytí surgicel standard 10 x 20,0 cm bal. á 24 ks 1902GB</t>
  </si>
  <si>
    <t>ZC687</t>
  </si>
  <si>
    <t>Tampon prošívaný s RTG 45 cm x 45 cm bílá karton á 500 ks 03002</t>
  </si>
  <si>
    <t>ZC694</t>
  </si>
  <si>
    <t>Tyčinka oční PRO OPTHA nesterilní bal. á 500 ks 16515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</si>
  <si>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</si>
  <si>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</si>
  <si>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</si>
  <si>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</si>
  <si>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</si>
  <si>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</si>
  <si>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</si>
  <si>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</si>
  <si>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</si>
  <si>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</si>
  <si>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</si>
  <si>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</si>
  <si>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</si>
  <si>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</si>
  <si>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</si>
  <si>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</si>
  <si>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</si>
  <si>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</si>
  <si>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</si>
  <si>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</si>
  <si>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</si>
  <si>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</si>
  <si>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ZB049</t>
  </si>
  <si>
    <t>Krytí cellistyp 7 x 10 cm bal. á 15 ks (náhrada za okcel) 2080511</t>
  </si>
  <si>
    <t>ZK466</t>
  </si>
  <si>
    <t>Fólie incizní visulin 10 x 6 cm bal. á 100 ks 6857331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</si>
  <si>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</si>
  <si>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</si>
  <si>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</si>
  <si>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</si>
  <si>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ZA194</t>
  </si>
  <si>
    <t>Krytí surgicel standard 5 x 1,25 cm bal. á 12 ks 1906GB</t>
  </si>
  <si>
    <t>ZA645</t>
  </si>
  <si>
    <t>Krytí s mastí atrauman   5 x   5 cm bal. á 10 ks 499571</t>
  </si>
  <si>
    <t>Krytí s mastí atrauman 5 x 5 cm bal. á 10 ks 499571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</si>
  <si>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</si>
  <si>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</si>
  <si>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</si>
  <si>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</si>
  <si>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</si>
  <si>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</si>
  <si>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</si>
  <si>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</si>
  <si>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ZN106</t>
  </si>
  <si>
    <t>Rouška břišní NT Special s RTG vláknem sterilní 40 x 40 cm 130g/m2 bal. á 2 ks 187802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</si>
  <si>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</si>
  <si>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</si>
  <si>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</si>
  <si>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ZN104</t>
  </si>
  <si>
    <t>Rouška břišní NT Special s RTG vláknem sterilní 40 x 40 cm 130g/m2 zelená bal. á 2 ks 187822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</si>
  <si>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</si>
  <si>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</si>
  <si>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</si>
  <si>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</si>
  <si>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</si>
  <si>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</si>
  <si>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</si>
  <si>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</si>
  <si>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</si>
  <si>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</si>
  <si>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</si>
  <si>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ZD332</t>
  </si>
  <si>
    <t>Náplast microfoam 2,50 cm x 5,00 m bal. á 12 ks 1528-1</t>
  </si>
  <si>
    <t>ZE988</t>
  </si>
  <si>
    <t>Krytí nevstřebatelné textilní hemostatikum s kaolínem QuikClot 30 x 30cm bal. á 5 ks 2090303</t>
  </si>
  <si>
    <t>ZN463</t>
  </si>
  <si>
    <t>Náplast textilní na cívce 10 cm  x 5 m 1320900120</t>
  </si>
  <si>
    <t>ZN476</t>
  </si>
  <si>
    <t>Obinadlo elastické universal 15 cm x 5 m 1323100315</t>
  </si>
  <si>
    <t>ZN472</t>
  </si>
  <si>
    <t>Vata obvazová 1000 g vinutá nest. 100% ba. 1321901305</t>
  </si>
  <si>
    <t>ZA095</t>
  </si>
  <si>
    <t>Cement kostní palacos R+G 2 x 40 g á 2 ks 66017569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</si>
  <si>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</si>
  <si>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</si>
  <si>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</si>
  <si>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</si>
  <si>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</si>
  <si>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</si>
  <si>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</si>
  <si>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</si>
  <si>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</si>
  <si>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</si>
  <si>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</si>
  <si>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</si>
  <si>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</si>
  <si>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</si>
  <si>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</si>
  <si>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</si>
  <si>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</si>
  <si>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</si>
  <si>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</si>
  <si>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</si>
  <si>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</si>
  <si>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</si>
  <si>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</si>
  <si>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</si>
  <si>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</si>
  <si>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</si>
  <si>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</si>
  <si>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</si>
  <si>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</si>
  <si>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</si>
  <si>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</si>
  <si>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</si>
  <si>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</si>
  <si>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</si>
  <si>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</si>
  <si>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</si>
  <si>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</si>
  <si>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</si>
  <si>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ZB399</t>
  </si>
  <si>
    <t>Hadička PVC 1/1,5 KVS 599812</t>
  </si>
  <si>
    <t>ZB575</t>
  </si>
  <si>
    <t>Katetr močový foley urologický 10CH bal. á 12 ks 2910-02</t>
  </si>
  <si>
    <t>ZB598</t>
  </si>
  <si>
    <t>Spojka symetrická přímá 7 x 7 mm 60.23.00 (120 430)</t>
  </si>
  <si>
    <t>ZB780</t>
  </si>
  <si>
    <t>Kontejner 120 ml sterilní 331690250350</t>
  </si>
  <si>
    <t>Kontejner 120 ml sterilní á 50 ks FLME25035</t>
  </si>
  <si>
    <t>ZB798</t>
  </si>
  <si>
    <t>Stříkačka injekční 2-dílná 20 ml LL Inject Solo 4606736V</t>
  </si>
  <si>
    <t>ZB885</t>
  </si>
  <si>
    <t>Vrták 1.1 mm se 2 drážkami, pro mini rychlospojku 513.030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</si>
  <si>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</si>
  <si>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</si>
  <si>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</si>
  <si>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</si>
  <si>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</si>
  <si>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</si>
  <si>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</si>
  <si>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</si>
  <si>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</si>
  <si>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</si>
  <si>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</si>
  <si>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</si>
  <si>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ZC900</t>
  </si>
  <si>
    <t>Systém odsávací hi-vac 200 ml-komplet bal. á 60 ks 05.000.22.801</t>
  </si>
  <si>
    <t>ZE173</t>
  </si>
  <si>
    <t>Nádoba na histologický mat. 200 ml Z1333000041002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</si>
  <si>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</si>
  <si>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</si>
  <si>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</si>
  <si>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</si>
  <si>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</si>
  <si>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</si>
  <si>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</si>
  <si>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</si>
  <si>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</si>
  <si>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</si>
  <si>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</si>
  <si>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</si>
  <si>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</si>
  <si>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</si>
  <si>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</si>
  <si>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</si>
  <si>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</si>
  <si>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</si>
  <si>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</si>
  <si>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</si>
  <si>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</si>
  <si>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</si>
  <si>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</si>
  <si>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</si>
  <si>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ZB557</t>
  </si>
  <si>
    <t>Přechodka adapter combifix rekord - luer 4090306</t>
  </si>
  <si>
    <t>ZE174</t>
  </si>
  <si>
    <t>Nádoba na histologický mat. 920 ml Z1333000041024</t>
  </si>
  <si>
    <t>ZH519</t>
  </si>
  <si>
    <t>Gumička těsnící k laparosk.trokarům 3 mm á 10 ks A5857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</si>
  <si>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</si>
  <si>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</si>
  <si>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</si>
  <si>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</si>
  <si>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</si>
  <si>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Reservoár balonkový sací J-VAC 100ml bal á 10 ks 2160</t>
  </si>
  <si>
    <t>Rezervoár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</si>
  <si>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</si>
  <si>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</si>
  <si>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</si>
  <si>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</si>
  <si>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</si>
  <si>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</si>
  <si>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</si>
  <si>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</si>
  <si>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ZG126</t>
  </si>
  <si>
    <t>Elektroda defibrilační pro dospělé QC 11996-000091</t>
  </si>
  <si>
    <t>ZM541</t>
  </si>
  <si>
    <t>Můstek sterilní pooperační smyčkový 70 mm bal. á 10 ks 5025</t>
  </si>
  <si>
    <t>ZA856</t>
  </si>
  <si>
    <t>Vosk kostní bone wax 2,5 g, á 24 ks, W810T</t>
  </si>
  <si>
    <t>ZM565</t>
  </si>
  <si>
    <t>Lepidlo tkáňové floseal 5 ml 1503353</t>
  </si>
  <si>
    <t>ZJ588</t>
  </si>
  <si>
    <t>Souprava cystofix CH 10 minipaed pediatrický bal. á 50 ks 4440013</t>
  </si>
  <si>
    <t>ZM600</t>
  </si>
  <si>
    <t>Spojka flovac žlutá 000-036-102</t>
  </si>
  <si>
    <t>ZB680</t>
  </si>
  <si>
    <t>Svorka šicí á 50 ks 8840764</t>
  </si>
  <si>
    <t>ZE444</t>
  </si>
  <si>
    <t>Svorka přidržovací 1,25 mm 395.125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</si>
  <si>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</si>
  <si>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</si>
  <si>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</si>
  <si>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</si>
  <si>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</si>
  <si>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</si>
  <si>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ZB708</t>
  </si>
  <si>
    <t>Katetr močový foley silikon CH6 23.000.14.206</t>
  </si>
  <si>
    <t>ZM780</t>
  </si>
  <si>
    <t>Souprava odsávací zahnutá Yankauer 4 mm s rukojetí hadice CH 25 délka 2 m 34101</t>
  </si>
  <si>
    <t>ZE903</t>
  </si>
  <si>
    <t>Kanyla tracheální XL12 mm 05-620012</t>
  </si>
  <si>
    <t>ZE902</t>
  </si>
  <si>
    <t>Kanyla tracheální hrudní 16 mm 05-520016</t>
  </si>
  <si>
    <t>ZJ562</t>
  </si>
  <si>
    <t>Laváž pulzní s nádstavcem "bone cleaning" Interpulse 0210-110-000</t>
  </si>
  <si>
    <t>ZD296</t>
  </si>
  <si>
    <t>Adaptér touhy-borst 050020</t>
  </si>
  <si>
    <t>ZG263</t>
  </si>
  <si>
    <t>Rukojeť aktivní elektrody resterizovatelná 4,6 m kabel bal. á 10 ks E2100</t>
  </si>
  <si>
    <t>ZG893</t>
  </si>
  <si>
    <t>Rouška prošívaná na popáleniny 40 x 60 cm karton á 30 ks 28510</t>
  </si>
  <si>
    <t>ZJ125</t>
  </si>
  <si>
    <t>Drát ocelový 2/0 á 12 ks LE99093</t>
  </si>
  <si>
    <t>ZM622</t>
  </si>
  <si>
    <t>Můstek sterilní pooperační smyčkový 100 mm bal. á 10 ks 5026</t>
  </si>
  <si>
    <t>ZE447</t>
  </si>
  <si>
    <t>Tyč kompozitní 3.0 mm 395.109</t>
  </si>
  <si>
    <t>ZE500</t>
  </si>
  <si>
    <t>Svorka spojovací 3.0 mm 395.133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</si>
  <si>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</si>
  <si>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</si>
  <si>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</si>
  <si>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</si>
  <si>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</si>
  <si>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</si>
  <si>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ZE909</t>
  </si>
  <si>
    <t>Sáček na brickery draina S vision H28565U</t>
  </si>
  <si>
    <t>ZM358</t>
  </si>
  <si>
    <t>Návlek na kameru sterilní 3D Einstein bal. á 16 ks EV2-000056</t>
  </si>
  <si>
    <t>ZB093</t>
  </si>
  <si>
    <t>Sonda žaludeční CH25(CH24), délka 80 cm 21228(22-25.520)</t>
  </si>
  <si>
    <t>ZD294</t>
  </si>
  <si>
    <t>Spojka T 8-8-8 UH bal. á 50 ks 882,08 D</t>
  </si>
  <si>
    <t>ZF176</t>
  </si>
  <si>
    <t>Nádoba na histologický mat. 5700 ml 333000086003</t>
  </si>
  <si>
    <t>ZK167</t>
  </si>
  <si>
    <t>Hák middeldorf 20 x 22 mm 215 mm BT405R</t>
  </si>
  <si>
    <t>ZC475</t>
  </si>
  <si>
    <t>Kanyla odsávací kovová D=9/3 mm 275 mm GF946R</t>
  </si>
  <si>
    <t>ZD431</t>
  </si>
  <si>
    <t>Dlaha hrudní jansen 220 mm 397129990542</t>
  </si>
  <si>
    <t>ZA523</t>
  </si>
  <si>
    <t>Klip hem-o-lok L  14 x 6 klipů WK544240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</si>
  <si>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</si>
  <si>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</si>
  <si>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</si>
  <si>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</si>
  <si>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</si>
  <si>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</si>
  <si>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</si>
  <si>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</si>
  <si>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</si>
  <si>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</si>
  <si>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</si>
  <si>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</si>
  <si>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</si>
  <si>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</si>
  <si>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</si>
  <si>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</si>
  <si>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</si>
  <si>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</si>
  <si>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Kleště biopolární maryland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</si>
  <si>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</si>
  <si>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</si>
  <si>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</si>
  <si>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</si>
  <si>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</si>
  <si>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</si>
  <si>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</si>
  <si>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</si>
  <si>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</si>
  <si>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</si>
  <si>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ZN151</t>
  </si>
  <si>
    <t>Klip titanový ML se zámkem po 6 ks bal. á 15 ks PL465SU</t>
  </si>
  <si>
    <t>ZN150</t>
  </si>
  <si>
    <t>Klip titanový ML bez zámku po 6 ks bal. á 15 ks PL462SU</t>
  </si>
  <si>
    <t>ZE764</t>
  </si>
  <si>
    <t>Nástroj robotický jehelec 8 mm 420194</t>
  </si>
  <si>
    <t>ZI481</t>
  </si>
  <si>
    <t>Jehelec mega stříhací suture cut needle driver 420309</t>
  </si>
  <si>
    <t>ZH859</t>
  </si>
  <si>
    <t>Kamera arm sterile adapter 370534-03</t>
  </si>
  <si>
    <t>ZC613</t>
  </si>
  <si>
    <t>Katetr epicystycký 24 Fr Pezzer AE3A24</t>
  </si>
  <si>
    <t>ZH282</t>
  </si>
  <si>
    <t>Klip titanový - small PL565T</t>
  </si>
  <si>
    <t>ZH517</t>
  </si>
  <si>
    <t>Tubus trokarový 11,0 x 80 mm insuflace závit A5859</t>
  </si>
  <si>
    <t>ZA715</t>
  </si>
  <si>
    <t>Set infuzní intrafix primeline classic 150 cm 4062957</t>
  </si>
  <si>
    <t>ZD721</t>
  </si>
  <si>
    <t>Set odsávací CH 6-18 bal. á 35 ks 05.000.22.641</t>
  </si>
  <si>
    <t>ZM356</t>
  </si>
  <si>
    <t>Set hadic luer s trnem 3D Einstein PG131</t>
  </si>
  <si>
    <t>ZC862</t>
  </si>
  <si>
    <t>Set proplachovací uroline 1cestný á 50 ks 7400009A</t>
  </si>
  <si>
    <t>ZA250</t>
  </si>
  <si>
    <t>Šití ethibond gr 2-0 bal. á 12 ks W6767</t>
  </si>
  <si>
    <t>ZA853</t>
  </si>
  <si>
    <t>Šití prolen bl 5-0 bal. á 12 ks W8830</t>
  </si>
  <si>
    <t>ZA958</t>
  </si>
  <si>
    <t>Šití safil fialový 2/0 (3) bal. á 36 ks C1048251</t>
  </si>
  <si>
    <t>ZB033</t>
  </si>
  <si>
    <t>Šití dafilon modrý 3/0 (2) bal. á 36 ks C0935468</t>
  </si>
  <si>
    <t>ZB034</t>
  </si>
  <si>
    <t>Šití dafilon modrý 2/0 (3)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</si>
  <si>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</si>
  <si>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</si>
  <si>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</si>
  <si>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</si>
  <si>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</si>
  <si>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(2) bal. á 36 ks C1048041</t>
  </si>
  <si>
    <t>ZB216</t>
  </si>
  <si>
    <t>Šití safil fialový 2/0 (3)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</si>
  <si>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</si>
  <si>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</si>
  <si>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</si>
  <si>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</si>
  <si>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</si>
  <si>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</si>
  <si>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</si>
  <si>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</si>
  <si>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</si>
  <si>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</si>
  <si>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</si>
  <si>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</si>
  <si>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ZC679</t>
  </si>
  <si>
    <t>Šití vicryl plus vi 2-0 bal. á 36 ks VCP9900H</t>
  </si>
  <si>
    <t>ZE801</t>
  </si>
  <si>
    <t>Šití monocryl vi 3-0 bal. á 12 ks W3637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</si>
  <si>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</si>
  <si>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</si>
  <si>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</si>
  <si>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</si>
  <si>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</si>
  <si>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</si>
  <si>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</si>
  <si>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</si>
  <si>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ZB036</t>
  </si>
  <si>
    <t>Šití safil fialový 2 (5) bal. á 36 ks C1038210</t>
  </si>
  <si>
    <t>ZB181</t>
  </si>
  <si>
    <t>Šití prolene bl 5-0 bal. á 36 ks EH7176H</t>
  </si>
  <si>
    <t>ZB185</t>
  </si>
  <si>
    <t>Šití vicryl un 4-0 bal. á 12 ks W9951</t>
  </si>
  <si>
    <t>ZB211</t>
  </si>
  <si>
    <t>Šití safil fialový 2/0 (3) bal. á 36 ks C1048047</t>
  </si>
  <si>
    <t>ZB213</t>
  </si>
  <si>
    <t>Šití safil fialový 5/0 (1) bal. á 36 ks C1048012</t>
  </si>
  <si>
    <t>ZB279</t>
  </si>
  <si>
    <t>Šití prolen bl 6-0 bal. á 12 ks W8815</t>
  </si>
  <si>
    <t>Šití prolene bl 6-0 bal. á 12 ks W8815</t>
  </si>
  <si>
    <t>ZB286</t>
  </si>
  <si>
    <t>Šití prolen bl 7-0 bal. á 12 ks W8704</t>
  </si>
  <si>
    <t>Šití prolene bl 7-0 bal. á 12 ks W8704</t>
  </si>
  <si>
    <t>ZB560</t>
  </si>
  <si>
    <t>Šití prolene bl 3-0 bal. á 12 ks W621 (náhr.W8630)</t>
  </si>
  <si>
    <t>ZB718</t>
  </si>
  <si>
    <t>Šití prolen bl 4-0 bal. á 12 ks W8840</t>
  </si>
  <si>
    <t>Šití prolene bl 4-0 bal. á 12 ks W8840</t>
  </si>
  <si>
    <t>ZB878</t>
  </si>
  <si>
    <t>Šití safil quick + bezb. 2/0 (3) bal. á 36 ks C1046042</t>
  </si>
  <si>
    <t>ZB913</t>
  </si>
  <si>
    <t>Šití orthocord modrý bal. á 12 ks 223111</t>
  </si>
  <si>
    <t>ZD067</t>
  </si>
  <si>
    <t>Šití safil fialový 2/0 (3) bal. á 36 ks C1048042</t>
  </si>
  <si>
    <t>ZG876</t>
  </si>
  <si>
    <t>Šití premicron 0 (3.5) bal. á 12 ks G0120062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</si>
  <si>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</si>
  <si>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</si>
  <si>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</si>
  <si>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</si>
  <si>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</si>
  <si>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</si>
  <si>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</si>
  <si>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</si>
  <si>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(1.5) bal. á 36 ks C0023634</t>
  </si>
  <si>
    <t>ZA975</t>
  </si>
  <si>
    <t>Šití safil fialový 4/0 (1.5) bal. á 36 ks C1048220</t>
  </si>
  <si>
    <t>ZB183</t>
  </si>
  <si>
    <t>Šití vicryl un 2-0 bal. á 24 ks W9532T</t>
  </si>
  <si>
    <t>ZB201</t>
  </si>
  <si>
    <t>Šití ethilon bk 8-0 bal. á 12 ks W2812</t>
  </si>
  <si>
    <t>ZA919</t>
  </si>
  <si>
    <t>Šití merslen gr 2-0 bal. á 144 ks EH6414H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</si>
  <si>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</si>
  <si>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</si>
  <si>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</si>
  <si>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</si>
  <si>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</si>
  <si>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</si>
  <si>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ZB508</t>
  </si>
  <si>
    <t>Šití safil fialový 2/0 (3) bal. á 12 ks G1038716</t>
  </si>
  <si>
    <t>ZG004</t>
  </si>
  <si>
    <t>Šití safil fialový 1 (4) bal. á 12 ks G1038719</t>
  </si>
  <si>
    <t>ZB917</t>
  </si>
  <si>
    <t>Šití safil fialový 1 (4) bal. á 36 ks C1048553</t>
  </si>
  <si>
    <t>ZB555</t>
  </si>
  <si>
    <t>Šití prolen bl 3-0 bal. á 12 ks W8522</t>
  </si>
  <si>
    <t>Šití prolene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</si>
  <si>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</si>
  <si>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</si>
  <si>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</si>
  <si>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</si>
  <si>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</si>
  <si>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(2) bal. á 36 ks C0023635</t>
  </si>
  <si>
    <t>ZL257</t>
  </si>
  <si>
    <t>Šití safil quick + bezb. 5/0 (1) bal. á 36 ks C1046311</t>
  </si>
  <si>
    <t>ZB166</t>
  </si>
  <si>
    <t>Šití safil fialový 2/0 (3) bal. á 36 ks C1048095</t>
  </si>
  <si>
    <t>ZE522</t>
  </si>
  <si>
    <t>Šití premicron zelený 2 (5) bal. á 12 ks G0120064</t>
  </si>
  <si>
    <t>ZM977</t>
  </si>
  <si>
    <t>Šití safil fialový 1 (4) bal. á 36 ks C1048540</t>
  </si>
  <si>
    <t>ZB717</t>
  </si>
  <si>
    <t>Šití prolene bl 4-0 bal. á 12 ks W8845</t>
  </si>
  <si>
    <t>ZB787</t>
  </si>
  <si>
    <t>Šití premicron zelený 0 (3.5) bal. á 36 ks C0026058</t>
  </si>
  <si>
    <t>ZC013</t>
  </si>
  <si>
    <t>Šití safil fialový 2/0 (3) bal. á 36 ks C1048485</t>
  </si>
  <si>
    <t>ZN030</t>
  </si>
  <si>
    <t>Šítí optilene 5/0 (1) bal. á 36 ks C30909001</t>
  </si>
  <si>
    <t>ZN031</t>
  </si>
  <si>
    <t>Šítí optilene 6/0 (0.7) bal. á 36 ks C3090953</t>
  </si>
  <si>
    <t>ZF649</t>
  </si>
  <si>
    <t>Šití monomax fialový 1 (4)  bal. á 24 ks B0041222</t>
  </si>
  <si>
    <t>ZA248</t>
  </si>
  <si>
    <t>Šití prolen bl 2-0 bal. á 12 ks W8977</t>
  </si>
  <si>
    <t>ZA781</t>
  </si>
  <si>
    <t>Šití maxon 3/0 bal. á 36 ks 8886621741</t>
  </si>
  <si>
    <t>ZB219</t>
  </si>
  <si>
    <t>Šití safil fialový 2 (5) bal. á 24 ks B1048535</t>
  </si>
  <si>
    <t>ZB847</t>
  </si>
  <si>
    <t>Šití safil fialový 2/0 (3) bal. á 36 ks C1048055</t>
  </si>
  <si>
    <t>ZF643</t>
  </si>
  <si>
    <t>Šití vicryl vi 7-0 bal. á 12 ks W9565</t>
  </si>
  <si>
    <t>ZM354</t>
  </si>
  <si>
    <t>Šití PDSII vi 5-0 bal. á 36 ks W9108H</t>
  </si>
  <si>
    <t>ZC600</t>
  </si>
  <si>
    <t>Šití PDSII vi 1 bal. á 12 ks W9394</t>
  </si>
  <si>
    <t>ZG003</t>
  </si>
  <si>
    <t>Šití prolene bl 5-0 bal. á 12 ks W8816</t>
  </si>
  <si>
    <t>ZG672</t>
  </si>
  <si>
    <t>Šití safil quick + bezb. 4/0 (1.5) bal. á 36 ks C1046013</t>
  </si>
  <si>
    <t>ZI491</t>
  </si>
  <si>
    <t>Šití safil fialový 2/0 (3) bal. á 36 ks C1048060</t>
  </si>
  <si>
    <t>ZN282</t>
  </si>
  <si>
    <t>Šití ethilon bk 10-0 bal. á 12 ks W2810</t>
  </si>
  <si>
    <t>ZN283</t>
  </si>
  <si>
    <t>Šití ethilon bk 8-0 bal. á 12 ks W2808</t>
  </si>
  <si>
    <t>ZB178</t>
  </si>
  <si>
    <t>Šití ethilon bk 9-0 bal. á 12 ks W2813</t>
  </si>
  <si>
    <t>ZB200</t>
  </si>
  <si>
    <t>Šití ethibond gr 2-0 bal. á 20 ks X41003</t>
  </si>
  <si>
    <t>ZD072</t>
  </si>
  <si>
    <t>Šití vicryl plus vi 5-0 bal. á 36 ks VCP500H</t>
  </si>
  <si>
    <t>ZI871</t>
  </si>
  <si>
    <t>Šití prolene bl 3-0 bal. á 12 ks W8525</t>
  </si>
  <si>
    <t>ZB212</t>
  </si>
  <si>
    <t>Šití safil fialový 6/0 (0.7) bal. á 36 ks C1048006</t>
  </si>
  <si>
    <t>ZN693</t>
  </si>
  <si>
    <t>Šití securex P 3/0, 45 cm GS60(m) rovná řezací  jehla, 2x fixační svorka bal. á 12 ks G0994725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</si>
  <si>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</si>
  <si>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</si>
  <si>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</si>
  <si>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</si>
  <si>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</si>
  <si>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</si>
  <si>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</si>
  <si>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</si>
  <si>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</si>
  <si>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</si>
  <si>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Jehla chirurgická 0,9 x 36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</si>
  <si>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</si>
  <si>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</si>
  <si>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</si>
  <si>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</si>
  <si>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</si>
  <si>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</si>
  <si>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</si>
  <si>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</si>
  <si>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</si>
  <si>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</si>
  <si>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Jehla chirurgická 0,8 x 32 B11</t>
  </si>
  <si>
    <t>ZB479</t>
  </si>
  <si>
    <t>Jehla chirurgická B12</t>
  </si>
  <si>
    <t>ZB480</t>
  </si>
  <si>
    <t>Jehla chirurgická G10</t>
  </si>
  <si>
    <t>Jehla chirurgická 0,7 x 28 G10</t>
  </si>
  <si>
    <t>ZB556</t>
  </si>
  <si>
    <t>Jehla injekční 1,2 x 40 mm růžová 4665120</t>
  </si>
  <si>
    <t>ZG676</t>
  </si>
  <si>
    <t>Jehla chirurgická s pérovými oušky bal. á 12 ks HSF - 17 3076</t>
  </si>
  <si>
    <t>ZH201</t>
  </si>
  <si>
    <t>Jehla injekční 0,8 x 120 mm zelená 4665643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</si>
  <si>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</si>
  <si>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</si>
  <si>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</si>
  <si>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</si>
  <si>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</si>
  <si>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</si>
  <si>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</si>
  <si>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</si>
  <si>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</si>
  <si>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</si>
  <si>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ZH089</t>
  </si>
  <si>
    <t>Jehla chirurgická GA7</t>
  </si>
  <si>
    <t>ZG674</t>
  </si>
  <si>
    <t>Jehla chirurgická s pérovými oušky bal. á 12 ks DSF - 21 3073</t>
  </si>
  <si>
    <t>ZB205</t>
  </si>
  <si>
    <t>Jehla chirurgická G4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</si>
  <si>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</si>
  <si>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</si>
  <si>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</si>
  <si>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</si>
  <si>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</si>
  <si>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</si>
  <si>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ZF984</t>
  </si>
  <si>
    <t>Jehla chirurgická B7</t>
  </si>
  <si>
    <t>ZB868</t>
  </si>
  <si>
    <t>Jehla perican 18G 1,30 x 80 mm 4512383</t>
  </si>
  <si>
    <t>ZB471</t>
  </si>
  <si>
    <t>Jehla chirurgická PB5</t>
  </si>
  <si>
    <t>ZB470</t>
  </si>
  <si>
    <t>Jehla chirurgická PB4</t>
  </si>
  <si>
    <t>ZE992</t>
  </si>
  <si>
    <t>Rukavice operační ansell sensi - touch vel. 6,0 bal. á 40 párů 8050151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</si>
  <si>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</si>
  <si>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</si>
  <si>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</si>
  <si>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</si>
  <si>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</si>
  <si>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</si>
  <si>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</si>
  <si>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</si>
  <si>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</si>
  <si>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</si>
  <si>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</si>
  <si>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</si>
  <si>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</si>
  <si>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</si>
  <si>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</si>
  <si>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</si>
  <si>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</si>
  <si>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</si>
  <si>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</si>
  <si>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</si>
  <si>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</si>
  <si>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</si>
  <si>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</si>
  <si>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</si>
  <si>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</si>
  <si>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</si>
  <si>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</si>
  <si>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</si>
  <si>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</si>
  <si>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</si>
  <si>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</si>
  <si>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</si>
  <si>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</si>
  <si>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ZL069</t>
  </si>
  <si>
    <t>Rukavice operační gammex PF EnLite bez pudru vel. 5,5 353381</t>
  </si>
  <si>
    <t>ZL691</t>
  </si>
  <si>
    <t>Rukavice operační ansell sensi - touch vel. 5,5 bal. á 40 párů 8050190(8050150)</t>
  </si>
  <si>
    <t>ZF419</t>
  </si>
  <si>
    <t>Rukavice nitril dermagrip sterilní M bal. á 50 párů D1402-43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</si>
  <si>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</si>
  <si>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</si>
  <si>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</si>
  <si>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</si>
  <si>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</si>
  <si>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</si>
  <si>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</si>
  <si>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</si>
  <si>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</si>
  <si>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</si>
  <si>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ZN108</t>
  </si>
  <si>
    <t>Rukavice operační gammex ansell PF bez pudru 8,0 A351146</t>
  </si>
  <si>
    <t>ZN125</t>
  </si>
  <si>
    <t>Rukavice operační gammex ansell PF bez pudru 7,5 A351145</t>
  </si>
  <si>
    <t>ZL172</t>
  </si>
  <si>
    <t>Rukavice operační ansell dipos-a-glove vel. S bal. á 50 párů kopolymerové MDG651EU</t>
  </si>
  <si>
    <t>ZN040</t>
  </si>
  <si>
    <t>Rukavice operační gammex ansell PF bez pudru 8,5 A351147</t>
  </si>
  <si>
    <t>40</t>
  </si>
  <si>
    <t>ZI401</t>
  </si>
  <si>
    <t>Šití V-LOC délka stehu 30 cm bal. á 12 ks VLOCL0615</t>
  </si>
  <si>
    <t>ZI400</t>
  </si>
  <si>
    <t>Šití V-LOC délka stehu 15 cm bal. á 12 ks VLOCM0604</t>
  </si>
  <si>
    <t>ZC676</t>
  </si>
  <si>
    <t>Šití vicryl plus vi 3-0 bal. á 36 ks VCP3160H</t>
  </si>
  <si>
    <t>ZB026</t>
  </si>
  <si>
    <t>Hadice silikon 5 x 9,00 x 2,00 mm á 10 m pro drenáž těl.dutin KVS 60-050090</t>
  </si>
  <si>
    <t>ZD208</t>
  </si>
  <si>
    <t>Hadice spojovací k odsávacím soupravám 07.068.25.220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</si>
  <si>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</si>
  <si>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</si>
  <si>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</si>
  <si>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</si>
  <si>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</si>
  <si>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</si>
  <si>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ZE385</t>
  </si>
  <si>
    <t>Hadice silikon 1 x 3,0 mm á 25 m 34.000.00.100</t>
  </si>
  <si>
    <t>Hadice silikon 1 x 3,0 mm á 25 m (34.000.00.100) 70232</t>
  </si>
  <si>
    <t>ZD822</t>
  </si>
  <si>
    <t>Hadice silikon 6 x 10,0 x 2,00 mm á 10 m KVS 60-060100</t>
  </si>
  <si>
    <t>ZA006</t>
  </si>
  <si>
    <t>Obvaz elastický síťový pruban č. 8 427308</t>
  </si>
  <si>
    <t>ZA090</t>
  </si>
  <si>
    <t>Vata buničitá přířezy 37 x 57 cm 2730152</t>
  </si>
  <si>
    <t>ZA444</t>
  </si>
  <si>
    <t>Tampon nesterilní stáčený 20 x 19 cm bez RTG nití bal. á 100 ks 1320300404</t>
  </si>
  <si>
    <t>Fólie incizní raucodrape sterilní 45 x 50 cm 23445</t>
  </si>
  <si>
    <t>ZA554</t>
  </si>
  <si>
    <t>Krytí hypro-sorb R 10 x 10 x 10 mm bal. á 10 ks 006</t>
  </si>
  <si>
    <t>ZA643</t>
  </si>
  <si>
    <t>Kompresa vliwasoft 10 x 20 nesterilní á 100 ks 12070</t>
  </si>
  <si>
    <t>ZA646</t>
  </si>
  <si>
    <t>Přířez steril. rolo. 12 x 120 cm/4 vr.á 2 ks, bal. 200 ks 1230116032</t>
  </si>
  <si>
    <t>ZC506</t>
  </si>
  <si>
    <t>Kompresa NT 10 x 10 cm / 5 ks sterilní 1325020275</t>
  </si>
  <si>
    <t>ZE314</t>
  </si>
  <si>
    <t>Tampon sterilní stáčený 19 x 20 cm / 10 ks 0446</t>
  </si>
  <si>
    <t>ZI601</t>
  </si>
  <si>
    <t>Náplast curapor 10 x 20 cm 22123 ( náhrada za cosmopor )</t>
  </si>
  <si>
    <t>ZA488</t>
  </si>
  <si>
    <t>Tampon nesterilní stáčený 9 x 9 cm karton á 12 000 ks 1320300411</t>
  </si>
  <si>
    <t>ZD054</t>
  </si>
  <si>
    <t>Gáza skládaná sterilní 8 x 17 cm / 2 ks 12 vrstev karton á 1000 ks 37016</t>
  </si>
  <si>
    <t>ZM326</t>
  </si>
  <si>
    <t>Krytí nevstřebatelné textilní hemopatch kit. box medium 4,5 x 4,5 cm bal. á 3 ks 1503746</t>
  </si>
  <si>
    <t>ZE172</t>
  </si>
  <si>
    <t>Krytí surgicel nu-knit 7,5 x 10 cm bal. á 12 ks 1943GB</t>
  </si>
  <si>
    <t>ZM332</t>
  </si>
  <si>
    <t>Krytí nevstřebatelné textilní hemopatch kit. box medium 4,5 x 9 cm bal. á 3 ks 1503747</t>
  </si>
  <si>
    <t>ZA817</t>
  </si>
  <si>
    <t>Zkumavka PS 10 ml sterilní 400914</t>
  </si>
  <si>
    <t>ZB758</t>
  </si>
  <si>
    <t>Zkumavka 9 ml K3 edta NR 455036</t>
  </si>
  <si>
    <t>ZC129</t>
  </si>
  <si>
    <t>ZE132</t>
  </si>
  <si>
    <t>Kleště jednorázové úchopové atraumatické D5/310 bal. á 10 ks PO893SU</t>
  </si>
  <si>
    <t>ZC644</t>
  </si>
  <si>
    <t>Trubička ventilační 2,55/1,3 mm E1105</t>
  </si>
  <si>
    <t>ZA678</t>
  </si>
  <si>
    <t>Katetr močový foley 8CH bal. á 12 ks 2908-02</t>
  </si>
  <si>
    <t>Lepidlo tkáňové 5 ml floseal 1503353</t>
  </si>
  <si>
    <t>ZK372</t>
  </si>
  <si>
    <t>Izolace ADTEC mini 3,5/290 mm PM986P</t>
  </si>
  <si>
    <t>ZM039</t>
  </si>
  <si>
    <t>Kanyla odsávací barron 1 mm GF935R</t>
  </si>
  <si>
    <t>ZH852</t>
  </si>
  <si>
    <t>Souprava odsávací zahnutá Yankauer 6 mm s rukojetí hadice CH 25 délka 2 m 34101</t>
  </si>
  <si>
    <t>ZB296</t>
  </si>
  <si>
    <t>Mikroskalpel Stab Blade/Tip 22,5° Straig 72-2202</t>
  </si>
  <si>
    <t>ZE490</t>
  </si>
  <si>
    <t>Nůžky zahnuté Iris SC 113 09 98111</t>
  </si>
  <si>
    <t>ZA695</t>
  </si>
  <si>
    <t>Držák skalpelových čepelek č. 4 135 mm BB084R</t>
  </si>
  <si>
    <t>ZB069</t>
  </si>
  <si>
    <t>Držák skalpelových čepelek č. 3 BB073R</t>
  </si>
  <si>
    <t>ZH151</t>
  </si>
  <si>
    <t>Kabel světlovodný rud délka 2,3 m průměr kabelu 3,5 mm koncovky (AESCULAP-AESCULAP) IM201-230</t>
  </si>
  <si>
    <t>ZI250</t>
  </si>
  <si>
    <t>Jehelec BM066R</t>
  </si>
  <si>
    <t>ZJ806</t>
  </si>
  <si>
    <t>Nůžky zahnuté durotip nelson-metzenbaum BC267R</t>
  </si>
  <si>
    <t>ZJ840</t>
  </si>
  <si>
    <t>Svorka hemostatická heiss tenká zahnutá 200mm BH207R</t>
  </si>
  <si>
    <t>ZJ866</t>
  </si>
  <si>
    <t>Jehelec durogrip Hegar - Mayo 205 mm BM067R</t>
  </si>
  <si>
    <t>Jehelec durogrip Hegar-mayo 205 mm BM067R</t>
  </si>
  <si>
    <t>ZK075</t>
  </si>
  <si>
    <t>Svorka atraum. rochester pean 225 mm BH448R</t>
  </si>
  <si>
    <t>ZK183</t>
  </si>
  <si>
    <t>Násadka skalpelu č. 3l BB075R</t>
  </si>
  <si>
    <t>ZN284</t>
  </si>
  <si>
    <t>Stojánek k liposukční sadě Medicom 09.87.86</t>
  </si>
  <si>
    <t>ZN285</t>
  </si>
  <si>
    <t>Adapter transfer L - R k liposukční sadě Medicon 09.88.83</t>
  </si>
  <si>
    <t>ZJ802</t>
  </si>
  <si>
    <t>Nůžky rovné durotip mayo BC252R</t>
  </si>
  <si>
    <t>ZJ839</t>
  </si>
  <si>
    <t>Svorka hemostatická nissen zahnutá 185 mm BH199R</t>
  </si>
  <si>
    <t>ZK038</t>
  </si>
  <si>
    <t>Čelisti univerzální s rezervoarem 310 mm PO644R</t>
  </si>
  <si>
    <t>ZK077</t>
  </si>
  <si>
    <t>Svorka atraum. rochester pean 185 mm zahnutá BH445R</t>
  </si>
  <si>
    <t>ZN537</t>
  </si>
  <si>
    <t>Pinzeta bipolární zalomená 200 mm hrot 2 mm 663101422</t>
  </si>
  <si>
    <t>ZH270</t>
  </si>
  <si>
    <t>Pinzeta de bakey 320-111</t>
  </si>
  <si>
    <t>ZH410</t>
  </si>
  <si>
    <t>Prodloužení koagulačních elektrod E1502</t>
  </si>
  <si>
    <t>ZN733</t>
  </si>
  <si>
    <t>Pinzeta atraumatická Durogrip rovná 180 mm BD156R</t>
  </si>
  <si>
    <t>ZF936</t>
  </si>
  <si>
    <t>Světlovod 3 m WA03210A</t>
  </si>
  <si>
    <t>Světlovod 3 m WA03310A</t>
  </si>
  <si>
    <t>ZD125</t>
  </si>
  <si>
    <t>Převodník k harmonickému skalpelu HP054</t>
  </si>
  <si>
    <t>ZE129</t>
  </si>
  <si>
    <t>Tubus zevní izol. 5/5 mm 310 mm PM973R</t>
  </si>
  <si>
    <t>ZI115</t>
  </si>
  <si>
    <t>Bodec do LSK trokaru-trocar spike A5817</t>
  </si>
  <si>
    <t>ZA774</t>
  </si>
  <si>
    <t>Kleště bioptické Richard Wolf prům. 3 mm délka 270 mm 828023</t>
  </si>
  <si>
    <t>ZA866</t>
  </si>
  <si>
    <t>Šití prolen bl 6-0 bal. á 12 ks W8802</t>
  </si>
  <si>
    <t>Šití prolen bl 5-0 bal. á 36 ks EH7176H</t>
  </si>
  <si>
    <t>ZD188</t>
  </si>
  <si>
    <t>Šití monocryl un 5-0 bal. á 12 ks W3221</t>
  </si>
  <si>
    <t>ZB115</t>
  </si>
  <si>
    <t>Šití prolen bl 3-0 bal. á 12 ks W8849</t>
  </si>
  <si>
    <t>ZH167</t>
  </si>
  <si>
    <t>Šití PDS plus 1 bal. á 24 ks PDP1935T</t>
  </si>
  <si>
    <t>ZF256</t>
  </si>
  <si>
    <t>Šití vicryl vi 5-0 bal. á 12 ks W9442</t>
  </si>
  <si>
    <t>ZB019</t>
  </si>
  <si>
    <t>Šití monosyn bezbarvý 4/0 (1.5) bal. á 36 ks C0023204</t>
  </si>
  <si>
    <t>ZB241</t>
  </si>
  <si>
    <t>Šití vicryl plus vi 5-0 bal. á 36 ks VCP303H</t>
  </si>
  <si>
    <t>ZC878</t>
  </si>
  <si>
    <t>Šití vicryl plus vi 4-0 bal. á 36 ks VCP3100H</t>
  </si>
  <si>
    <t>ZC665</t>
  </si>
  <si>
    <t>Šití polysorb 5/0 bal. á 36 ks UL-202</t>
  </si>
  <si>
    <t>ZH594</t>
  </si>
  <si>
    <t>Šití silon pletený bílý EP 6 bal. á 20 ks SB2061</t>
  </si>
  <si>
    <t>ZF432</t>
  </si>
  <si>
    <t>Rukavice operační gammex PF sensitive vel. 8,0 353196</t>
  </si>
  <si>
    <t>ZK479</t>
  </si>
  <si>
    <t>Rukavice operační latexové bez pudru ortpedic vel. 8,5 5788206</t>
  </si>
  <si>
    <t>ZA699</t>
  </si>
  <si>
    <t>Hadice pryžová 7/10 Z1272315521150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</si>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</sst>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21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8" fillId="0" borderId="1" xfId="0" applyFont="1" applyFill="1" applyBorder="1"/>
    <xf numFmtId="0" fontId="38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39" fillId="0" borderId="0" xfId="0" applyFont="1" applyFill="1" applyBorder="1" applyAlignment="1"/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7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43" fillId="4" borderId="33" xfId="1" applyFont="1" applyFill="1" applyBorder="1"/>
    <xf numFmtId="0" fontId="43" fillId="4" borderId="17" xfId="1" applyFont="1" applyFill="1" applyBorder="1"/>
    <xf numFmtId="0" fontId="43" fillId="3" borderId="18" xfId="1" applyFont="1" applyFill="1" applyBorder="1"/>
    <xf numFmtId="0" fontId="37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3" fillId="3" borderId="8" xfId="1" applyFont="1" applyFill="1" applyBorder="1"/>
    <xf numFmtId="0" fontId="43" fillId="3" borderId="4" xfId="1" applyFont="1" applyFill="1" applyBorder="1"/>
    <xf numFmtId="0" fontId="43" fillId="6" borderId="4" xfId="1" applyFont="1" applyFill="1" applyBorder="1"/>
    <xf numFmtId="0" fontId="43" fillId="6" borderId="50" xfId="1" applyFont="1" applyFill="1" applyBorder="1"/>
    <xf numFmtId="0" fontId="43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8" fillId="2" borderId="44" xfId="0" applyNumberFormat="1" applyFont="1" applyFill="1" applyBorder="1"/>
    <xf numFmtId="3" fontId="38" fillId="2" borderId="46" xfId="0" applyNumberFormat="1" applyFont="1" applyFill="1" applyBorder="1"/>
    <xf numFmtId="9" fontId="38" fillId="2" borderId="51" xfId="0" applyNumberFormat="1" applyFont="1" applyFill="1" applyBorder="1"/>
    <xf numFmtId="0" fontId="46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8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3" fillId="2" borderId="34" xfId="1" applyFont="1" applyFill="1" applyBorder="1" applyAlignment="1">
      <alignment horizontal="left" indent="2"/>
    </xf>
    <xf numFmtId="0" fontId="46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8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6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6" fillId="4" borderId="4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8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8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48" fillId="8" borderId="58" xfId="0" applyNumberFormat="1" applyFont="1" applyFill="1" applyBorder="1"/>
    <xf numFmtId="3" fontId="48" fillId="8" borderId="57" xfId="0" applyNumberFormat="1" applyFont="1" applyFill="1" applyBorder="1"/>
    <xf numFmtId="0" fontId="49" fillId="0" borderId="0" xfId="1" applyFont="1" applyFill="1"/>
    <xf numFmtId="3" fontId="47" fillId="0" borderId="0" xfId="26" applyNumberFormat="1" applyFont="1" applyFill="1" applyBorder="1" applyAlignment="1"/>
    <xf numFmtId="3" fontId="38" fillId="2" borderId="61" xfId="0" applyNumberFormat="1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3" fontId="50" fillId="2" borderId="64" xfId="0" applyNumberFormat="1" applyFont="1" applyFill="1" applyBorder="1" applyAlignment="1">
      <alignment horizontal="center" vertical="center" wrapText="1"/>
    </xf>
    <xf numFmtId="0" fontId="50" fillId="2" borderId="65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/>
    <xf numFmtId="0" fontId="38" fillId="2" borderId="69" xfId="0" applyFont="1" applyFill="1" applyBorder="1" applyAlignment="1">
      <alignment horizontal="left" indent="1"/>
    </xf>
    <xf numFmtId="0" fontId="38" fillId="2" borderId="75" xfId="0" applyFont="1" applyFill="1" applyBorder="1" applyAlignment="1">
      <alignment horizontal="left" indent="1"/>
    </xf>
    <xf numFmtId="0" fontId="38" fillId="4" borderId="67" xfId="0" applyFont="1" applyFill="1" applyBorder="1" applyAlignment="1"/>
    <xf numFmtId="0" fontId="38" fillId="4" borderId="69" xfId="0" applyFont="1" applyFill="1" applyBorder="1" applyAlignment="1">
      <alignment horizontal="left" indent="1"/>
    </xf>
    <xf numFmtId="0" fontId="38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8" fillId="2" borderId="67" xfId="0" applyFont="1" applyFill="1" applyBorder="1" applyAlignment="1">
      <alignment horizontal="left" indent="1"/>
    </xf>
    <xf numFmtId="0" fontId="38" fillId="2" borderId="80" xfId="0" applyFont="1" applyFill="1" applyBorder="1" applyAlignment="1">
      <alignment horizontal="left" indent="1"/>
    </xf>
    <xf numFmtId="0" fontId="38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8" fillId="4" borderId="59" xfId="0" applyFont="1" applyFill="1" applyBorder="1" applyAlignment="1">
      <alignment horizontal="center" vertical="center"/>
    </xf>
    <xf numFmtId="0" fontId="38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8" fillId="2" borderId="84" xfId="0" applyNumberFormat="1" applyFont="1" applyFill="1" applyBorder="1" applyAlignment="1">
      <alignment horizontal="center" vertical="center"/>
    </xf>
    <xf numFmtId="3" fontId="50" fillId="2" borderId="82" xfId="0" applyNumberFormat="1" applyFont="1" applyFill="1" applyBorder="1" applyAlignment="1">
      <alignment horizontal="center" vertical="center" wrapText="1"/>
    </xf>
    <xf numFmtId="173" fontId="38" fillId="4" borderId="68" xfId="0" applyNumberFormat="1" applyFont="1" applyFill="1" applyBorder="1" applyAlignment="1"/>
    <xf numFmtId="173" fontId="38" fillId="4" borderId="61" xfId="0" applyNumberFormat="1" applyFont="1" applyFill="1" applyBorder="1" applyAlignment="1"/>
    <xf numFmtId="173" fontId="38" fillId="4" borderId="62" xfId="0" applyNumberFormat="1" applyFont="1" applyFill="1" applyBorder="1" applyAlignment="1"/>
    <xf numFmtId="173" fontId="38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8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8" fillId="2" borderId="83" xfId="0" applyNumberFormat="1" applyFont="1" applyFill="1" applyBorder="1" applyAlignment="1"/>
    <xf numFmtId="173" fontId="38" fillId="2" borderId="61" xfId="0" applyNumberFormat="1" applyFont="1" applyFill="1" applyBorder="1" applyAlignment="1"/>
    <xf numFmtId="173" fontId="38" fillId="2" borderId="62" xfId="0" applyNumberFormat="1" applyFont="1" applyFill="1" applyBorder="1" applyAlignment="1"/>
    <xf numFmtId="173" fontId="38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8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8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8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8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2" fillId="0" borderId="0" xfId="0" applyFont="1" applyAlignment="1">
      <alignment horizontal="left" vertical="center" indent="1"/>
    </xf>
    <xf numFmtId="0" fontId="52" fillId="0" borderId="0" xfId="0" applyFont="1" applyAlignment="1">
      <alignment vertical="center"/>
    </xf>
    <xf numFmtId="0" fontId="0" fillId="0" borderId="0" xfId="0" applyAlignment="1"/>
    <xf numFmtId="0" fontId="53" fillId="0" borderId="0" xfId="0" applyFont="1"/>
    <xf numFmtId="173" fontId="38" fillId="4" borderId="68" xfId="0" applyNumberFormat="1" applyFont="1" applyFill="1" applyBorder="1" applyAlignment="1">
      <alignment horizontal="center"/>
    </xf>
    <xf numFmtId="175" fontId="38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8" fillId="0" borderId="0" xfId="0" applyFont="1" applyFill="1" applyAlignment="1">
      <alignment horizontal="left" indent="1"/>
    </xf>
    <xf numFmtId="9" fontId="38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8" fillId="3" borderId="26" xfId="0" applyFont="1" applyFill="1" applyBorder="1" applyAlignment="1"/>
    <xf numFmtId="0" fontId="32" fillId="0" borderId="37" xfId="0" applyFont="1" applyBorder="1" applyAlignment="1"/>
    <xf numFmtId="0" fontId="38" fillId="2" borderId="26" xfId="0" applyFont="1" applyFill="1" applyBorder="1" applyAlignment="1"/>
    <xf numFmtId="0" fontId="38" fillId="4" borderId="26" xfId="0" applyFont="1" applyFill="1" applyBorder="1" applyAlignment="1"/>
    <xf numFmtId="0" fontId="40" fillId="0" borderId="1" xfId="0" applyFont="1" applyFill="1" applyBorder="1" applyAlignment="1"/>
    <xf numFmtId="0" fontId="40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7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0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1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8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8" fillId="2" borderId="47" xfId="0" applyFont="1" applyFill="1" applyBorder="1" applyAlignment="1">
      <alignment horizontal="left"/>
    </xf>
    <xf numFmtId="3" fontId="38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8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4" fillId="9" borderId="101" xfId="0" applyNumberFormat="1" applyFont="1" applyFill="1" applyBorder="1" applyAlignment="1">
      <alignment horizontal="right" vertical="top"/>
    </xf>
    <xf numFmtId="3" fontId="34" fillId="9" borderId="102" xfId="0" applyNumberFormat="1" applyFont="1" applyFill="1" applyBorder="1" applyAlignment="1">
      <alignment horizontal="right" vertical="top"/>
    </xf>
    <xf numFmtId="0" fontId="34" fillId="9" borderId="103" xfId="0" applyFont="1" applyFill="1" applyBorder="1" applyAlignment="1">
      <alignment horizontal="right" vertical="top"/>
    </xf>
    <xf numFmtId="3" fontId="34" fillId="0" borderId="101" xfId="0" applyNumberFormat="1" applyFont="1" applyBorder="1" applyAlignment="1">
      <alignment horizontal="right" vertical="top"/>
    </xf>
    <xf numFmtId="0" fontId="34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4" fillId="9" borderId="103" xfId="0" applyNumberFormat="1" applyFont="1" applyFill="1" applyBorder="1" applyAlignment="1">
      <alignment horizontal="right" vertical="top"/>
    </xf>
    <xf numFmtId="176" fontId="34" fillId="9" borderId="104" xfId="0" applyNumberFormat="1" applyFont="1" applyFill="1" applyBorder="1" applyAlignment="1">
      <alignment horizontal="right" vertical="top"/>
    </xf>
    <xf numFmtId="3" fontId="34" fillId="0" borderId="105" xfId="0" applyNumberFormat="1" applyFont="1" applyBorder="1" applyAlignment="1">
      <alignment horizontal="right" vertical="top"/>
    </xf>
    <xf numFmtId="3" fontId="34" fillId="0" borderId="106" xfId="0" applyNumberFormat="1" applyFont="1" applyBorder="1" applyAlignment="1">
      <alignment horizontal="right" vertical="top"/>
    </xf>
    <xf numFmtId="3" fontId="34" fillId="0" borderId="107" xfId="0" applyNumberFormat="1" applyFont="1" applyBorder="1" applyAlignment="1">
      <alignment horizontal="right" vertical="top"/>
    </xf>
    <xf numFmtId="176" fontId="34" fillId="9" borderId="108" xfId="0" applyNumberFormat="1" applyFont="1" applyFill="1" applyBorder="1" applyAlignment="1">
      <alignment horizontal="right" vertical="top"/>
    </xf>
    <xf numFmtId="0" fontId="36" fillId="10" borderId="95" xfId="0" applyFont="1" applyFill="1" applyBorder="1" applyAlignment="1">
      <alignment vertical="top"/>
    </xf>
    <xf numFmtId="0" fontId="36" fillId="10" borderId="95" xfId="0" applyFont="1" applyFill="1" applyBorder="1" applyAlignment="1">
      <alignment vertical="top" indent="2"/>
    </xf>
    <xf numFmtId="0" fontId="36" fillId="10" borderId="95" xfId="0" applyFont="1" applyFill="1" applyBorder="1" applyAlignment="1">
      <alignment vertical="top" indent="4"/>
    </xf>
    <xf numFmtId="0" fontId="37" fillId="10" borderId="100" xfId="0" applyFont="1" applyFill="1" applyBorder="1" applyAlignment="1">
      <alignment vertical="top" indent="6"/>
    </xf>
    <xf numFmtId="0" fontId="36" fillId="10" borderId="95" xfId="0" applyFont="1" applyFill="1" applyBorder="1" applyAlignment="1">
      <alignment vertical="top" indent="8"/>
    </xf>
    <xf numFmtId="0" fontId="37" fillId="10" borderId="100" xfId="0" applyFont="1" applyFill="1" applyBorder="1" applyAlignment="1">
      <alignment vertical="top" indent="2"/>
    </xf>
    <xf numFmtId="0" fontId="36" fillId="10" borderId="9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7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8" fillId="2" borderId="109" xfId="0" applyFont="1" applyFill="1" applyBorder="1"/>
    <xf numFmtId="3" fontId="38" fillId="2" borderId="111" xfId="0" applyNumberFormat="1" applyFont="1" applyFill="1" applyBorder="1"/>
    <xf numFmtId="9" fontId="38" fillId="2" borderId="56" xfId="0" applyNumberFormat="1" applyFont="1" applyFill="1" applyBorder="1"/>
    <xf numFmtId="3" fontId="38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8" fillId="10" borderId="19" xfId="0" applyFont="1" applyFill="1" applyBorder="1"/>
    <xf numFmtId="3" fontId="38" fillId="10" borderId="27" xfId="0" applyNumberFormat="1" applyFont="1" applyFill="1" applyBorder="1"/>
    <xf numFmtId="9" fontId="38" fillId="10" borderId="27" xfId="0" applyNumberFormat="1" applyFont="1" applyFill="1" applyBorder="1"/>
    <xf numFmtId="3" fontId="38" fillId="10" borderId="20" xfId="0" applyNumberFormat="1" applyFont="1" applyFill="1" applyBorder="1"/>
    <xf numFmtId="0" fontId="38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8" fillId="2" borderId="110" xfId="0" applyFont="1" applyFill="1" applyBorder="1"/>
    <xf numFmtId="3" fontId="38" fillId="2" borderId="0" xfId="0" applyNumberFormat="1" applyFont="1" applyFill="1" applyBorder="1"/>
    <xf numFmtId="3" fontId="38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8" fillId="0" borderId="92" xfId="0" applyFont="1" applyFill="1" applyBorder="1"/>
    <xf numFmtId="0" fontId="38" fillId="0" borderId="90" xfId="0" applyFont="1" applyFill="1" applyBorder="1" applyAlignment="1">
      <alignment horizontal="left" indent="1"/>
    </xf>
    <xf numFmtId="0" fontId="38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8" fillId="4" borderId="113" xfId="0" applyNumberFormat="1" applyFont="1" applyFill="1" applyBorder="1" applyAlignment="1">
      <alignment horizontal="center"/>
    </xf>
    <xf numFmtId="173" fontId="38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8" fillId="2" borderId="88" xfId="0" applyFont="1" applyFill="1" applyBorder="1" applyAlignment="1">
      <alignment horizontal="center" vertical="center"/>
    </xf>
    <xf numFmtId="0" fontId="50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8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8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8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8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80" bestFit="1" customWidth="1"/>
    <col min="2" max="2" width="102.21875" style="80" bestFit="1" customWidth="1"/>
    <col min="3" max="3" width="16.109375" style="37" hidden="1" customWidth="1"/>
    <col min="4" max="16384" width="8.88671875" style="80"/>
  </cols>
  <sheetData>
    <row r="1" spans="1:3" ht="18.600000000000001" customHeight="1" thickBot="1" x14ac:dyDescent="0.4">
      <c r="A1" s="237" t="s">
        <v>40</v>
      </c>
      <c r="B1" s="237"/>
    </row>
    <row r="2" spans="1:3" ht="14.4" customHeight="1" thickBot="1" x14ac:dyDescent="0.35">
      <c r="A2" s="151" t="s">
        <v>180</v>
      </c>
      <c r="B2" s="36"/>
    </row>
    <row r="3" spans="1:3" ht="14.4" customHeight="1" thickBot="1" x14ac:dyDescent="0.35">
      <c r="A3" s="233" t="s">
        <v>62</v>
      </c>
      <c r="B3" s="234"/>
    </row>
    <row r="4" spans="1:3" ht="14.4" customHeight="1" x14ac:dyDescent="0.3">
      <c r="A4" s="86" t="str">
        <f t="shared" ref="A4:A6" si="0">HYPERLINK("#'"&amp;C4&amp;"'!A1",C4)</f>
        <v>Motivace</v>
      </c>
      <c r="B4" s="49" t="s">
        <v>49</v>
      </c>
      <c r="C4" s="37" t="s">
        <v>50</v>
      </c>
    </row>
    <row r="5" spans="1:3" ht="14.4" customHeight="1" x14ac:dyDescent="0.3">
      <c r="A5" s="87" t="str">
        <f t="shared" si="0"/>
        <v>HI</v>
      </c>
      <c r="B5" s="50" t="s">
        <v>59</v>
      </c>
      <c r="C5" s="37" t="s">
        <v>43</v>
      </c>
    </row>
    <row r="6" spans="1:3" ht="14.4" customHeight="1" thickBot="1" x14ac:dyDescent="0.35">
      <c r="A6" s="89" t="str">
        <f t="shared" si="0"/>
        <v>HV</v>
      </c>
      <c r="B6" s="52" t="s">
        <v>22</v>
      </c>
      <c r="C6" s="37" t="s">
        <v>27</v>
      </c>
    </row>
    <row r="7" spans="1:3" ht="14.4" customHeight="1" thickBot="1" x14ac:dyDescent="0.35">
      <c r="A7" s="53"/>
      <c r="B7" s="53"/>
    </row>
    <row r="8" spans="1:3" ht="14.4" customHeight="1" thickBot="1" x14ac:dyDescent="0.35">
      <c r="A8" s="235" t="s">
        <v>41</v>
      </c>
      <c r="B8" s="234"/>
    </row>
    <row r="9" spans="1:3" ht="14.4" customHeight="1" x14ac:dyDescent="0.3">
      <c r="A9" s="90" t="str">
        <f t="shared" ref="A9" si="1">HYPERLINK("#'"&amp;C9&amp;"'!A1",C9)</f>
        <v>Léky Žádanky</v>
      </c>
      <c r="B9" s="50" t="s">
        <v>60</v>
      </c>
      <c r="C9" s="37" t="s">
        <v>44</v>
      </c>
    </row>
    <row r="10" spans="1:3" ht="14.4" customHeight="1" x14ac:dyDescent="0.3">
      <c r="A10" s="88" t="str">
        <f t="shared" ref="A10:A16" si="2">HYPERLINK("#'"&amp;C10&amp;"'!A1",C10)</f>
        <v>LŽ Detail</v>
      </c>
      <c r="B10" s="51" t="s">
        <v>80</v>
      </c>
      <c r="C10" s="37" t="s">
        <v>45</v>
      </c>
    </row>
    <row r="11" spans="1:3" ht="28.8" customHeight="1" x14ac:dyDescent="0.3">
      <c r="A11" s="88" t="str">
        <f t="shared" si="2"/>
        <v>LŽ PL</v>
      </c>
      <c r="B11" s="365" t="s">
        <v>81</v>
      </c>
      <c r="C11" s="37" t="s">
        <v>66</v>
      </c>
    </row>
    <row r="12" spans="1:3" ht="14.4" customHeight="1" x14ac:dyDescent="0.3">
      <c r="A12" s="88" t="str">
        <f t="shared" si="2"/>
        <v>LŽ PL Detail</v>
      </c>
      <c r="B12" s="51" t="s">
        <v>523</v>
      </c>
      <c r="C12" s="37" t="s">
        <v>67</v>
      </c>
    </row>
    <row r="13" spans="1:3" ht="14.4" customHeight="1" x14ac:dyDescent="0.3">
      <c r="A13" s="88" t="str">
        <f t="shared" si="2"/>
        <v>LŽ Statim</v>
      </c>
      <c r="B13" s="225" t="s">
        <v>159</v>
      </c>
      <c r="C13" s="37" t="s">
        <v>169</v>
      </c>
    </row>
    <row r="14" spans="1:3" ht="14.4" customHeight="1" x14ac:dyDescent="0.3">
      <c r="A14" s="90" t="str">
        <f t="shared" ref="A14" si="3">HYPERLINK("#'"&amp;C14&amp;"'!A1",C14)</f>
        <v>Materiál Žádanky</v>
      </c>
      <c r="B14" s="51" t="s">
        <v>61</v>
      </c>
      <c r="C14" s="37" t="s">
        <v>46</v>
      </c>
    </row>
    <row r="15" spans="1:3" ht="14.4" customHeight="1" x14ac:dyDescent="0.3">
      <c r="A15" s="88" t="str">
        <f t="shared" si="2"/>
        <v>MŽ Detail</v>
      </c>
      <c r="B15" s="51" t="s">
        <v>1419</v>
      </c>
      <c r="C15" s="37" t="s">
        <v>47</v>
      </c>
    </row>
    <row r="16" spans="1:3" ht="14.4" customHeight="1" thickBot="1" x14ac:dyDescent="0.35">
      <c r="A16" s="90" t="str">
        <f t="shared" si="2"/>
        <v>Osobní náklady</v>
      </c>
      <c r="B16" s="51" t="s">
        <v>38</v>
      </c>
      <c r="C16" s="37" t="s">
        <v>48</v>
      </c>
    </row>
    <row r="17" spans="1:2" ht="14.4" customHeight="1" thickBot="1" x14ac:dyDescent="0.35">
      <c r="A17" s="54"/>
      <c r="B17" s="54"/>
    </row>
    <row r="18" spans="1:2" ht="14.4" customHeight="1" thickBot="1" x14ac:dyDescent="0.35">
      <c r="A18" s="236" t="s">
        <v>42</v>
      </c>
      <c r="B18" s="234"/>
    </row>
  </sheetData>
  <mergeCells count="4">
    <mergeCell ref="A3:B3"/>
    <mergeCell ref="A8:B8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91" bestFit="1" customWidth="1"/>
    <col min="2" max="2" width="11.6640625" style="91" hidden="1" customWidth="1"/>
    <col min="3" max="4" width="11" style="93" customWidth="1"/>
    <col min="5" max="5" width="11" style="94" customWidth="1"/>
    <col min="6" max="16384" width="8.88671875" style="91"/>
  </cols>
  <sheetData>
    <row r="1" spans="1:5" ht="18.600000000000001" thickBot="1" x14ac:dyDescent="0.4">
      <c r="A1" s="237" t="s">
        <v>49</v>
      </c>
      <c r="B1" s="237"/>
      <c r="C1" s="238"/>
      <c r="D1" s="238"/>
      <c r="E1" s="238"/>
    </row>
    <row r="2" spans="1:5" ht="14.4" customHeight="1" thickBot="1" x14ac:dyDescent="0.35">
      <c r="A2" s="151" t="s">
        <v>180</v>
      </c>
      <c r="B2" s="92"/>
    </row>
    <row r="3" spans="1:5" ht="14.4" customHeight="1" thickBot="1" x14ac:dyDescent="0.35">
      <c r="A3" s="95"/>
      <c r="C3" s="96" t="s">
        <v>39</v>
      </c>
      <c r="D3" s="97" t="s">
        <v>32</v>
      </c>
      <c r="E3" s="98" t="s">
        <v>34</v>
      </c>
    </row>
    <row r="4" spans="1:5" ht="14.4" customHeight="1" thickBot="1" x14ac:dyDescent="0.35">
      <c r="A4" s="99" t="str">
        <f>HYPERLINK("#HI!A1","NÁKLADY CELKEM (v tisících Kč)")</f>
        <v>NÁKLADY CELKEM (v tisících Kč)</v>
      </c>
      <c r="B4" s="100"/>
      <c r="C4" s="101">
        <f ca="1">IF(ISERROR(VLOOKUP("Náklady celkem",INDIRECT("HI!$A:$G"),6,0)),0,VLOOKUP("Náklady celkem",INDIRECT("HI!$A:$G"),6,0))</f>
        <v>72489.350820716732</v>
      </c>
      <c r="D4" s="101">
        <f ca="1">IF(ISERROR(VLOOKUP("Náklady celkem",INDIRECT("HI!$A:$G"),5,0)),0,VLOOKUP("Náklady celkem",INDIRECT("HI!$A:$G"),5,0))</f>
        <v>74414.297990000021</v>
      </c>
      <c r="E4" s="102">
        <f ca="1">IF(C4=0,0,D4/C4)</f>
        <v>1.0265548959604307</v>
      </c>
    </row>
    <row r="5" spans="1:5" ht="14.4" customHeight="1" x14ac:dyDescent="0.3">
      <c r="A5" s="103" t="s">
        <v>68</v>
      </c>
      <c r="B5" s="104"/>
      <c r="C5" s="105"/>
      <c r="D5" s="105"/>
      <c r="E5" s="106"/>
    </row>
    <row r="6" spans="1:5" ht="14.4" customHeight="1" x14ac:dyDescent="0.3">
      <c r="A6" s="107" t="s">
        <v>73</v>
      </c>
      <c r="B6" s="108"/>
      <c r="C6" s="109"/>
      <c r="D6" s="109"/>
      <c r="E6" s="106"/>
    </row>
    <row r="7" spans="1:5" ht="14.4" customHeight="1" x14ac:dyDescent="0.3">
      <c r="A7" s="22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08" t="s">
        <v>43</v>
      </c>
      <c r="C7" s="109">
        <f>IF(ISERROR(HI!F5),"",HI!F5)</f>
        <v>834.69941187162476</v>
      </c>
      <c r="D7" s="109">
        <f>IF(ISERROR(HI!E5),"",HI!E5)</f>
        <v>824.54575</v>
      </c>
      <c r="E7" s="106">
        <f t="shared" ref="E7:E13" si="0">IF(C7=0,0,D7/C7)</f>
        <v>0.98783554687206798</v>
      </c>
    </row>
    <row r="8" spans="1:5" ht="14.4" customHeight="1" x14ac:dyDescent="0.3">
      <c r="A8" s="228" t="str">
        <f>HYPERLINK("#'LŽ PL'!A1","Plnění pozitivního listu (min. 90%)")</f>
        <v>Plnění pozitivního listu (min. 90%)</v>
      </c>
      <c r="B8" s="108" t="s">
        <v>66</v>
      </c>
      <c r="C8" s="110">
        <v>0.9</v>
      </c>
      <c r="D8" s="110">
        <f>IF(ISERROR(VLOOKUP("celkem",'LŽ PL'!$A:$F,5,0)),0,VLOOKUP("celkem",'LŽ PL'!$A:$F,5,0))</f>
        <v>1</v>
      </c>
      <c r="E8" s="106">
        <f t="shared" si="0"/>
        <v>1.1111111111111112</v>
      </c>
    </row>
    <row r="9" spans="1:5" ht="14.4" customHeight="1" x14ac:dyDescent="0.3">
      <c r="A9" s="228" t="str">
        <f>HYPERLINK("#'LŽ Statim'!A1","Podíl statimových žádanek (max. 30%)")</f>
        <v>Podíl statimových žádanek (max. 30%)</v>
      </c>
      <c r="B9" s="226" t="s">
        <v>169</v>
      </c>
      <c r="C9" s="227">
        <v>0.3</v>
      </c>
      <c r="D9" s="227">
        <f>IF('LŽ Statim'!G3="",0,'LŽ Statim'!G3)</f>
        <v>4.7318611987381704E-3</v>
      </c>
      <c r="E9" s="106">
        <f>IF(C9=0,0,D9/C9)</f>
        <v>1.577287066246057E-2</v>
      </c>
    </row>
    <row r="10" spans="1:5" ht="14.4" customHeight="1" x14ac:dyDescent="0.3">
      <c r="A10" s="111" t="s">
        <v>69</v>
      </c>
      <c r="B10" s="108"/>
      <c r="C10" s="109"/>
      <c r="D10" s="109"/>
      <c r="E10" s="106"/>
    </row>
    <row r="11" spans="1:5" ht="14.4" customHeight="1" x14ac:dyDescent="0.3">
      <c r="A11" s="111" t="s">
        <v>70</v>
      </c>
      <c r="B11" s="108"/>
      <c r="C11" s="109"/>
      <c r="D11" s="109"/>
      <c r="E11" s="106"/>
    </row>
    <row r="12" spans="1:5" ht="14.4" customHeight="1" x14ac:dyDescent="0.3">
      <c r="A12" s="112" t="s">
        <v>74</v>
      </c>
      <c r="B12" s="108"/>
      <c r="C12" s="105"/>
      <c r="D12" s="105"/>
      <c r="E12" s="106"/>
    </row>
    <row r="13" spans="1:5" ht="14.4" customHeight="1" x14ac:dyDescent="0.3">
      <c r="A13" s="1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08" t="s">
        <v>43</v>
      </c>
      <c r="C13" s="109">
        <f>IF(ISERROR(HI!F6),"",HI!F6)</f>
        <v>12116.451495962405</v>
      </c>
      <c r="D13" s="109">
        <f>IF(ISERROR(HI!E6),"",HI!E6)</f>
        <v>14859.484320000012</v>
      </c>
      <c r="E13" s="106">
        <f t="shared" si="0"/>
        <v>1.2263891226694281</v>
      </c>
    </row>
    <row r="14" spans="1:5" ht="14.4" customHeight="1" thickBot="1" x14ac:dyDescent="0.35">
      <c r="A14" s="114" t="str">
        <f>HYPERLINK("#HI!A1","Osobní náklady")</f>
        <v>Osobní náklady</v>
      </c>
      <c r="B14" s="108"/>
      <c r="C14" s="105">
        <f ca="1">IF(ISERROR(VLOOKUP("Osobní náklady (Kč) *",INDIRECT("HI!$A:$G"),6,0)),0,VLOOKUP("Osobní náklady (Kč) *",INDIRECT("HI!$A:$G"),6,0))</f>
        <v>20962.332673070639</v>
      </c>
      <c r="D14" s="105">
        <f ca="1">IF(ISERROR(VLOOKUP("Osobní náklady (Kč) *",INDIRECT("HI!$A:$G"),5,0)),0,VLOOKUP("Osobní náklady (Kč) *",INDIRECT("HI!$A:$G"),5,0))</f>
        <v>22125.21875</v>
      </c>
      <c r="E14" s="106">
        <f ca="1">IF(C14=0,0,D14/C14)</f>
        <v>1.0554750320522901</v>
      </c>
    </row>
    <row r="15" spans="1:5" ht="14.4" customHeight="1" thickBot="1" x14ac:dyDescent="0.35">
      <c r="A15" s="118"/>
      <c r="B15" s="119"/>
      <c r="C15" s="120"/>
      <c r="D15" s="120"/>
      <c r="E15" s="121"/>
    </row>
    <row r="16" spans="1:5" ht="14.4" customHeight="1" thickBot="1" x14ac:dyDescent="0.35">
      <c r="A16" s="122" t="str">
        <f>HYPERLINK("#HI!A1","VÝNOSY CELKEM (v tisících)")</f>
        <v>VÝNOSY CELKEM (v tisících)</v>
      </c>
      <c r="B16" s="123"/>
      <c r="C16" s="124">
        <f ca="1">IF(ISERROR(VLOOKUP("Výnosy celkem",INDIRECT("HI!$A:$G"),6,0)),0,VLOOKUP("Výnosy celkem",INDIRECT("HI!$A:$G"),6,0))</f>
        <v>0</v>
      </c>
      <c r="D16" s="124">
        <f ca="1">IF(ISERROR(VLOOKUP("Výnosy celkem",INDIRECT("HI!$A:$G"),5,0)),0,VLOOKUP("Výnosy celkem",INDIRECT("HI!$A:$G"),5,0))</f>
        <v>0</v>
      </c>
      <c r="E16" s="125">
        <f t="shared" ref="E16:E17" ca="1" si="1">IF(C16=0,0,D16/C16)</f>
        <v>0</v>
      </c>
    </row>
    <row r="17" spans="1:5" ht="14.4" customHeight="1" x14ac:dyDescent="0.3">
      <c r="A17" s="126" t="str">
        <f>HYPERLINK("#HI!A1","Ambulance (body za výkony + Kč za ZUM a ZULP)")</f>
        <v>Ambulance (body za výkony + Kč za ZUM a ZULP)</v>
      </c>
      <c r="B17" s="104"/>
      <c r="C17" s="105">
        <f ca="1">IF(ISERROR(VLOOKUP("Ambulance *",INDIRECT("HI!$A:$G"),6,0)),0,VLOOKUP("Ambulance *",INDIRECT("HI!$A:$G"),6,0))</f>
        <v>0</v>
      </c>
      <c r="D17" s="105">
        <f ca="1">IF(ISERROR(VLOOKUP("Ambulance *",INDIRECT("HI!$A:$G"),5,0)),0,VLOOKUP("Ambulance *",INDIRECT("HI!$A:$G"),5,0))</f>
        <v>0</v>
      </c>
      <c r="E17" s="106">
        <f t="shared" ca="1" si="1"/>
        <v>0</v>
      </c>
    </row>
    <row r="18" spans="1:5" ht="14.4" customHeight="1" x14ac:dyDescent="0.3">
      <c r="A18" s="127" t="str">
        <f>HYPERLINK("#HI!A1","Hospitalizace (casemix * 30000)")</f>
        <v>Hospitalizace (casemix * 30000)</v>
      </c>
      <c r="B18" s="108"/>
      <c r="C18" s="105">
        <f ca="1">IF(ISERROR(VLOOKUP("Hospitalizace *",INDIRECT("HI!$A:$G"),6,0)),0,VLOOKUP("Hospitalizace *",INDIRECT("HI!$A:$G"),6,0))</f>
        <v>0</v>
      </c>
      <c r="D18" s="105">
        <f ca="1">IF(ISERROR(VLOOKUP("Hospitalizace *",INDIRECT("HI!$A:$G"),5,0)),0,VLOOKUP("Hospitalizace *",INDIRECT("HI!$A:$G"),5,0))</f>
        <v>0</v>
      </c>
      <c r="E18" s="106">
        <f ca="1">IF(C18=0,0,D18/C18)</f>
        <v>0</v>
      </c>
    </row>
    <row r="19" spans="1:5" ht="14.4" customHeight="1" thickBot="1" x14ac:dyDescent="0.35">
      <c r="A19" s="128" t="s">
        <v>71</v>
      </c>
      <c r="B19" s="115"/>
      <c r="C19" s="116"/>
      <c r="D19" s="116"/>
      <c r="E19" s="117"/>
    </row>
    <row r="20" spans="1:5" ht="14.4" customHeight="1" thickBot="1" x14ac:dyDescent="0.35">
      <c r="A20" s="129"/>
      <c r="B20" s="130"/>
      <c r="C20" s="131"/>
      <c r="D20" s="131"/>
      <c r="E20" s="132"/>
    </row>
    <row r="21" spans="1:5" ht="14.4" customHeight="1" thickBot="1" x14ac:dyDescent="0.35">
      <c r="A21" s="133" t="s">
        <v>72</v>
      </c>
      <c r="B21" s="134"/>
      <c r="C21" s="135"/>
      <c r="D21" s="135"/>
      <c r="E21" s="136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80" bestFit="1" customWidth="1"/>
    <col min="2" max="3" width="9.5546875" style="80" customWidth="1"/>
    <col min="4" max="4" width="2.21875" style="80" customWidth="1"/>
    <col min="5" max="8" width="9.5546875" style="80" customWidth="1"/>
    <col min="9" max="16384" width="8.88671875" style="80"/>
  </cols>
  <sheetData>
    <row r="1" spans="1:8" ht="18.600000000000001" customHeight="1" thickBot="1" x14ac:dyDescent="0.4">
      <c r="A1" s="237" t="s">
        <v>59</v>
      </c>
      <c r="B1" s="237"/>
      <c r="C1" s="237"/>
      <c r="D1" s="237"/>
      <c r="E1" s="237"/>
      <c r="F1" s="237"/>
      <c r="G1" s="238"/>
      <c r="H1" s="238"/>
    </row>
    <row r="2" spans="1:8" ht="14.4" customHeight="1" thickBot="1" x14ac:dyDescent="0.35">
      <c r="A2" s="151" t="s">
        <v>180</v>
      </c>
      <c r="B2" s="62"/>
      <c r="C2" s="62"/>
      <c r="D2" s="62"/>
      <c r="E2" s="62"/>
      <c r="F2" s="62"/>
    </row>
    <row r="3" spans="1:8" ht="14.4" customHeight="1" x14ac:dyDescent="0.3">
      <c r="A3" s="239"/>
      <c r="B3" s="58">
        <v>2013</v>
      </c>
      <c r="C3" s="30">
        <v>2014</v>
      </c>
      <c r="D3" s="7"/>
      <c r="E3" s="243">
        <v>2015</v>
      </c>
      <c r="F3" s="244"/>
      <c r="G3" s="244"/>
      <c r="H3" s="245"/>
    </row>
    <row r="4" spans="1:8" ht="14.4" customHeight="1" thickBot="1" x14ac:dyDescent="0.35">
      <c r="A4" s="240"/>
      <c r="B4" s="241" t="s">
        <v>32</v>
      </c>
      <c r="C4" s="242"/>
      <c r="D4" s="7"/>
      <c r="E4" s="79" t="s">
        <v>32</v>
      </c>
      <c r="F4" s="60" t="s">
        <v>33</v>
      </c>
      <c r="G4" s="60" t="s">
        <v>29</v>
      </c>
      <c r="H4" s="61" t="s">
        <v>34</v>
      </c>
    </row>
    <row r="5" spans="1:8" ht="14.4" customHeight="1" x14ac:dyDescent="0.3">
      <c r="A5" s="63" t="str">
        <f>HYPERLINK("#'Léky Žádanky'!A1","Léky (Kč)")</f>
        <v>Léky (Kč)</v>
      </c>
      <c r="B5" s="17">
        <v>836.53986999999915</v>
      </c>
      <c r="C5" s="19">
        <v>822.6708799999999</v>
      </c>
      <c r="D5" s="8"/>
      <c r="E5" s="68">
        <v>824.54575</v>
      </c>
      <c r="F5" s="18">
        <v>834.69941187162476</v>
      </c>
      <c r="G5" s="67">
        <f>E5-F5</f>
        <v>-10.153661871624763</v>
      </c>
      <c r="H5" s="73">
        <f>IF(F5&lt;0.00000001,"",E5/F5)</f>
        <v>0.98783554687206798</v>
      </c>
    </row>
    <row r="6" spans="1:8" ht="14.4" customHeight="1" x14ac:dyDescent="0.3">
      <c r="A6" s="63" t="str">
        <f>HYPERLINK("#'Materiál Žádanky'!A1","Materiál - SZM (Kč)")</f>
        <v>Materiál - SZM (Kč)</v>
      </c>
      <c r="B6" s="10">
        <v>9218.9054099999994</v>
      </c>
      <c r="C6" s="21">
        <v>15627.67437000001</v>
      </c>
      <c r="D6" s="8"/>
      <c r="E6" s="69">
        <v>14859.484320000012</v>
      </c>
      <c r="F6" s="20">
        <v>12116.451495962405</v>
      </c>
      <c r="G6" s="70">
        <f>E6-F6</f>
        <v>2743.0328240376075</v>
      </c>
      <c r="H6" s="74">
        <f>IF(F6&lt;0.00000001,"",E6/F6)</f>
        <v>1.2263891226694281</v>
      </c>
    </row>
    <row r="7" spans="1:8" ht="14.4" customHeight="1" x14ac:dyDescent="0.3">
      <c r="A7" s="63" t="str">
        <f>HYPERLINK("#'Osobní náklady'!A1","Osobní náklady (Kč) *")</f>
        <v>Osobní náklady (Kč) *</v>
      </c>
      <c r="B7" s="10">
        <v>20327.336619999998</v>
      </c>
      <c r="C7" s="21">
        <v>21278.338990000011</v>
      </c>
      <c r="D7" s="8"/>
      <c r="E7" s="69">
        <v>22125.21875</v>
      </c>
      <c r="F7" s="20">
        <v>20962.332673070639</v>
      </c>
      <c r="G7" s="70">
        <f>E7-F7</f>
        <v>1162.8860769293606</v>
      </c>
      <c r="H7" s="74">
        <f>IF(F7&lt;0.00000001,"",E7/F7)</f>
        <v>1.0554750320522901</v>
      </c>
    </row>
    <row r="8" spans="1:8" ht="14.4" customHeight="1" thickBot="1" x14ac:dyDescent="0.35">
      <c r="A8" s="1" t="s">
        <v>35</v>
      </c>
      <c r="B8" s="11">
        <v>31619.843199999988</v>
      </c>
      <c r="C8" s="23">
        <v>36082.715460000007</v>
      </c>
      <c r="D8" s="8"/>
      <c r="E8" s="71">
        <v>36605.049170000013</v>
      </c>
      <c r="F8" s="22">
        <v>38575.867239812062</v>
      </c>
      <c r="G8" s="72">
        <f>E8-F8</f>
        <v>-1970.8180698120486</v>
      </c>
      <c r="H8" s="75">
        <f>IF(F8&lt;0.00000001,"",E8/F8)</f>
        <v>0.94891059590286864</v>
      </c>
    </row>
    <row r="9" spans="1:8" ht="14.4" customHeight="1" thickBot="1" x14ac:dyDescent="0.35">
      <c r="A9" s="2" t="s">
        <v>36</v>
      </c>
      <c r="B9" s="3">
        <v>62002.625099999983</v>
      </c>
      <c r="C9" s="25">
        <v>73811.399700000024</v>
      </c>
      <c r="D9" s="8"/>
      <c r="E9" s="3">
        <v>74414.297990000021</v>
      </c>
      <c r="F9" s="24">
        <v>72489.350820716732</v>
      </c>
      <c r="G9" s="24">
        <f>E9-F9</f>
        <v>1924.9471692832885</v>
      </c>
      <c r="H9" s="76">
        <f>IF(F9&lt;0.00000001,"",E9/F9)</f>
        <v>1.0265548959604307</v>
      </c>
    </row>
    <row r="10" spans="1:8" ht="14.4" customHeight="1" thickBot="1" x14ac:dyDescent="0.35">
      <c r="A10" s="12"/>
      <c r="B10" s="12"/>
      <c r="C10" s="59"/>
      <c r="D10" s="8"/>
      <c r="E10" s="12"/>
      <c r="F10" s="13"/>
    </row>
    <row r="11" spans="1:8" ht="14.4" customHeight="1" x14ac:dyDescent="0.3">
      <c r="A11" s="81" t="str">
        <f>HYPERLINK("#'ZV Vykáz.-A'!A1","Ambulance *")</f>
        <v>Ambulance *</v>
      </c>
      <c r="B11" s="9">
        <f>IF(ISERROR(VLOOKUP("Celkem:",#REF!,2,0)),0,VLOOKUP("Celkem:",#REF!,2,0)/1000)</f>
        <v>0</v>
      </c>
      <c r="C11" s="19">
        <f>IF(ISERROR(VLOOKUP("Celkem:",#REF!,4,0)),0,VLOOKUP("Celkem:",#REF!,4,0)/1000)</f>
        <v>0</v>
      </c>
      <c r="D11" s="8"/>
      <c r="E11" s="68">
        <f>IF(ISERROR(VLOOKUP("Celkem:",#REF!,6,0)),0,VLOOKUP("Celkem:",#REF!,6,0)/1000)</f>
        <v>0</v>
      </c>
      <c r="F11" s="18">
        <f>B11</f>
        <v>0</v>
      </c>
      <c r="G11" s="67">
        <f>E11-F11</f>
        <v>0</v>
      </c>
      <c r="H11" s="73" t="str">
        <f>IF(F11&lt;0.00000001,"",E11/F11)</f>
        <v/>
      </c>
    </row>
    <row r="12" spans="1:8" ht="14.4" customHeight="1" thickBot="1" x14ac:dyDescent="0.35">
      <c r="A12" s="82" t="str">
        <f>HYPERLINK("#CaseMix!A1","Hospitalizace *")</f>
        <v>Hospitalizace *</v>
      </c>
      <c r="B12" s="11">
        <f>IF(ISERROR(VLOOKUP("Celkem",#REF!,2,0)),0,VLOOKUP("Celkem",#REF!,2,0)*30)</f>
        <v>0</v>
      </c>
      <c r="C12" s="23">
        <f>IF(ISERROR(VLOOKUP("Celkem",#REF!,3,0)),0,VLOOKUP("Celkem",#REF!,3,0)*30)</f>
        <v>0</v>
      </c>
      <c r="D12" s="8"/>
      <c r="E12" s="71">
        <f>IF(ISERROR(VLOOKUP("Celkem",#REF!,4,0)),0,VLOOKUP("Celkem",#REF!,4,0)*30)</f>
        <v>0</v>
      </c>
      <c r="F12" s="22">
        <f>B12</f>
        <v>0</v>
      </c>
      <c r="G12" s="72">
        <f>E12-F12</f>
        <v>0</v>
      </c>
      <c r="H12" s="75" t="str">
        <f>IF(F12&lt;0.00000001,"",E12/F12)</f>
        <v/>
      </c>
    </row>
    <row r="13" spans="1:8" ht="14.4" customHeight="1" thickBot="1" x14ac:dyDescent="0.35">
      <c r="A13" s="4" t="s">
        <v>37</v>
      </c>
      <c r="B13" s="5">
        <f>SUM(B11:B12)</f>
        <v>0</v>
      </c>
      <c r="C13" s="27">
        <f>SUM(C11:C12)</f>
        <v>0</v>
      </c>
      <c r="D13" s="8"/>
      <c r="E13" s="5">
        <f>SUM(E11:E12)</f>
        <v>0</v>
      </c>
      <c r="F13" s="26">
        <f>SUM(F11:F12)</f>
        <v>0</v>
      </c>
      <c r="G13" s="26">
        <f>E13-F13</f>
        <v>0</v>
      </c>
      <c r="H13" s="77" t="str">
        <f>IF(F13&lt;0.00000001,"",E13/F13)</f>
        <v/>
      </c>
    </row>
    <row r="14" spans="1:8" ht="14.4" customHeight="1" thickBot="1" x14ac:dyDescent="0.35">
      <c r="A14" s="12"/>
      <c r="B14" s="12"/>
      <c r="C14" s="59"/>
      <c r="D14" s="8"/>
      <c r="E14" s="12"/>
      <c r="F14" s="13"/>
    </row>
    <row r="15" spans="1:8" ht="14.4" customHeight="1" thickBot="1" x14ac:dyDescent="0.35">
      <c r="A15" s="83" t="str">
        <f>HYPERLINK("#'HI Graf'!A1","Hospodářský index (Výnosy / Náklady) *")</f>
        <v>Hospodářský index (Výnosy / Náklady) *</v>
      </c>
      <c r="B15" s="6">
        <f>IF(B9=0,"",B13/B9)</f>
        <v>0</v>
      </c>
      <c r="C15" s="29">
        <f>IF(C9=0,"",C13/C9)</f>
        <v>0</v>
      </c>
      <c r="D15" s="8"/>
      <c r="E15" s="6">
        <f>IF(E9=0,"",E13/E9)</f>
        <v>0</v>
      </c>
      <c r="F15" s="28">
        <f>IF(F9=0,"",F13/F9)</f>
        <v>0</v>
      </c>
      <c r="G15" s="28">
        <f>IF(ISERROR(F15-E15),"",E15-F15)</f>
        <v>0</v>
      </c>
      <c r="H15" s="78" t="str">
        <f>IF(ISERROR(F15-E15),"",IF(F15&lt;0.00000001,"",E15/F15))</f>
        <v/>
      </c>
    </row>
    <row r="17" spans="1:8" ht="14.4" customHeight="1" x14ac:dyDescent="0.3">
      <c r="A17" s="64" t="s">
        <v>76</v>
      </c>
    </row>
    <row r="18" spans="1:8" ht="14.4" customHeight="1" x14ac:dyDescent="0.3">
      <c r="A18" s="204" t="s">
        <v>116</v>
      </c>
      <c r="B18" s="205"/>
      <c r="C18" s="205"/>
      <c r="D18" s="205"/>
      <c r="E18" s="205"/>
      <c r="F18" s="205"/>
      <c r="G18" s="205"/>
      <c r="H18" s="205"/>
    </row>
    <row r="19" spans="1:8" x14ac:dyDescent="0.3">
      <c r="A19" s="203" t="s">
        <v>115</v>
      </c>
      <c r="B19" s="205"/>
      <c r="C19" s="205"/>
      <c r="D19" s="205"/>
      <c r="E19" s="205"/>
      <c r="F19" s="205"/>
      <c r="G19" s="205"/>
      <c r="H19" s="205"/>
    </row>
    <row r="20" spans="1:8" ht="14.4" customHeight="1" x14ac:dyDescent="0.3">
      <c r="A20" s="65" t="s">
        <v>170</v>
      </c>
    </row>
    <row r="21" spans="1:8" ht="14.4" customHeight="1" x14ac:dyDescent="0.3">
      <c r="A21" s="65" t="s">
        <v>77</v>
      </c>
    </row>
    <row r="22" spans="1:8" ht="14.4" customHeight="1" x14ac:dyDescent="0.3">
      <c r="A22" s="66" t="s">
        <v>78</v>
      </c>
    </row>
    <row r="23" spans="1:8" ht="14.4" customHeight="1" x14ac:dyDescent="0.3">
      <c r="A23" s="66" t="s">
        <v>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80" customWidth="1"/>
    <col min="2" max="11" width="10" style="80" customWidth="1"/>
    <col min="12" max="16384" width="8.88671875" style="80"/>
  </cols>
  <sheetData>
    <row r="1" spans="1:11" s="38" customFormat="1" ht="18.600000000000001" customHeight="1" thickBot="1" x14ac:dyDescent="0.4">
      <c r="A1" s="246" t="s">
        <v>22</v>
      </c>
      <c r="B1" s="246"/>
      <c r="C1" s="246"/>
      <c r="D1" s="246"/>
      <c r="E1" s="246"/>
      <c r="F1" s="246"/>
      <c r="G1" s="246"/>
      <c r="H1" s="249"/>
      <c r="I1" s="249"/>
      <c r="J1" s="249"/>
      <c r="K1" s="249"/>
    </row>
    <row r="2" spans="1:11" s="38" customFormat="1" ht="14.4" customHeight="1" thickBot="1" x14ac:dyDescent="0.35">
      <c r="A2" s="151" t="s">
        <v>180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4.4" customHeight="1" x14ac:dyDescent="0.3">
      <c r="A3" s="44"/>
      <c r="B3" s="247" t="s">
        <v>23</v>
      </c>
      <c r="C3" s="248"/>
      <c r="D3" s="248"/>
      <c r="E3" s="248"/>
      <c r="F3" s="252" t="s">
        <v>24</v>
      </c>
      <c r="G3" s="248"/>
      <c r="H3" s="248"/>
      <c r="I3" s="248"/>
      <c r="J3" s="248"/>
      <c r="K3" s="253"/>
    </row>
    <row r="4" spans="1:11" ht="14.4" customHeight="1" x14ac:dyDescent="0.3">
      <c r="A4" s="45"/>
      <c r="B4" s="250"/>
      <c r="C4" s="251"/>
      <c r="D4" s="251"/>
      <c r="E4" s="251"/>
      <c r="F4" s="254" t="s">
        <v>175</v>
      </c>
      <c r="G4" s="256" t="s">
        <v>25</v>
      </c>
      <c r="H4" s="84" t="s">
        <v>63</v>
      </c>
      <c r="I4" s="254" t="s">
        <v>26</v>
      </c>
      <c r="J4" s="256" t="s">
        <v>177</v>
      </c>
      <c r="K4" s="257" t="s">
        <v>178</v>
      </c>
    </row>
    <row r="5" spans="1:11" ht="42" thickBot="1" x14ac:dyDescent="0.35">
      <c r="A5" s="46"/>
      <c r="B5" s="14" t="s">
        <v>171</v>
      </c>
      <c r="C5" s="15" t="s">
        <v>172</v>
      </c>
      <c r="D5" s="16" t="s">
        <v>173</v>
      </c>
      <c r="E5" s="16" t="s">
        <v>174</v>
      </c>
      <c r="F5" s="255"/>
      <c r="G5" s="255"/>
      <c r="H5" s="15" t="s">
        <v>176</v>
      </c>
      <c r="I5" s="255"/>
      <c r="J5" s="255"/>
      <c r="K5" s="258"/>
    </row>
    <row r="6" spans="1:11" ht="14.4" customHeight="1" thickBot="1" x14ac:dyDescent="0.35">
      <c r="A6" s="310" t="s">
        <v>181</v>
      </c>
      <c r="B6" s="292">
        <v>66017.4270606098</v>
      </c>
      <c r="C6" s="292">
        <v>80043.13768</v>
      </c>
      <c r="D6" s="293">
        <v>14025.7106193902</v>
      </c>
      <c r="E6" s="294">
        <v>1.212454669075</v>
      </c>
      <c r="F6" s="292">
        <v>79079.291804418302</v>
      </c>
      <c r="G6" s="293">
        <v>72489.350820716805</v>
      </c>
      <c r="H6" s="295">
        <v>8506.2736999999906</v>
      </c>
      <c r="I6" s="292">
        <v>74414.297990000006</v>
      </c>
      <c r="J6" s="293">
        <v>1924.9471692832301</v>
      </c>
      <c r="K6" s="296">
        <v>0.94100865463000005</v>
      </c>
    </row>
    <row r="7" spans="1:11" ht="14.4" customHeight="1" thickBot="1" x14ac:dyDescent="0.35">
      <c r="A7" s="311" t="s">
        <v>182</v>
      </c>
      <c r="B7" s="292">
        <v>19371.624276447099</v>
      </c>
      <c r="C7" s="292">
        <v>26954.383259999999</v>
      </c>
      <c r="D7" s="293">
        <v>7582.7589835529398</v>
      </c>
      <c r="E7" s="294">
        <v>1.3914364059169999</v>
      </c>
      <c r="F7" s="292">
        <v>26718.3659080742</v>
      </c>
      <c r="G7" s="293">
        <v>24491.835415734698</v>
      </c>
      <c r="H7" s="295">
        <v>3828.2445699999998</v>
      </c>
      <c r="I7" s="292">
        <v>25150.624090000001</v>
      </c>
      <c r="J7" s="293">
        <v>658.78867426533895</v>
      </c>
      <c r="K7" s="296">
        <v>0.94132343933499996</v>
      </c>
    </row>
    <row r="8" spans="1:11" ht="14.4" customHeight="1" thickBot="1" x14ac:dyDescent="0.35">
      <c r="A8" s="312" t="s">
        <v>183</v>
      </c>
      <c r="B8" s="292">
        <v>17208.902739548099</v>
      </c>
      <c r="C8" s="292">
        <v>25004.394260000001</v>
      </c>
      <c r="D8" s="293">
        <v>7795.4915204518902</v>
      </c>
      <c r="E8" s="294">
        <v>1.452991782127</v>
      </c>
      <c r="F8" s="292">
        <v>24559.142610824099</v>
      </c>
      <c r="G8" s="293">
        <v>22512.547393255401</v>
      </c>
      <c r="H8" s="295">
        <v>3623.8315699999998</v>
      </c>
      <c r="I8" s="292">
        <v>23113.794089999999</v>
      </c>
      <c r="J8" s="293">
        <v>601.24669674459096</v>
      </c>
      <c r="K8" s="296">
        <v>0.94114825001299995</v>
      </c>
    </row>
    <row r="9" spans="1:11" ht="14.4" customHeight="1" thickBot="1" x14ac:dyDescent="0.35">
      <c r="A9" s="313" t="s">
        <v>184</v>
      </c>
      <c r="B9" s="297">
        <v>0</v>
      </c>
      <c r="C9" s="297">
        <v>1.0410000000000001E-2</v>
      </c>
      <c r="D9" s="298">
        <v>1.0410000000000001E-2</v>
      </c>
      <c r="E9" s="299" t="s">
        <v>185</v>
      </c>
      <c r="F9" s="297">
        <v>0</v>
      </c>
      <c r="G9" s="298">
        <v>0</v>
      </c>
      <c r="H9" s="300">
        <v>1.6100000000000001E-3</v>
      </c>
      <c r="I9" s="297">
        <v>4.0390000000000002E-2</v>
      </c>
      <c r="J9" s="298">
        <v>4.0390000000000002E-2</v>
      </c>
      <c r="K9" s="301" t="s">
        <v>185</v>
      </c>
    </row>
    <row r="10" spans="1:11" ht="14.4" customHeight="1" thickBot="1" x14ac:dyDescent="0.35">
      <c r="A10" s="314" t="s">
        <v>186</v>
      </c>
      <c r="B10" s="292">
        <v>0</v>
      </c>
      <c r="C10" s="292">
        <v>1.0410000000000001E-2</v>
      </c>
      <c r="D10" s="293">
        <v>1.0410000000000001E-2</v>
      </c>
      <c r="E10" s="302" t="s">
        <v>185</v>
      </c>
      <c r="F10" s="292">
        <v>0</v>
      </c>
      <c r="G10" s="293">
        <v>0</v>
      </c>
      <c r="H10" s="295">
        <v>1.6100000000000001E-3</v>
      </c>
      <c r="I10" s="292">
        <v>4.0390000000000002E-2</v>
      </c>
      <c r="J10" s="293">
        <v>4.0390000000000002E-2</v>
      </c>
      <c r="K10" s="303" t="s">
        <v>185</v>
      </c>
    </row>
    <row r="11" spans="1:11" ht="14.4" customHeight="1" thickBot="1" x14ac:dyDescent="0.35">
      <c r="A11" s="313" t="s">
        <v>187</v>
      </c>
      <c r="B11" s="297">
        <v>893.80586841480897</v>
      </c>
      <c r="C11" s="297">
        <v>917.91183000000001</v>
      </c>
      <c r="D11" s="298">
        <v>24.105961585191</v>
      </c>
      <c r="E11" s="304">
        <v>1.0269700193710001</v>
      </c>
      <c r="F11" s="297">
        <v>910.58117658722699</v>
      </c>
      <c r="G11" s="298">
        <v>834.69941187162499</v>
      </c>
      <c r="H11" s="300">
        <v>68.403210000000001</v>
      </c>
      <c r="I11" s="297">
        <v>824.54575</v>
      </c>
      <c r="J11" s="298">
        <v>-10.153661871623999</v>
      </c>
      <c r="K11" s="305">
        <v>0.90551591796599995</v>
      </c>
    </row>
    <row r="12" spans="1:11" ht="14.4" customHeight="1" thickBot="1" x14ac:dyDescent="0.35">
      <c r="A12" s="314" t="s">
        <v>188</v>
      </c>
      <c r="B12" s="292">
        <v>701.87404060374797</v>
      </c>
      <c r="C12" s="292">
        <v>722.58897999999999</v>
      </c>
      <c r="D12" s="293">
        <v>20.714939396251999</v>
      </c>
      <c r="E12" s="294">
        <v>1.029513756312</v>
      </c>
      <c r="F12" s="292">
        <v>699.16601100907803</v>
      </c>
      <c r="G12" s="293">
        <v>640.90217675832196</v>
      </c>
      <c r="H12" s="295">
        <v>56.924570000000003</v>
      </c>
      <c r="I12" s="292">
        <v>641.3854</v>
      </c>
      <c r="J12" s="293">
        <v>0.48322324167800002</v>
      </c>
      <c r="K12" s="296">
        <v>0.91735780901899999</v>
      </c>
    </row>
    <row r="13" spans="1:11" ht="14.4" customHeight="1" thickBot="1" x14ac:dyDescent="0.35">
      <c r="A13" s="314" t="s">
        <v>189</v>
      </c>
      <c r="B13" s="292">
        <v>5.7690940597219997</v>
      </c>
      <c r="C13" s="292">
        <v>0</v>
      </c>
      <c r="D13" s="293">
        <v>-5.7690940597219997</v>
      </c>
      <c r="E13" s="294">
        <v>0</v>
      </c>
      <c r="F13" s="292">
        <v>0</v>
      </c>
      <c r="G13" s="293">
        <v>0</v>
      </c>
      <c r="H13" s="295">
        <v>0</v>
      </c>
      <c r="I13" s="292">
        <v>0</v>
      </c>
      <c r="J13" s="293">
        <v>0</v>
      </c>
      <c r="K13" s="296">
        <v>11</v>
      </c>
    </row>
    <row r="14" spans="1:11" ht="14.4" customHeight="1" thickBot="1" x14ac:dyDescent="0.35">
      <c r="A14" s="314" t="s">
        <v>190</v>
      </c>
      <c r="B14" s="292">
        <v>9.3244085439410007</v>
      </c>
      <c r="C14" s="292">
        <v>8.9146900000000002</v>
      </c>
      <c r="D14" s="293">
        <v>-0.40971854394099999</v>
      </c>
      <c r="E14" s="294">
        <v>0.95605956752999999</v>
      </c>
      <c r="F14" s="292">
        <v>17.999999433043001</v>
      </c>
      <c r="G14" s="293">
        <v>16.499999480290001</v>
      </c>
      <c r="H14" s="295">
        <v>0</v>
      </c>
      <c r="I14" s="292">
        <v>14.437060000000001</v>
      </c>
      <c r="J14" s="293">
        <v>-2.0629394802890002</v>
      </c>
      <c r="K14" s="296">
        <v>0.80205891415099995</v>
      </c>
    </row>
    <row r="15" spans="1:11" ht="14.4" customHeight="1" thickBot="1" x14ac:dyDescent="0.35">
      <c r="A15" s="314" t="s">
        <v>191</v>
      </c>
      <c r="B15" s="292">
        <v>176.83832520739799</v>
      </c>
      <c r="C15" s="292">
        <v>186.40816000000001</v>
      </c>
      <c r="D15" s="293">
        <v>9.5698347926020002</v>
      </c>
      <c r="E15" s="294">
        <v>1.0541162939719999</v>
      </c>
      <c r="F15" s="292">
        <v>193.41516614510499</v>
      </c>
      <c r="G15" s="293">
        <v>177.297235633013</v>
      </c>
      <c r="H15" s="295">
        <v>11.47864</v>
      </c>
      <c r="I15" s="292">
        <v>168.72328999999999</v>
      </c>
      <c r="J15" s="293">
        <v>-8.5739456330130004</v>
      </c>
      <c r="K15" s="296">
        <v>0.87233743538700004</v>
      </c>
    </row>
    <row r="16" spans="1:11" ht="14.4" customHeight="1" thickBot="1" x14ac:dyDescent="0.35">
      <c r="A16" s="313" t="s">
        <v>192</v>
      </c>
      <c r="B16" s="297">
        <v>9007.6525947934806</v>
      </c>
      <c r="C16" s="297">
        <v>16381.45012</v>
      </c>
      <c r="D16" s="298">
        <v>7373.7975252065298</v>
      </c>
      <c r="E16" s="304">
        <v>1.8186147775570001</v>
      </c>
      <c r="F16" s="297">
        <v>13217.9470865044</v>
      </c>
      <c r="G16" s="298">
        <v>12116.451495962399</v>
      </c>
      <c r="H16" s="300">
        <v>2892.4703300000001</v>
      </c>
      <c r="I16" s="297">
        <v>14859.48432</v>
      </c>
      <c r="J16" s="298">
        <v>2743.0328240376102</v>
      </c>
      <c r="K16" s="305">
        <v>1.124190029113</v>
      </c>
    </row>
    <row r="17" spans="1:11" ht="14.4" customHeight="1" thickBot="1" x14ac:dyDescent="0.35">
      <c r="A17" s="314" t="s">
        <v>193</v>
      </c>
      <c r="B17" s="292">
        <v>6.9999962309220001</v>
      </c>
      <c r="C17" s="292">
        <v>2.31549</v>
      </c>
      <c r="D17" s="293">
        <v>-4.6845062309219996</v>
      </c>
      <c r="E17" s="294">
        <v>0.33078446382100002</v>
      </c>
      <c r="F17" s="292">
        <v>6.9999997795160001</v>
      </c>
      <c r="G17" s="293">
        <v>6.4166664645570002</v>
      </c>
      <c r="H17" s="295">
        <v>0</v>
      </c>
      <c r="I17" s="292">
        <v>0.68969000000000003</v>
      </c>
      <c r="J17" s="293">
        <v>-5.7269764645569996</v>
      </c>
      <c r="K17" s="296">
        <v>9.8527145960000007E-2</v>
      </c>
    </row>
    <row r="18" spans="1:11" ht="14.4" customHeight="1" thickBot="1" x14ac:dyDescent="0.35">
      <c r="A18" s="314" t="s">
        <v>194</v>
      </c>
      <c r="B18" s="292">
        <v>1554.0505426673999</v>
      </c>
      <c r="C18" s="292">
        <v>1587.8419799999999</v>
      </c>
      <c r="D18" s="293">
        <v>33.791437332602001</v>
      </c>
      <c r="E18" s="294">
        <v>1.0217441044569999</v>
      </c>
      <c r="F18" s="292">
        <v>5489.9998270782999</v>
      </c>
      <c r="G18" s="293">
        <v>5032.4998414884403</v>
      </c>
      <c r="H18" s="295">
        <v>356.80079000000001</v>
      </c>
      <c r="I18" s="292">
        <v>3217.3381399999998</v>
      </c>
      <c r="J18" s="293">
        <v>-1815.16170148844</v>
      </c>
      <c r="K18" s="296">
        <v>0.586036109533</v>
      </c>
    </row>
    <row r="19" spans="1:11" ht="14.4" customHeight="1" thickBot="1" x14ac:dyDescent="0.35">
      <c r="A19" s="314" t="s">
        <v>195</v>
      </c>
      <c r="B19" s="292">
        <v>1813.3389939127301</v>
      </c>
      <c r="C19" s="292">
        <v>1767.4005500000001</v>
      </c>
      <c r="D19" s="293">
        <v>-45.938443912727003</v>
      </c>
      <c r="E19" s="294">
        <v>0.97466637839500003</v>
      </c>
      <c r="F19" s="292">
        <v>1867.9999411625299</v>
      </c>
      <c r="G19" s="293">
        <v>1712.33327939898</v>
      </c>
      <c r="H19" s="295">
        <v>205.76745</v>
      </c>
      <c r="I19" s="292">
        <v>1954.36257</v>
      </c>
      <c r="J19" s="293">
        <v>242.02929060101599</v>
      </c>
      <c r="K19" s="296">
        <v>1.0462326721399999</v>
      </c>
    </row>
    <row r="20" spans="1:11" ht="14.4" customHeight="1" thickBot="1" x14ac:dyDescent="0.35">
      <c r="A20" s="314" t="s">
        <v>196</v>
      </c>
      <c r="B20" s="292">
        <v>0</v>
      </c>
      <c r="C20" s="292">
        <v>9484.8130700000002</v>
      </c>
      <c r="D20" s="293">
        <v>9484.8130700000002</v>
      </c>
      <c r="E20" s="302" t="s">
        <v>185</v>
      </c>
      <c r="F20" s="292">
        <v>0</v>
      </c>
      <c r="G20" s="293">
        <v>0</v>
      </c>
      <c r="H20" s="295">
        <v>1751.62426</v>
      </c>
      <c r="I20" s="292">
        <v>4645.3335999999999</v>
      </c>
      <c r="J20" s="293">
        <v>4645.3335999999999</v>
      </c>
      <c r="K20" s="303" t="s">
        <v>185</v>
      </c>
    </row>
    <row r="21" spans="1:11" ht="14.4" customHeight="1" thickBot="1" x14ac:dyDescent="0.35">
      <c r="A21" s="314" t="s">
        <v>197</v>
      </c>
      <c r="B21" s="292">
        <v>84.333785536326005</v>
      </c>
      <c r="C21" s="292">
        <v>35.134999999999998</v>
      </c>
      <c r="D21" s="293">
        <v>-49.198785536326</v>
      </c>
      <c r="E21" s="294">
        <v>0.41661831941400002</v>
      </c>
      <c r="F21" s="292">
        <v>85.999997291208004</v>
      </c>
      <c r="G21" s="293">
        <v>78.833330850273995</v>
      </c>
      <c r="H21" s="295">
        <v>20.675879999999999</v>
      </c>
      <c r="I21" s="292">
        <v>61.807949999999998</v>
      </c>
      <c r="J21" s="293">
        <v>-17.025380850274001</v>
      </c>
      <c r="K21" s="296">
        <v>0.71869711566000005</v>
      </c>
    </row>
    <row r="22" spans="1:11" ht="14.4" customHeight="1" thickBot="1" x14ac:dyDescent="0.35">
      <c r="A22" s="314" t="s">
        <v>198</v>
      </c>
      <c r="B22" s="292">
        <v>3878.9310539766302</v>
      </c>
      <c r="C22" s="292">
        <v>2088.1703499999999</v>
      </c>
      <c r="D22" s="293">
        <v>-1790.7607039766301</v>
      </c>
      <c r="E22" s="294">
        <v>0.53833654709000001</v>
      </c>
      <c r="F22" s="292">
        <v>4128.9639742144</v>
      </c>
      <c r="G22" s="293">
        <v>3784.8836430298702</v>
      </c>
      <c r="H22" s="295">
        <v>419.28318999999999</v>
      </c>
      <c r="I22" s="292">
        <v>3572.1170000000002</v>
      </c>
      <c r="J22" s="293">
        <v>-212.76664302986799</v>
      </c>
      <c r="K22" s="296">
        <v>0.86513639312599999</v>
      </c>
    </row>
    <row r="23" spans="1:11" ht="14.4" customHeight="1" thickBot="1" x14ac:dyDescent="0.35">
      <c r="A23" s="314" t="s">
        <v>199</v>
      </c>
      <c r="B23" s="292">
        <v>116.274729574595</v>
      </c>
      <c r="C23" s="292">
        <v>67.950029999999998</v>
      </c>
      <c r="D23" s="293">
        <v>-48.324699574595002</v>
      </c>
      <c r="E23" s="294">
        <v>0.58439207081800004</v>
      </c>
      <c r="F23" s="292">
        <v>112.999996440774</v>
      </c>
      <c r="G23" s="293">
        <v>103.583330070709</v>
      </c>
      <c r="H23" s="295">
        <v>8.3961000000000006</v>
      </c>
      <c r="I23" s="292">
        <v>75.484800000000007</v>
      </c>
      <c r="J23" s="293">
        <v>-28.098530070709</v>
      </c>
      <c r="K23" s="296">
        <v>0.668007100686</v>
      </c>
    </row>
    <row r="24" spans="1:11" ht="14.4" customHeight="1" thickBot="1" x14ac:dyDescent="0.35">
      <c r="A24" s="314" t="s">
        <v>200</v>
      </c>
      <c r="B24" s="292">
        <v>48.363950604727002</v>
      </c>
      <c r="C24" s="292">
        <v>0</v>
      </c>
      <c r="D24" s="293">
        <v>-48.363950604727002</v>
      </c>
      <c r="E24" s="294">
        <v>0</v>
      </c>
      <c r="F24" s="292">
        <v>42.999998645604002</v>
      </c>
      <c r="G24" s="293">
        <v>39.416665425136998</v>
      </c>
      <c r="H24" s="295">
        <v>0</v>
      </c>
      <c r="I24" s="292">
        <v>22.653739999999999</v>
      </c>
      <c r="J24" s="293">
        <v>-16.762925425136999</v>
      </c>
      <c r="K24" s="296">
        <v>0.52683117938400004</v>
      </c>
    </row>
    <row r="25" spans="1:11" ht="14.4" customHeight="1" thickBot="1" x14ac:dyDescent="0.35">
      <c r="A25" s="314" t="s">
        <v>201</v>
      </c>
      <c r="B25" s="292">
        <v>871.15781423100702</v>
      </c>
      <c r="C25" s="292">
        <v>817.71064999999999</v>
      </c>
      <c r="D25" s="293">
        <v>-53.447164231005999</v>
      </c>
      <c r="E25" s="294">
        <v>0.93864812625399996</v>
      </c>
      <c r="F25" s="292">
        <v>806.99997458145594</v>
      </c>
      <c r="G25" s="293">
        <v>739.74997669966797</v>
      </c>
      <c r="H25" s="295">
        <v>115.31601999999999</v>
      </c>
      <c r="I25" s="292">
        <v>609.45159999999998</v>
      </c>
      <c r="J25" s="293">
        <v>-130.29837669966801</v>
      </c>
      <c r="K25" s="296">
        <v>0.75520646740499997</v>
      </c>
    </row>
    <row r="26" spans="1:11" ht="14.4" customHeight="1" thickBot="1" x14ac:dyDescent="0.35">
      <c r="A26" s="314" t="s">
        <v>202</v>
      </c>
      <c r="B26" s="292">
        <v>19.181909865024998</v>
      </c>
      <c r="C26" s="292">
        <v>9.1790599999999998</v>
      </c>
      <c r="D26" s="293">
        <v>-10.002849865025</v>
      </c>
      <c r="E26" s="294">
        <v>0.47852690710000001</v>
      </c>
      <c r="F26" s="292">
        <v>6.9999997795160001</v>
      </c>
      <c r="G26" s="293">
        <v>6.4166664645570002</v>
      </c>
      <c r="H26" s="295">
        <v>0</v>
      </c>
      <c r="I26" s="292">
        <v>3.4605999999999999</v>
      </c>
      <c r="J26" s="293">
        <v>-2.9560664645569998</v>
      </c>
      <c r="K26" s="296">
        <v>0.49437144414200002</v>
      </c>
    </row>
    <row r="27" spans="1:11" ht="14.4" customHeight="1" thickBot="1" x14ac:dyDescent="0.35">
      <c r="A27" s="314" t="s">
        <v>203</v>
      </c>
      <c r="B27" s="292">
        <v>0</v>
      </c>
      <c r="C27" s="292">
        <v>0</v>
      </c>
      <c r="D27" s="293">
        <v>0</v>
      </c>
      <c r="E27" s="294">
        <v>1</v>
      </c>
      <c r="F27" s="292">
        <v>0</v>
      </c>
      <c r="G27" s="293">
        <v>0</v>
      </c>
      <c r="H27" s="295">
        <v>14.606640000000001</v>
      </c>
      <c r="I27" s="292">
        <v>168.98551</v>
      </c>
      <c r="J27" s="293">
        <v>168.98551</v>
      </c>
      <c r="K27" s="303" t="s">
        <v>204</v>
      </c>
    </row>
    <row r="28" spans="1:11" ht="14.4" customHeight="1" thickBot="1" x14ac:dyDescent="0.35">
      <c r="A28" s="314" t="s">
        <v>205</v>
      </c>
      <c r="B28" s="292">
        <v>615.01981819411401</v>
      </c>
      <c r="C28" s="292">
        <v>520.93394000000001</v>
      </c>
      <c r="D28" s="293">
        <v>-94.085878194114002</v>
      </c>
      <c r="E28" s="294">
        <v>0.84701976194700002</v>
      </c>
      <c r="F28" s="292">
        <v>667.98337753112605</v>
      </c>
      <c r="G28" s="293">
        <v>612.31809607019898</v>
      </c>
      <c r="H28" s="295">
        <v>0</v>
      </c>
      <c r="I28" s="292">
        <v>527.79912000000002</v>
      </c>
      <c r="J28" s="293">
        <v>-84.518976070199002</v>
      </c>
      <c r="K28" s="296">
        <v>0.79013810485900005</v>
      </c>
    </row>
    <row r="29" spans="1:11" ht="14.4" customHeight="1" thickBot="1" x14ac:dyDescent="0.35">
      <c r="A29" s="313" t="s">
        <v>206</v>
      </c>
      <c r="B29" s="297">
        <v>887.71794264222001</v>
      </c>
      <c r="C29" s="297">
        <v>1142.1699900000001</v>
      </c>
      <c r="D29" s="298">
        <v>254.45204735778</v>
      </c>
      <c r="E29" s="304">
        <v>1.286636143233</v>
      </c>
      <c r="F29" s="297">
        <v>913.20480823070295</v>
      </c>
      <c r="G29" s="298">
        <v>837.10440754481101</v>
      </c>
      <c r="H29" s="300">
        <v>53.51623</v>
      </c>
      <c r="I29" s="297">
        <v>609.85909000000004</v>
      </c>
      <c r="J29" s="298">
        <v>-227.245317544811</v>
      </c>
      <c r="K29" s="305">
        <v>0.667822907307</v>
      </c>
    </row>
    <row r="30" spans="1:11" ht="14.4" customHeight="1" thickBot="1" x14ac:dyDescent="0.35">
      <c r="A30" s="314" t="s">
        <v>207</v>
      </c>
      <c r="B30" s="292">
        <v>31.873523025276</v>
      </c>
      <c r="C30" s="292">
        <v>271.86824000000001</v>
      </c>
      <c r="D30" s="293">
        <v>239.99471697472401</v>
      </c>
      <c r="E30" s="294">
        <v>8.5295949175239993</v>
      </c>
      <c r="F30" s="292">
        <v>55.379911036385003</v>
      </c>
      <c r="G30" s="293">
        <v>50.764918450019003</v>
      </c>
      <c r="H30" s="295">
        <v>0</v>
      </c>
      <c r="I30" s="292">
        <v>7.26</v>
      </c>
      <c r="J30" s="293">
        <v>-43.504918450018998</v>
      </c>
      <c r="K30" s="296">
        <v>0.13109446844700001</v>
      </c>
    </row>
    <row r="31" spans="1:11" ht="14.4" customHeight="1" thickBot="1" x14ac:dyDescent="0.35">
      <c r="A31" s="314" t="s">
        <v>208</v>
      </c>
      <c r="B31" s="292">
        <v>29.356866146007</v>
      </c>
      <c r="C31" s="292">
        <v>18.851870000000002</v>
      </c>
      <c r="D31" s="293">
        <v>-10.504996146007</v>
      </c>
      <c r="E31" s="294">
        <v>0.64216220853499995</v>
      </c>
      <c r="F31" s="292">
        <v>17.999999433043001</v>
      </c>
      <c r="G31" s="293">
        <v>16.499999480290001</v>
      </c>
      <c r="H31" s="295">
        <v>1.2639800000000001</v>
      </c>
      <c r="I31" s="292">
        <v>16.352250000000002</v>
      </c>
      <c r="J31" s="293">
        <v>-0.14774948028900001</v>
      </c>
      <c r="K31" s="296">
        <v>0.90845836194700003</v>
      </c>
    </row>
    <row r="32" spans="1:11" ht="14.4" customHeight="1" thickBot="1" x14ac:dyDescent="0.35">
      <c r="A32" s="314" t="s">
        <v>209</v>
      </c>
      <c r="B32" s="292">
        <v>553.33816927278895</v>
      </c>
      <c r="C32" s="292">
        <v>612.52819999999997</v>
      </c>
      <c r="D32" s="293">
        <v>59.190030727210001</v>
      </c>
      <c r="E32" s="294">
        <v>1.1069690001770001</v>
      </c>
      <c r="F32" s="292">
        <v>599.74349091999397</v>
      </c>
      <c r="G32" s="293">
        <v>549.764866676662</v>
      </c>
      <c r="H32" s="295">
        <v>33.763109999999998</v>
      </c>
      <c r="I32" s="292">
        <v>421.44722000000002</v>
      </c>
      <c r="J32" s="293">
        <v>-128.31764667666101</v>
      </c>
      <c r="K32" s="296">
        <v>0.70271245354099998</v>
      </c>
    </row>
    <row r="33" spans="1:11" ht="14.4" customHeight="1" thickBot="1" x14ac:dyDescent="0.35">
      <c r="A33" s="314" t="s">
        <v>210</v>
      </c>
      <c r="B33" s="292">
        <v>52.182489374105998</v>
      </c>
      <c r="C33" s="292">
        <v>29.19229</v>
      </c>
      <c r="D33" s="293">
        <v>-22.990199374105998</v>
      </c>
      <c r="E33" s="294">
        <v>0.55942693325100001</v>
      </c>
      <c r="F33" s="292">
        <v>52.999998330628003</v>
      </c>
      <c r="G33" s="293">
        <v>48.583331803076</v>
      </c>
      <c r="H33" s="295">
        <v>2.0995599999999999</v>
      </c>
      <c r="I33" s="292">
        <v>21.41929</v>
      </c>
      <c r="J33" s="293">
        <v>-27.164041803076</v>
      </c>
      <c r="K33" s="296">
        <v>0.40413755989900002</v>
      </c>
    </row>
    <row r="34" spans="1:11" ht="14.4" customHeight="1" thickBot="1" x14ac:dyDescent="0.35">
      <c r="A34" s="314" t="s">
        <v>211</v>
      </c>
      <c r="B34" s="292">
        <v>15.99870358225</v>
      </c>
      <c r="C34" s="292">
        <v>11.55463</v>
      </c>
      <c r="D34" s="293">
        <v>-4.4440735822499997</v>
      </c>
      <c r="E34" s="294">
        <v>0.72222289391100003</v>
      </c>
      <c r="F34" s="292">
        <v>17.999999433043001</v>
      </c>
      <c r="G34" s="293">
        <v>16.499999480290001</v>
      </c>
      <c r="H34" s="295">
        <v>7.5999999999000006E-2</v>
      </c>
      <c r="I34" s="292">
        <v>7.6283099999999999</v>
      </c>
      <c r="J34" s="293">
        <v>-8.8716894802899997</v>
      </c>
      <c r="K34" s="296">
        <v>0.42379501334800002</v>
      </c>
    </row>
    <row r="35" spans="1:11" ht="14.4" customHeight="1" thickBot="1" x14ac:dyDescent="0.35">
      <c r="A35" s="314" t="s">
        <v>212</v>
      </c>
      <c r="B35" s="292">
        <v>0.60492263762700005</v>
      </c>
      <c r="C35" s="292">
        <v>0.35814000000000001</v>
      </c>
      <c r="D35" s="293">
        <v>-0.24678263762700001</v>
      </c>
      <c r="E35" s="294">
        <v>0.59204264764199999</v>
      </c>
      <c r="F35" s="292">
        <v>0.40012069170499998</v>
      </c>
      <c r="G35" s="293">
        <v>0.366777300729</v>
      </c>
      <c r="H35" s="295">
        <v>0.35799999999999998</v>
      </c>
      <c r="I35" s="292">
        <v>1.38</v>
      </c>
      <c r="J35" s="293">
        <v>1.01322269927</v>
      </c>
      <c r="K35" s="296">
        <v>3.448959348037</v>
      </c>
    </row>
    <row r="36" spans="1:11" ht="14.4" customHeight="1" thickBot="1" x14ac:dyDescent="0.35">
      <c r="A36" s="314" t="s">
        <v>213</v>
      </c>
      <c r="B36" s="292">
        <v>7.6523031549159999</v>
      </c>
      <c r="C36" s="292">
        <v>10.108560000000001</v>
      </c>
      <c r="D36" s="293">
        <v>2.4562568450829998</v>
      </c>
      <c r="E36" s="294">
        <v>1.320982689179</v>
      </c>
      <c r="F36" s="292">
        <v>9.1075746631219996</v>
      </c>
      <c r="G36" s="293">
        <v>8.3486101078619992</v>
      </c>
      <c r="H36" s="295">
        <v>1.2977300000000001</v>
      </c>
      <c r="I36" s="292">
        <v>5.8896899999999999</v>
      </c>
      <c r="J36" s="293">
        <v>-2.4589201078620002</v>
      </c>
      <c r="K36" s="296">
        <v>0.64668039712500003</v>
      </c>
    </row>
    <row r="37" spans="1:11" ht="14.4" customHeight="1" thickBot="1" x14ac:dyDescent="0.35">
      <c r="A37" s="314" t="s">
        <v>214</v>
      </c>
      <c r="B37" s="292">
        <v>57.716122126656003</v>
      </c>
      <c r="C37" s="292">
        <v>55.857100000000003</v>
      </c>
      <c r="D37" s="293">
        <v>-1.8590221266560001</v>
      </c>
      <c r="E37" s="294">
        <v>0.96779024546000003</v>
      </c>
      <c r="F37" s="292">
        <v>70.999997763671999</v>
      </c>
      <c r="G37" s="293">
        <v>65.083331283365993</v>
      </c>
      <c r="H37" s="295">
        <v>5.11104</v>
      </c>
      <c r="I37" s="292">
        <v>50.372219999999999</v>
      </c>
      <c r="J37" s="293">
        <v>-14.711111283366</v>
      </c>
      <c r="K37" s="296">
        <v>0.70946790966999995</v>
      </c>
    </row>
    <row r="38" spans="1:11" ht="14.4" customHeight="1" thickBot="1" x14ac:dyDescent="0.35">
      <c r="A38" s="314" t="s">
        <v>215</v>
      </c>
      <c r="B38" s="292">
        <v>17.00520054251</v>
      </c>
      <c r="C38" s="292">
        <v>13.33799</v>
      </c>
      <c r="D38" s="293">
        <v>-3.6672105425099999</v>
      </c>
      <c r="E38" s="294">
        <v>0.78434770390700004</v>
      </c>
      <c r="F38" s="292">
        <v>13.573718321425</v>
      </c>
      <c r="G38" s="293">
        <v>12.442575127973001</v>
      </c>
      <c r="H38" s="295">
        <v>1.45563</v>
      </c>
      <c r="I38" s="292">
        <v>8.5037299999999991</v>
      </c>
      <c r="J38" s="293">
        <v>-3.9388451279729999</v>
      </c>
      <c r="K38" s="296">
        <v>0.62648493203</v>
      </c>
    </row>
    <row r="39" spans="1:11" ht="14.4" customHeight="1" thickBot="1" x14ac:dyDescent="0.35">
      <c r="A39" s="314" t="s">
        <v>216</v>
      </c>
      <c r="B39" s="292">
        <v>121.989642780079</v>
      </c>
      <c r="C39" s="292">
        <v>118.51297</v>
      </c>
      <c r="D39" s="293">
        <v>-3.4766727800780002</v>
      </c>
      <c r="E39" s="294">
        <v>0.97150026263800005</v>
      </c>
      <c r="F39" s="292">
        <v>74.999997637681005</v>
      </c>
      <c r="G39" s="293">
        <v>68.749997834541006</v>
      </c>
      <c r="H39" s="295">
        <v>5.7316799999999999</v>
      </c>
      <c r="I39" s="292">
        <v>67.246880000000004</v>
      </c>
      <c r="J39" s="293">
        <v>-1.5031178345409999</v>
      </c>
      <c r="K39" s="296">
        <v>0.89662509490800002</v>
      </c>
    </row>
    <row r="40" spans="1:11" ht="14.4" customHeight="1" thickBot="1" x14ac:dyDescent="0.35">
      <c r="A40" s="314" t="s">
        <v>217</v>
      </c>
      <c r="B40" s="292">
        <v>0</v>
      </c>
      <c r="C40" s="292">
        <v>0</v>
      </c>
      <c r="D40" s="293">
        <v>0</v>
      </c>
      <c r="E40" s="294">
        <v>1</v>
      </c>
      <c r="F40" s="292">
        <v>0</v>
      </c>
      <c r="G40" s="293">
        <v>0</v>
      </c>
      <c r="H40" s="295">
        <v>2.3595000000000002</v>
      </c>
      <c r="I40" s="292">
        <v>2.3595000000000002</v>
      </c>
      <c r="J40" s="293">
        <v>2.3595000000000002</v>
      </c>
      <c r="K40" s="303" t="s">
        <v>204</v>
      </c>
    </row>
    <row r="41" spans="1:11" ht="14.4" customHeight="1" thickBot="1" x14ac:dyDescent="0.35">
      <c r="A41" s="313" t="s">
        <v>218</v>
      </c>
      <c r="B41" s="297">
        <v>204.45842956420501</v>
      </c>
      <c r="C41" s="297">
        <v>342.92277000000001</v>
      </c>
      <c r="D41" s="298">
        <v>138.46434043579501</v>
      </c>
      <c r="E41" s="304">
        <v>1.677224904499</v>
      </c>
      <c r="F41" s="297">
        <v>580.40982099556504</v>
      </c>
      <c r="G41" s="298">
        <v>532.04233591260197</v>
      </c>
      <c r="H41" s="300">
        <v>2.5005000000000002</v>
      </c>
      <c r="I41" s="297">
        <v>406.52408000000003</v>
      </c>
      <c r="J41" s="298">
        <v>-125.51825591260101</v>
      </c>
      <c r="K41" s="305">
        <v>0.70040868588799998</v>
      </c>
    </row>
    <row r="42" spans="1:11" ht="14.4" customHeight="1" thickBot="1" x14ac:dyDescent="0.35">
      <c r="A42" s="314" t="s">
        <v>219</v>
      </c>
      <c r="B42" s="292">
        <v>58.563843418080999</v>
      </c>
      <c r="C42" s="292">
        <v>4.8445499999999999</v>
      </c>
      <c r="D42" s="293">
        <v>-53.719293418081001</v>
      </c>
      <c r="E42" s="294">
        <v>8.2722542053999995E-2</v>
      </c>
      <c r="F42" s="292">
        <v>4.2899751325729998</v>
      </c>
      <c r="G42" s="293">
        <v>3.9324772048579999</v>
      </c>
      <c r="H42" s="295">
        <v>1.5780000000000001</v>
      </c>
      <c r="I42" s="292">
        <v>54.808</v>
      </c>
      <c r="J42" s="293">
        <v>50.875522795141002</v>
      </c>
      <c r="K42" s="296">
        <v>12.775831632179999</v>
      </c>
    </row>
    <row r="43" spans="1:11" ht="14.4" customHeight="1" thickBot="1" x14ac:dyDescent="0.35">
      <c r="A43" s="314" t="s">
        <v>220</v>
      </c>
      <c r="B43" s="292">
        <v>139.89346715803401</v>
      </c>
      <c r="C43" s="292">
        <v>333.15498000000002</v>
      </c>
      <c r="D43" s="293">
        <v>193.26151284196601</v>
      </c>
      <c r="E43" s="294">
        <v>2.3814906211709999</v>
      </c>
      <c r="F43" s="292">
        <v>567.11984614646997</v>
      </c>
      <c r="G43" s="293">
        <v>519.85985896759803</v>
      </c>
      <c r="H43" s="295">
        <v>0.86299999999900001</v>
      </c>
      <c r="I43" s="292">
        <v>334.5976</v>
      </c>
      <c r="J43" s="293">
        <v>-185.262258967598</v>
      </c>
      <c r="K43" s="296">
        <v>0.58999451751400001</v>
      </c>
    </row>
    <row r="44" spans="1:11" ht="14.4" customHeight="1" thickBot="1" x14ac:dyDescent="0.35">
      <c r="A44" s="314" t="s">
        <v>221</v>
      </c>
      <c r="B44" s="292">
        <v>6.0011189880889999</v>
      </c>
      <c r="C44" s="292">
        <v>4.9232399999999998</v>
      </c>
      <c r="D44" s="293">
        <v>-1.0778789880890001</v>
      </c>
      <c r="E44" s="294">
        <v>0.82038699945299998</v>
      </c>
      <c r="F44" s="292">
        <v>8.9999997165209997</v>
      </c>
      <c r="G44" s="293">
        <v>8.2499997401450003</v>
      </c>
      <c r="H44" s="295">
        <v>5.9499999999999997E-2</v>
      </c>
      <c r="I44" s="292">
        <v>17.118480000000002</v>
      </c>
      <c r="J44" s="293">
        <v>8.8684802598539996</v>
      </c>
      <c r="K44" s="296">
        <v>1.9020533932429999</v>
      </c>
    </row>
    <row r="45" spans="1:11" ht="14.4" customHeight="1" thickBot="1" x14ac:dyDescent="0.35">
      <c r="A45" s="313" t="s">
        <v>222</v>
      </c>
      <c r="B45" s="297">
        <v>6215.2679041334004</v>
      </c>
      <c r="C45" s="297">
        <v>6219.9291400000002</v>
      </c>
      <c r="D45" s="298">
        <v>4.6612358666029996</v>
      </c>
      <c r="E45" s="304">
        <v>1.000749965397</v>
      </c>
      <c r="F45" s="297">
        <v>8936.9997185061602</v>
      </c>
      <c r="G45" s="298">
        <v>8192.2497419639803</v>
      </c>
      <c r="H45" s="300">
        <v>606.93969000000004</v>
      </c>
      <c r="I45" s="297">
        <v>6413.3404600000003</v>
      </c>
      <c r="J45" s="298">
        <v>-1778.90928196398</v>
      </c>
      <c r="K45" s="305">
        <v>0.71761672395700005</v>
      </c>
    </row>
    <row r="46" spans="1:11" ht="14.4" customHeight="1" thickBot="1" x14ac:dyDescent="0.35">
      <c r="A46" s="314" t="s">
        <v>223</v>
      </c>
      <c r="B46" s="292">
        <v>29.371100406562999</v>
      </c>
      <c r="C46" s="292">
        <v>48.095219999999998</v>
      </c>
      <c r="D46" s="293">
        <v>18.724119593436001</v>
      </c>
      <c r="E46" s="294">
        <v>1.637501466892</v>
      </c>
      <c r="F46" s="292">
        <v>52.999998330627001</v>
      </c>
      <c r="G46" s="293">
        <v>48.583331803074998</v>
      </c>
      <c r="H46" s="295">
        <v>9.0771999999999995</v>
      </c>
      <c r="I46" s="292">
        <v>61.438020000000002</v>
      </c>
      <c r="J46" s="293">
        <v>12.854688196924</v>
      </c>
      <c r="K46" s="296">
        <v>1.1592079610399999</v>
      </c>
    </row>
    <row r="47" spans="1:11" ht="14.4" customHeight="1" thickBot="1" x14ac:dyDescent="0.35">
      <c r="A47" s="314" t="s">
        <v>224</v>
      </c>
      <c r="B47" s="292">
        <v>0</v>
      </c>
      <c r="C47" s="292">
        <v>0</v>
      </c>
      <c r="D47" s="293">
        <v>0</v>
      </c>
      <c r="E47" s="294">
        <v>1</v>
      </c>
      <c r="F47" s="292">
        <v>1.999999937004</v>
      </c>
      <c r="G47" s="293">
        <v>1.833333275587</v>
      </c>
      <c r="H47" s="295">
        <v>0</v>
      </c>
      <c r="I47" s="292">
        <v>0</v>
      </c>
      <c r="J47" s="293">
        <v>-1.833333275587</v>
      </c>
      <c r="K47" s="296">
        <v>0</v>
      </c>
    </row>
    <row r="48" spans="1:11" ht="14.4" customHeight="1" thickBot="1" x14ac:dyDescent="0.35">
      <c r="A48" s="314" t="s">
        <v>225</v>
      </c>
      <c r="B48" s="292">
        <v>0</v>
      </c>
      <c r="C48" s="292">
        <v>1.8093300000000001</v>
      </c>
      <c r="D48" s="293">
        <v>1.8093300000000001</v>
      </c>
      <c r="E48" s="302" t="s">
        <v>185</v>
      </c>
      <c r="F48" s="292">
        <v>1.999999937004</v>
      </c>
      <c r="G48" s="293">
        <v>1.833333275587</v>
      </c>
      <c r="H48" s="295">
        <v>0</v>
      </c>
      <c r="I48" s="292">
        <v>0</v>
      </c>
      <c r="J48" s="293">
        <v>-1.833333275587</v>
      </c>
      <c r="K48" s="296">
        <v>0</v>
      </c>
    </row>
    <row r="49" spans="1:11" ht="14.4" customHeight="1" thickBot="1" x14ac:dyDescent="0.35">
      <c r="A49" s="314" t="s">
        <v>226</v>
      </c>
      <c r="B49" s="292">
        <v>1684.02895441125</v>
      </c>
      <c r="C49" s="292">
        <v>1994.52259</v>
      </c>
      <c r="D49" s="293">
        <v>310.49363558874802</v>
      </c>
      <c r="E49" s="294">
        <v>1.18437547334</v>
      </c>
      <c r="F49" s="292">
        <v>3099.9999023575101</v>
      </c>
      <c r="G49" s="293">
        <v>2841.6665771610501</v>
      </c>
      <c r="H49" s="295">
        <v>181.84349</v>
      </c>
      <c r="I49" s="292">
        <v>2079.9624399999998</v>
      </c>
      <c r="J49" s="293">
        <v>-761.70413716105304</v>
      </c>
      <c r="K49" s="296">
        <v>0.67095564693900001</v>
      </c>
    </row>
    <row r="50" spans="1:11" ht="14.4" customHeight="1" thickBot="1" x14ac:dyDescent="0.35">
      <c r="A50" s="314" t="s">
        <v>227</v>
      </c>
      <c r="B50" s="292">
        <v>4117.9200388859299</v>
      </c>
      <c r="C50" s="292">
        <v>3515.2721900000001</v>
      </c>
      <c r="D50" s="293">
        <v>-602.64784888592806</v>
      </c>
      <c r="E50" s="294">
        <v>0.85365236740899997</v>
      </c>
      <c r="F50" s="292">
        <v>4486.9998586703796</v>
      </c>
      <c r="G50" s="293">
        <v>4113.0832037811797</v>
      </c>
      <c r="H50" s="295">
        <v>322.67549000000002</v>
      </c>
      <c r="I50" s="292">
        <v>3421.2768900000001</v>
      </c>
      <c r="J50" s="293">
        <v>-691.80631378117903</v>
      </c>
      <c r="K50" s="296">
        <v>0.76248651610399998</v>
      </c>
    </row>
    <row r="51" spans="1:11" ht="14.4" customHeight="1" thickBot="1" x14ac:dyDescent="0.35">
      <c r="A51" s="314" t="s">
        <v>228</v>
      </c>
      <c r="B51" s="292">
        <v>383.94781042965298</v>
      </c>
      <c r="C51" s="292">
        <v>660.22981000000004</v>
      </c>
      <c r="D51" s="293">
        <v>276.28199957034798</v>
      </c>
      <c r="E51" s="294">
        <v>1.7195821725380001</v>
      </c>
      <c r="F51" s="292">
        <v>1292.9999592736301</v>
      </c>
      <c r="G51" s="293">
        <v>1185.2499626675001</v>
      </c>
      <c r="H51" s="295">
        <v>93.343509999999</v>
      </c>
      <c r="I51" s="292">
        <v>850.66310999999996</v>
      </c>
      <c r="J51" s="293">
        <v>-334.58685266749802</v>
      </c>
      <c r="K51" s="296">
        <v>0.65789879102299997</v>
      </c>
    </row>
    <row r="52" spans="1:11" ht="14.4" customHeight="1" thickBot="1" x14ac:dyDescent="0.35">
      <c r="A52" s="312" t="s">
        <v>16</v>
      </c>
      <c r="B52" s="292">
        <v>2162.72153689896</v>
      </c>
      <c r="C52" s="292">
        <v>1949.989</v>
      </c>
      <c r="D52" s="293">
        <v>-212.73253689895799</v>
      </c>
      <c r="E52" s="294">
        <v>0.90163664934599996</v>
      </c>
      <c r="F52" s="292">
        <v>2159.2232972500901</v>
      </c>
      <c r="G52" s="293">
        <v>1979.28802247925</v>
      </c>
      <c r="H52" s="295">
        <v>204.41300000000001</v>
      </c>
      <c r="I52" s="292">
        <v>2036.83</v>
      </c>
      <c r="J52" s="293">
        <v>57.541977520751999</v>
      </c>
      <c r="K52" s="296">
        <v>0.94331605378299999</v>
      </c>
    </row>
    <row r="53" spans="1:11" ht="14.4" customHeight="1" thickBot="1" x14ac:dyDescent="0.35">
      <c r="A53" s="313" t="s">
        <v>229</v>
      </c>
      <c r="B53" s="297">
        <v>2162.72153689896</v>
      </c>
      <c r="C53" s="297">
        <v>1949.989</v>
      </c>
      <c r="D53" s="298">
        <v>-212.73253689895799</v>
      </c>
      <c r="E53" s="304">
        <v>0.90163664934599996</v>
      </c>
      <c r="F53" s="297">
        <v>2159.2232972500901</v>
      </c>
      <c r="G53" s="298">
        <v>1979.28802247925</v>
      </c>
      <c r="H53" s="300">
        <v>204.41300000000001</v>
      </c>
      <c r="I53" s="297">
        <v>2036.83</v>
      </c>
      <c r="J53" s="298">
        <v>57.541977520751999</v>
      </c>
      <c r="K53" s="305">
        <v>0.94331605378299999</v>
      </c>
    </row>
    <row r="54" spans="1:11" ht="14.4" customHeight="1" thickBot="1" x14ac:dyDescent="0.35">
      <c r="A54" s="314" t="s">
        <v>230</v>
      </c>
      <c r="B54" s="292">
        <v>609.68701612278403</v>
      </c>
      <c r="C54" s="292">
        <v>512.31899999999996</v>
      </c>
      <c r="D54" s="293">
        <v>-97.368016122783999</v>
      </c>
      <c r="E54" s="294">
        <v>0.84029836039100003</v>
      </c>
      <c r="F54" s="292">
        <v>526.22334868562803</v>
      </c>
      <c r="G54" s="293">
        <v>482.37140296182503</v>
      </c>
      <c r="H54" s="295">
        <v>42.387999999999998</v>
      </c>
      <c r="I54" s="292">
        <v>486.048</v>
      </c>
      <c r="J54" s="293">
        <v>3.6765970381740001</v>
      </c>
      <c r="K54" s="296">
        <v>0.92365342817600005</v>
      </c>
    </row>
    <row r="55" spans="1:11" ht="14.4" customHeight="1" thickBot="1" x14ac:dyDescent="0.35">
      <c r="A55" s="314" t="s">
        <v>231</v>
      </c>
      <c r="B55" s="292">
        <v>900.00609651507102</v>
      </c>
      <c r="C55" s="292">
        <v>831.87300000000005</v>
      </c>
      <c r="D55" s="293">
        <v>-68.133096515069994</v>
      </c>
      <c r="E55" s="294">
        <v>0.92429707223199997</v>
      </c>
      <c r="F55" s="292">
        <v>1005.99996831344</v>
      </c>
      <c r="G55" s="293">
        <v>922.16663762065104</v>
      </c>
      <c r="H55" s="295">
        <v>78.440999999998994</v>
      </c>
      <c r="I55" s="292">
        <v>887.221</v>
      </c>
      <c r="J55" s="293">
        <v>-34.945637620650999</v>
      </c>
      <c r="K55" s="296">
        <v>0.88192945123699995</v>
      </c>
    </row>
    <row r="56" spans="1:11" ht="14.4" customHeight="1" thickBot="1" x14ac:dyDescent="0.35">
      <c r="A56" s="314" t="s">
        <v>232</v>
      </c>
      <c r="B56" s="292">
        <v>653.02842426110396</v>
      </c>
      <c r="C56" s="292">
        <v>605.79700000000003</v>
      </c>
      <c r="D56" s="293">
        <v>-47.231424261103001</v>
      </c>
      <c r="E56" s="294">
        <v>0.92767324896299996</v>
      </c>
      <c r="F56" s="292">
        <v>626.99998025102298</v>
      </c>
      <c r="G56" s="293">
        <v>574.74998189677103</v>
      </c>
      <c r="H56" s="295">
        <v>83.583999999998994</v>
      </c>
      <c r="I56" s="292">
        <v>663.56100000000004</v>
      </c>
      <c r="J56" s="293">
        <v>88.811018103229003</v>
      </c>
      <c r="K56" s="296">
        <v>1.0583110381180001</v>
      </c>
    </row>
    <row r="57" spans="1:11" ht="14.4" customHeight="1" thickBot="1" x14ac:dyDescent="0.35">
      <c r="A57" s="315" t="s">
        <v>233</v>
      </c>
      <c r="B57" s="297">
        <v>5378.7353457003401</v>
      </c>
      <c r="C57" s="297">
        <v>9098.6901799999996</v>
      </c>
      <c r="D57" s="298">
        <v>3719.95483429966</v>
      </c>
      <c r="E57" s="304">
        <v>1.6916039914979999</v>
      </c>
      <c r="F57" s="297">
        <v>9564.9237175257695</v>
      </c>
      <c r="G57" s="298">
        <v>8767.8467410652902</v>
      </c>
      <c r="H57" s="300">
        <v>580.76077999999995</v>
      </c>
      <c r="I57" s="297">
        <v>8659.9541499999996</v>
      </c>
      <c r="J57" s="298">
        <v>-107.89259106528699</v>
      </c>
      <c r="K57" s="305">
        <v>0.90538664036899996</v>
      </c>
    </row>
    <row r="58" spans="1:11" ht="14.4" customHeight="1" thickBot="1" x14ac:dyDescent="0.35">
      <c r="A58" s="312" t="s">
        <v>17</v>
      </c>
      <c r="B58" s="292">
        <v>1310.4887640844299</v>
      </c>
      <c r="C58" s="292">
        <v>1267.2437500000001</v>
      </c>
      <c r="D58" s="293">
        <v>-43.245014084429002</v>
      </c>
      <c r="E58" s="294">
        <v>0.96700085092700006</v>
      </c>
      <c r="F58" s="292">
        <v>956.481866684171</v>
      </c>
      <c r="G58" s="293">
        <v>876.77504446048999</v>
      </c>
      <c r="H58" s="295">
        <v>136.38314</v>
      </c>
      <c r="I58" s="292">
        <v>1086.26901</v>
      </c>
      <c r="J58" s="293">
        <v>209.49396553950999</v>
      </c>
      <c r="K58" s="296">
        <v>1.135692215228</v>
      </c>
    </row>
    <row r="59" spans="1:11" ht="14.4" customHeight="1" thickBot="1" x14ac:dyDescent="0.35">
      <c r="A59" s="316" t="s">
        <v>234</v>
      </c>
      <c r="B59" s="292">
        <v>1310.4887640844299</v>
      </c>
      <c r="C59" s="292">
        <v>1267.2437500000001</v>
      </c>
      <c r="D59" s="293">
        <v>-43.245014084429002</v>
      </c>
      <c r="E59" s="294">
        <v>0.96700085092700006</v>
      </c>
      <c r="F59" s="292">
        <v>956.481866684171</v>
      </c>
      <c r="G59" s="293">
        <v>876.77504446048999</v>
      </c>
      <c r="H59" s="295">
        <v>136.38314</v>
      </c>
      <c r="I59" s="292">
        <v>1086.26901</v>
      </c>
      <c r="J59" s="293">
        <v>209.49396553950999</v>
      </c>
      <c r="K59" s="296">
        <v>1.135692215228</v>
      </c>
    </row>
    <row r="60" spans="1:11" ht="14.4" customHeight="1" thickBot="1" x14ac:dyDescent="0.35">
      <c r="A60" s="314" t="s">
        <v>235</v>
      </c>
      <c r="B60" s="292">
        <v>817.45143495754803</v>
      </c>
      <c r="C60" s="292">
        <v>942.56224999999995</v>
      </c>
      <c r="D60" s="293">
        <v>125.110815042452</v>
      </c>
      <c r="E60" s="294">
        <v>1.153049844543</v>
      </c>
      <c r="F60" s="292">
        <v>610.55367247525498</v>
      </c>
      <c r="G60" s="293">
        <v>559.67419976898395</v>
      </c>
      <c r="H60" s="295">
        <v>102.17431000000001</v>
      </c>
      <c r="I60" s="292">
        <v>810.20114000000001</v>
      </c>
      <c r="J60" s="293">
        <v>250.526940231016</v>
      </c>
      <c r="K60" s="296">
        <v>1.3269941309419999</v>
      </c>
    </row>
    <row r="61" spans="1:11" ht="14.4" customHeight="1" thickBot="1" x14ac:dyDescent="0.35">
      <c r="A61" s="314" t="s">
        <v>236</v>
      </c>
      <c r="B61" s="292">
        <v>276.33555588538798</v>
      </c>
      <c r="C61" s="292">
        <v>127.31041</v>
      </c>
      <c r="D61" s="293">
        <v>-149.02514588538901</v>
      </c>
      <c r="E61" s="294">
        <v>0.46070947906800003</v>
      </c>
      <c r="F61" s="292">
        <v>28.447842463335</v>
      </c>
      <c r="G61" s="293">
        <v>26.077188924723998</v>
      </c>
      <c r="H61" s="295">
        <v>-35.542180000000002</v>
      </c>
      <c r="I61" s="292">
        <v>61.869480000000003</v>
      </c>
      <c r="J61" s="293">
        <v>35.792291075275003</v>
      </c>
      <c r="K61" s="296">
        <v>2.1748390964879998</v>
      </c>
    </row>
    <row r="62" spans="1:11" ht="14.4" customHeight="1" thickBot="1" x14ac:dyDescent="0.35">
      <c r="A62" s="314" t="s">
        <v>237</v>
      </c>
      <c r="B62" s="292">
        <v>81.999861559118003</v>
      </c>
      <c r="C62" s="292">
        <v>132.21358000000001</v>
      </c>
      <c r="D62" s="293">
        <v>50.213718440881003</v>
      </c>
      <c r="E62" s="294">
        <v>1.6123634538660001</v>
      </c>
      <c r="F62" s="292">
        <v>263.99999168464097</v>
      </c>
      <c r="G62" s="293">
        <v>241.99999237758701</v>
      </c>
      <c r="H62" s="295">
        <v>15.89199</v>
      </c>
      <c r="I62" s="292">
        <v>107.04504</v>
      </c>
      <c r="J62" s="293">
        <v>-134.95495237758701</v>
      </c>
      <c r="K62" s="296">
        <v>0.405473649135</v>
      </c>
    </row>
    <row r="63" spans="1:11" ht="14.4" customHeight="1" thickBot="1" x14ac:dyDescent="0.35">
      <c r="A63" s="314" t="s">
        <v>238</v>
      </c>
      <c r="B63" s="292">
        <v>134.701911682375</v>
      </c>
      <c r="C63" s="292">
        <v>65.157510000000002</v>
      </c>
      <c r="D63" s="293">
        <v>-69.544401682374001</v>
      </c>
      <c r="E63" s="294">
        <v>0.48371629761000001</v>
      </c>
      <c r="F63" s="292">
        <v>53.480360060938999</v>
      </c>
      <c r="G63" s="293">
        <v>49.023663389193999</v>
      </c>
      <c r="H63" s="295">
        <v>53.859020000000001</v>
      </c>
      <c r="I63" s="292">
        <v>107.15335</v>
      </c>
      <c r="J63" s="293">
        <v>58.129686610805003</v>
      </c>
      <c r="K63" s="296">
        <v>2.0036018807249998</v>
      </c>
    </row>
    <row r="64" spans="1:11" ht="14.4" customHeight="1" thickBot="1" x14ac:dyDescent="0.35">
      <c r="A64" s="317" t="s">
        <v>18</v>
      </c>
      <c r="B64" s="297">
        <v>0</v>
      </c>
      <c r="C64" s="297">
        <v>21</v>
      </c>
      <c r="D64" s="298">
        <v>21</v>
      </c>
      <c r="E64" s="299" t="s">
        <v>185</v>
      </c>
      <c r="F64" s="297">
        <v>0</v>
      </c>
      <c r="G64" s="298">
        <v>0</v>
      </c>
      <c r="H64" s="300">
        <v>4.8869999999999996</v>
      </c>
      <c r="I64" s="297">
        <v>30.291</v>
      </c>
      <c r="J64" s="298">
        <v>30.291</v>
      </c>
      <c r="K64" s="301" t="s">
        <v>185</v>
      </c>
    </row>
    <row r="65" spans="1:11" ht="14.4" customHeight="1" thickBot="1" x14ac:dyDescent="0.35">
      <c r="A65" s="313" t="s">
        <v>239</v>
      </c>
      <c r="B65" s="297">
        <v>0</v>
      </c>
      <c r="C65" s="297">
        <v>21</v>
      </c>
      <c r="D65" s="298">
        <v>21</v>
      </c>
      <c r="E65" s="299" t="s">
        <v>185</v>
      </c>
      <c r="F65" s="297">
        <v>0</v>
      </c>
      <c r="G65" s="298">
        <v>0</v>
      </c>
      <c r="H65" s="300">
        <v>4.8869999999999996</v>
      </c>
      <c r="I65" s="297">
        <v>30.291</v>
      </c>
      <c r="J65" s="298">
        <v>30.291</v>
      </c>
      <c r="K65" s="301" t="s">
        <v>185</v>
      </c>
    </row>
    <row r="66" spans="1:11" ht="14.4" customHeight="1" thickBot="1" x14ac:dyDescent="0.35">
      <c r="A66" s="314" t="s">
        <v>240</v>
      </c>
      <c r="B66" s="292">
        <v>0</v>
      </c>
      <c r="C66" s="292">
        <v>17.149999999999999</v>
      </c>
      <c r="D66" s="293">
        <v>17.149999999999999</v>
      </c>
      <c r="E66" s="302" t="s">
        <v>185</v>
      </c>
      <c r="F66" s="292">
        <v>0</v>
      </c>
      <c r="G66" s="293">
        <v>0</v>
      </c>
      <c r="H66" s="295">
        <v>1.8069999999999999</v>
      </c>
      <c r="I66" s="292">
        <v>16.241</v>
      </c>
      <c r="J66" s="293">
        <v>16.241</v>
      </c>
      <c r="K66" s="303" t="s">
        <v>185</v>
      </c>
    </row>
    <row r="67" spans="1:11" ht="14.4" customHeight="1" thickBot="1" x14ac:dyDescent="0.35">
      <c r="A67" s="314" t="s">
        <v>241</v>
      </c>
      <c r="B67" s="292">
        <v>0</v>
      </c>
      <c r="C67" s="292">
        <v>3.85</v>
      </c>
      <c r="D67" s="293">
        <v>3.85</v>
      </c>
      <c r="E67" s="302" t="s">
        <v>185</v>
      </c>
      <c r="F67" s="292">
        <v>0</v>
      </c>
      <c r="G67" s="293">
        <v>0</v>
      </c>
      <c r="H67" s="295">
        <v>3.08</v>
      </c>
      <c r="I67" s="292">
        <v>14.05</v>
      </c>
      <c r="J67" s="293">
        <v>14.05</v>
      </c>
      <c r="K67" s="303" t="s">
        <v>185</v>
      </c>
    </row>
    <row r="68" spans="1:11" ht="14.4" customHeight="1" thickBot="1" x14ac:dyDescent="0.35">
      <c r="A68" s="312" t="s">
        <v>19</v>
      </c>
      <c r="B68" s="292">
        <v>4068.2465816159101</v>
      </c>
      <c r="C68" s="292">
        <v>7810.44643</v>
      </c>
      <c r="D68" s="293">
        <v>3742.1998483840898</v>
      </c>
      <c r="E68" s="294">
        <v>1.9198557101460001</v>
      </c>
      <c r="F68" s="292">
        <v>8608.4418508416002</v>
      </c>
      <c r="G68" s="293">
        <v>7891.0716966048003</v>
      </c>
      <c r="H68" s="295">
        <v>439.49063999999998</v>
      </c>
      <c r="I68" s="292">
        <v>7543.3941400000003</v>
      </c>
      <c r="J68" s="293">
        <v>-347.67755660479702</v>
      </c>
      <c r="K68" s="296">
        <v>0.87627868907100004</v>
      </c>
    </row>
    <row r="69" spans="1:11" ht="14.4" customHeight="1" thickBot="1" x14ac:dyDescent="0.35">
      <c r="A69" s="313" t="s">
        <v>242</v>
      </c>
      <c r="B69" s="297">
        <v>1.0919770817029999</v>
      </c>
      <c r="C69" s="297">
        <v>3.5870000000000002</v>
      </c>
      <c r="D69" s="298">
        <v>2.4950229182960002</v>
      </c>
      <c r="E69" s="304">
        <v>3.284867475794</v>
      </c>
      <c r="F69" s="297">
        <v>4.9288370241140003</v>
      </c>
      <c r="G69" s="298">
        <v>4.5181006054379997</v>
      </c>
      <c r="H69" s="300">
        <v>0.81999999999899997</v>
      </c>
      <c r="I69" s="297">
        <v>3.5880000000000001</v>
      </c>
      <c r="J69" s="298">
        <v>-0.93010060543799999</v>
      </c>
      <c r="K69" s="305">
        <v>0.72796077095699996</v>
      </c>
    </row>
    <row r="70" spans="1:11" ht="14.4" customHeight="1" thickBot="1" x14ac:dyDescent="0.35">
      <c r="A70" s="314" t="s">
        <v>243</v>
      </c>
      <c r="B70" s="292">
        <v>1.0919770817029999</v>
      </c>
      <c r="C70" s="292">
        <v>3.5870000000000002</v>
      </c>
      <c r="D70" s="293">
        <v>2.4950229182960002</v>
      </c>
      <c r="E70" s="294">
        <v>3.284867475794</v>
      </c>
      <c r="F70" s="292">
        <v>4.9288370241140003</v>
      </c>
      <c r="G70" s="293">
        <v>4.5181006054379997</v>
      </c>
      <c r="H70" s="295">
        <v>0.81999999999899997</v>
      </c>
      <c r="I70" s="292">
        <v>3.5880000000000001</v>
      </c>
      <c r="J70" s="293">
        <v>-0.93010060543799999</v>
      </c>
      <c r="K70" s="296">
        <v>0.72796077095699996</v>
      </c>
    </row>
    <row r="71" spans="1:11" ht="14.4" customHeight="1" thickBot="1" x14ac:dyDescent="0.35">
      <c r="A71" s="313" t="s">
        <v>244</v>
      </c>
      <c r="B71" s="297">
        <v>4.802707233534</v>
      </c>
      <c r="C71" s="297">
        <v>6.3520300000000001</v>
      </c>
      <c r="D71" s="298">
        <v>1.549322766465</v>
      </c>
      <c r="E71" s="304">
        <v>1.322593631285</v>
      </c>
      <c r="F71" s="297">
        <v>7.0592965272099999</v>
      </c>
      <c r="G71" s="298">
        <v>6.4710218166090003</v>
      </c>
      <c r="H71" s="300">
        <v>0.24457999999999999</v>
      </c>
      <c r="I71" s="297">
        <v>2.5354700000000001</v>
      </c>
      <c r="J71" s="298">
        <v>-3.9355518166090002</v>
      </c>
      <c r="K71" s="305">
        <v>0.35916751622800003</v>
      </c>
    </row>
    <row r="72" spans="1:11" ht="14.4" customHeight="1" thickBot="1" x14ac:dyDescent="0.35">
      <c r="A72" s="314" t="s">
        <v>245</v>
      </c>
      <c r="B72" s="292">
        <v>4.802707233534</v>
      </c>
      <c r="C72" s="292">
        <v>6.3520300000000001</v>
      </c>
      <c r="D72" s="293">
        <v>1.549322766465</v>
      </c>
      <c r="E72" s="294">
        <v>1.322593631285</v>
      </c>
      <c r="F72" s="292">
        <v>7.0592965272099999</v>
      </c>
      <c r="G72" s="293">
        <v>6.4710218166090003</v>
      </c>
      <c r="H72" s="295">
        <v>0.24457999999999999</v>
      </c>
      <c r="I72" s="292">
        <v>2.5354700000000001</v>
      </c>
      <c r="J72" s="293">
        <v>-3.9355518166090002</v>
      </c>
      <c r="K72" s="296">
        <v>0.35916751622800003</v>
      </c>
    </row>
    <row r="73" spans="1:11" ht="14.4" customHeight="1" thickBot="1" x14ac:dyDescent="0.35">
      <c r="A73" s="313" t="s">
        <v>246</v>
      </c>
      <c r="B73" s="297">
        <v>20.325387597793998</v>
      </c>
      <c r="C73" s="297">
        <v>24.0822</v>
      </c>
      <c r="D73" s="298">
        <v>3.756812402205</v>
      </c>
      <c r="E73" s="304">
        <v>1.1848334937830001</v>
      </c>
      <c r="F73" s="297">
        <v>20.999999338550001</v>
      </c>
      <c r="G73" s="298">
        <v>19.249999393671001</v>
      </c>
      <c r="H73" s="300">
        <v>2.71407</v>
      </c>
      <c r="I73" s="297">
        <v>24.00656</v>
      </c>
      <c r="J73" s="298">
        <v>4.7565606063279997</v>
      </c>
      <c r="K73" s="305">
        <v>1.1431695598160001</v>
      </c>
    </row>
    <row r="74" spans="1:11" ht="14.4" customHeight="1" thickBot="1" x14ac:dyDescent="0.35">
      <c r="A74" s="314" t="s">
        <v>247</v>
      </c>
      <c r="B74" s="292">
        <v>6.0008246184620004</v>
      </c>
      <c r="C74" s="292">
        <v>6.48</v>
      </c>
      <c r="D74" s="293">
        <v>0.47917538153700001</v>
      </c>
      <c r="E74" s="294">
        <v>1.0798515890730001</v>
      </c>
      <c r="F74" s="292">
        <v>5.9999998110139998</v>
      </c>
      <c r="G74" s="293">
        <v>5.4999998267630001</v>
      </c>
      <c r="H74" s="295">
        <v>0</v>
      </c>
      <c r="I74" s="292">
        <v>6.48</v>
      </c>
      <c r="J74" s="293">
        <v>0.98000017323599997</v>
      </c>
      <c r="K74" s="296">
        <v>1.080000034017</v>
      </c>
    </row>
    <row r="75" spans="1:11" ht="14.4" customHeight="1" thickBot="1" x14ac:dyDescent="0.35">
      <c r="A75" s="314" t="s">
        <v>248</v>
      </c>
      <c r="B75" s="292">
        <v>14.324562979331001</v>
      </c>
      <c r="C75" s="292">
        <v>17.6022</v>
      </c>
      <c r="D75" s="293">
        <v>3.2776370206680001</v>
      </c>
      <c r="E75" s="294">
        <v>1.228812357165</v>
      </c>
      <c r="F75" s="292">
        <v>14.999999527536</v>
      </c>
      <c r="G75" s="293">
        <v>13.749999566908</v>
      </c>
      <c r="H75" s="295">
        <v>2.71407</v>
      </c>
      <c r="I75" s="292">
        <v>17.52656</v>
      </c>
      <c r="J75" s="293">
        <v>3.7765604330909999</v>
      </c>
      <c r="K75" s="296">
        <v>1.168437370136</v>
      </c>
    </row>
    <row r="76" spans="1:11" ht="14.4" customHeight="1" thickBot="1" x14ac:dyDescent="0.35">
      <c r="A76" s="313" t="s">
        <v>249</v>
      </c>
      <c r="B76" s="297">
        <v>0</v>
      </c>
      <c r="C76" s="297">
        <v>1.8149999999999999</v>
      </c>
      <c r="D76" s="298">
        <v>1.8149999999999999</v>
      </c>
      <c r="E76" s="299" t="s">
        <v>204</v>
      </c>
      <c r="F76" s="297">
        <v>0</v>
      </c>
      <c r="G76" s="298">
        <v>0</v>
      </c>
      <c r="H76" s="300">
        <v>0</v>
      </c>
      <c r="I76" s="297">
        <v>0</v>
      </c>
      <c r="J76" s="298">
        <v>0</v>
      </c>
      <c r="K76" s="301" t="s">
        <v>185</v>
      </c>
    </row>
    <row r="77" spans="1:11" ht="14.4" customHeight="1" thickBot="1" x14ac:dyDescent="0.35">
      <c r="A77" s="314" t="s">
        <v>250</v>
      </c>
      <c r="B77" s="292">
        <v>0</v>
      </c>
      <c r="C77" s="292">
        <v>1.8149999999999999</v>
      </c>
      <c r="D77" s="293">
        <v>1.8149999999999999</v>
      </c>
      <c r="E77" s="302" t="s">
        <v>204</v>
      </c>
      <c r="F77" s="292">
        <v>0</v>
      </c>
      <c r="G77" s="293">
        <v>0</v>
      </c>
      <c r="H77" s="295">
        <v>0</v>
      </c>
      <c r="I77" s="292">
        <v>0</v>
      </c>
      <c r="J77" s="293">
        <v>0</v>
      </c>
      <c r="K77" s="303" t="s">
        <v>185</v>
      </c>
    </row>
    <row r="78" spans="1:11" ht="14.4" customHeight="1" thickBot="1" x14ac:dyDescent="0.35">
      <c r="A78" s="313" t="s">
        <v>251</v>
      </c>
      <c r="B78" s="297">
        <v>3275.8686367514401</v>
      </c>
      <c r="C78" s="297">
        <v>2961.4804100000001</v>
      </c>
      <c r="D78" s="298">
        <v>-314.388226751437</v>
      </c>
      <c r="E78" s="304">
        <v>0.90402904950899998</v>
      </c>
      <c r="F78" s="297">
        <v>3159.4773717541402</v>
      </c>
      <c r="G78" s="298">
        <v>2896.1875907746298</v>
      </c>
      <c r="H78" s="300">
        <v>240.40411</v>
      </c>
      <c r="I78" s="297">
        <v>2486.9037800000001</v>
      </c>
      <c r="J78" s="298">
        <v>-409.28381077462899</v>
      </c>
      <c r="K78" s="305">
        <v>0.78712504866499999</v>
      </c>
    </row>
    <row r="79" spans="1:11" ht="14.4" customHeight="1" thickBot="1" x14ac:dyDescent="0.35">
      <c r="A79" s="314" t="s">
        <v>252</v>
      </c>
      <c r="B79" s="292">
        <v>2950.7320486654799</v>
      </c>
      <c r="C79" s="292">
        <v>2616.0415400000002</v>
      </c>
      <c r="D79" s="293">
        <v>-334.69050866547502</v>
      </c>
      <c r="E79" s="294">
        <v>0.88657373724699995</v>
      </c>
      <c r="F79" s="292">
        <v>2813.8817109481301</v>
      </c>
      <c r="G79" s="293">
        <v>2579.3915683691198</v>
      </c>
      <c r="H79" s="295">
        <v>201.33183</v>
      </c>
      <c r="I79" s="292">
        <v>2115.1383500000002</v>
      </c>
      <c r="J79" s="293">
        <v>-464.25321836912298</v>
      </c>
      <c r="K79" s="296">
        <v>0.75167990955999997</v>
      </c>
    </row>
    <row r="80" spans="1:11" ht="14.4" customHeight="1" thickBot="1" x14ac:dyDescent="0.35">
      <c r="A80" s="314" t="s">
        <v>253</v>
      </c>
      <c r="B80" s="292">
        <v>325.13658808596199</v>
      </c>
      <c r="C80" s="292">
        <v>345.43887000000001</v>
      </c>
      <c r="D80" s="293">
        <v>20.302281914038002</v>
      </c>
      <c r="E80" s="294">
        <v>1.062442317038</v>
      </c>
      <c r="F80" s="292">
        <v>345.595660806007</v>
      </c>
      <c r="G80" s="293">
        <v>316.79602240550702</v>
      </c>
      <c r="H80" s="295">
        <v>39.072279999999999</v>
      </c>
      <c r="I80" s="292">
        <v>371.76542999999998</v>
      </c>
      <c r="J80" s="293">
        <v>54.969407594492999</v>
      </c>
      <c r="K80" s="296">
        <v>1.0757236625390001</v>
      </c>
    </row>
    <row r="81" spans="1:11" ht="14.4" customHeight="1" thickBot="1" x14ac:dyDescent="0.35">
      <c r="A81" s="313" t="s">
        <v>254</v>
      </c>
      <c r="B81" s="297">
        <v>766.15787295144003</v>
      </c>
      <c r="C81" s="297">
        <v>4806.6052900000004</v>
      </c>
      <c r="D81" s="298">
        <v>4040.4474170485601</v>
      </c>
      <c r="E81" s="304">
        <v>6.2736486299919996</v>
      </c>
      <c r="F81" s="297">
        <v>5413.15437339045</v>
      </c>
      <c r="G81" s="298">
        <v>4962.05817560791</v>
      </c>
      <c r="H81" s="300">
        <v>195.30788000000001</v>
      </c>
      <c r="I81" s="297">
        <v>5026.3603300000004</v>
      </c>
      <c r="J81" s="298">
        <v>64.302154392085001</v>
      </c>
      <c r="K81" s="305">
        <v>0.92854553616799995</v>
      </c>
    </row>
    <row r="82" spans="1:11" ht="14.4" customHeight="1" thickBot="1" x14ac:dyDescent="0.35">
      <c r="A82" s="314" t="s">
        <v>255</v>
      </c>
      <c r="B82" s="292">
        <v>35.290920653268998</v>
      </c>
      <c r="C82" s="292">
        <v>8.9049999999999994</v>
      </c>
      <c r="D82" s="293">
        <v>-26.385920653269</v>
      </c>
      <c r="E82" s="294">
        <v>0.25233118986800002</v>
      </c>
      <c r="F82" s="292">
        <v>73.999997669178995</v>
      </c>
      <c r="G82" s="293">
        <v>67.833331196748006</v>
      </c>
      <c r="H82" s="295">
        <v>0</v>
      </c>
      <c r="I82" s="292">
        <v>32.503999999999998</v>
      </c>
      <c r="J82" s="293">
        <v>-35.329331196748001</v>
      </c>
      <c r="K82" s="296">
        <v>0.43924325707799999</v>
      </c>
    </row>
    <row r="83" spans="1:11" ht="14.4" customHeight="1" thickBot="1" x14ac:dyDescent="0.35">
      <c r="A83" s="314" t="s">
        <v>256</v>
      </c>
      <c r="B83" s="292">
        <v>715.96003256276902</v>
      </c>
      <c r="C83" s="292">
        <v>615.33640000000003</v>
      </c>
      <c r="D83" s="293">
        <v>-100.623632562769</v>
      </c>
      <c r="E83" s="294">
        <v>0.85945635512200003</v>
      </c>
      <c r="F83" s="292">
        <v>542.71621057062703</v>
      </c>
      <c r="G83" s="293">
        <v>497.48985968974102</v>
      </c>
      <c r="H83" s="295">
        <v>191.80571</v>
      </c>
      <c r="I83" s="292">
        <v>775.30181000000005</v>
      </c>
      <c r="J83" s="293">
        <v>277.81195031025902</v>
      </c>
      <c r="K83" s="296">
        <v>1.4285584157960001</v>
      </c>
    </row>
    <row r="84" spans="1:11" ht="14.4" customHeight="1" thickBot="1" x14ac:dyDescent="0.35">
      <c r="A84" s="314" t="s">
        <v>257</v>
      </c>
      <c r="B84" s="292">
        <v>4.0014576669619997</v>
      </c>
      <c r="C84" s="292">
        <v>3.2669999999999999</v>
      </c>
      <c r="D84" s="293">
        <v>-0.73445766696199999</v>
      </c>
      <c r="E84" s="294">
        <v>0.81645247105100005</v>
      </c>
      <c r="F84" s="292">
        <v>6.9999997795160001</v>
      </c>
      <c r="G84" s="293">
        <v>6.4166664645570002</v>
      </c>
      <c r="H84" s="295">
        <v>0</v>
      </c>
      <c r="I84" s="292">
        <v>0.78300000000000003</v>
      </c>
      <c r="J84" s="293">
        <v>-5.6336664645569998</v>
      </c>
      <c r="K84" s="296">
        <v>0.11185714637999999</v>
      </c>
    </row>
    <row r="85" spans="1:11" ht="14.4" customHeight="1" thickBot="1" x14ac:dyDescent="0.35">
      <c r="A85" s="314" t="s">
        <v>258</v>
      </c>
      <c r="B85" s="292">
        <v>0</v>
      </c>
      <c r="C85" s="292">
        <v>4.9473900000000004</v>
      </c>
      <c r="D85" s="293">
        <v>4.9473900000000004</v>
      </c>
      <c r="E85" s="302" t="s">
        <v>204</v>
      </c>
      <c r="F85" s="292">
        <v>6.033427503685</v>
      </c>
      <c r="G85" s="293">
        <v>5.5306418783779998</v>
      </c>
      <c r="H85" s="295">
        <v>0</v>
      </c>
      <c r="I85" s="292">
        <v>0</v>
      </c>
      <c r="J85" s="293">
        <v>-5.5306418783779998</v>
      </c>
      <c r="K85" s="296">
        <v>0</v>
      </c>
    </row>
    <row r="86" spans="1:11" ht="14.4" customHeight="1" thickBot="1" x14ac:dyDescent="0.35">
      <c r="A86" s="314" t="s">
        <v>259</v>
      </c>
      <c r="B86" s="292">
        <v>10.905462068438</v>
      </c>
      <c r="C86" s="292">
        <v>4174.1495000000004</v>
      </c>
      <c r="D86" s="293">
        <v>4163.2440379315603</v>
      </c>
      <c r="E86" s="294">
        <v>382.75769277858302</v>
      </c>
      <c r="F86" s="292">
        <v>4783.4047378674404</v>
      </c>
      <c r="G86" s="293">
        <v>4384.7876763784898</v>
      </c>
      <c r="H86" s="295">
        <v>3.50217</v>
      </c>
      <c r="I86" s="292">
        <v>4217.7715200000002</v>
      </c>
      <c r="J86" s="293">
        <v>-167.01615637849099</v>
      </c>
      <c r="K86" s="296">
        <v>0.88175091825499996</v>
      </c>
    </row>
    <row r="87" spans="1:11" ht="14.4" customHeight="1" thickBot="1" x14ac:dyDescent="0.35">
      <c r="A87" s="313" t="s">
        <v>260</v>
      </c>
      <c r="B87" s="297">
        <v>0</v>
      </c>
      <c r="C87" s="297">
        <v>6.5244999999999997</v>
      </c>
      <c r="D87" s="298">
        <v>6.5244999999999997</v>
      </c>
      <c r="E87" s="299" t="s">
        <v>185</v>
      </c>
      <c r="F87" s="297">
        <v>2.821972807127</v>
      </c>
      <c r="G87" s="298">
        <v>2.5868084065330001</v>
      </c>
      <c r="H87" s="300">
        <v>0</v>
      </c>
      <c r="I87" s="297">
        <v>0</v>
      </c>
      <c r="J87" s="298">
        <v>-2.5868084065330001</v>
      </c>
      <c r="K87" s="305">
        <v>0</v>
      </c>
    </row>
    <row r="88" spans="1:11" ht="14.4" customHeight="1" thickBot="1" x14ac:dyDescent="0.35">
      <c r="A88" s="314" t="s">
        <v>261</v>
      </c>
      <c r="B88" s="292">
        <v>0</v>
      </c>
      <c r="C88" s="292">
        <v>0.77700000000000002</v>
      </c>
      <c r="D88" s="293">
        <v>0.77700000000000002</v>
      </c>
      <c r="E88" s="302" t="s">
        <v>185</v>
      </c>
      <c r="F88" s="292">
        <v>2.821972807127</v>
      </c>
      <c r="G88" s="293">
        <v>2.5868084065330001</v>
      </c>
      <c r="H88" s="295">
        <v>0</v>
      </c>
      <c r="I88" s="292">
        <v>0</v>
      </c>
      <c r="J88" s="293">
        <v>-2.5868084065330001</v>
      </c>
      <c r="K88" s="296">
        <v>0</v>
      </c>
    </row>
    <row r="89" spans="1:11" ht="14.4" customHeight="1" thickBot="1" x14ac:dyDescent="0.35">
      <c r="A89" s="314" t="s">
        <v>262</v>
      </c>
      <c r="B89" s="292">
        <v>0</v>
      </c>
      <c r="C89" s="292">
        <v>5.7474999999999996</v>
      </c>
      <c r="D89" s="293">
        <v>5.7474999999999996</v>
      </c>
      <c r="E89" s="302" t="s">
        <v>204</v>
      </c>
      <c r="F89" s="292">
        <v>0</v>
      </c>
      <c r="G89" s="293">
        <v>0</v>
      </c>
      <c r="H89" s="295">
        <v>0</v>
      </c>
      <c r="I89" s="292">
        <v>0</v>
      </c>
      <c r="J89" s="293">
        <v>0</v>
      </c>
      <c r="K89" s="296">
        <v>11</v>
      </c>
    </row>
    <row r="90" spans="1:11" ht="14.4" customHeight="1" thickBot="1" x14ac:dyDescent="0.35">
      <c r="A90" s="311" t="s">
        <v>20</v>
      </c>
      <c r="B90" s="292">
        <v>21080.104276682399</v>
      </c>
      <c r="C90" s="292">
        <v>23085.713660000001</v>
      </c>
      <c r="D90" s="293">
        <v>2005.6093833176201</v>
      </c>
      <c r="E90" s="294">
        <v>1.095142289477</v>
      </c>
      <c r="F90" s="292">
        <v>22867.9992797134</v>
      </c>
      <c r="G90" s="293">
        <v>20962.332673070599</v>
      </c>
      <c r="H90" s="295">
        <v>2453.95523</v>
      </c>
      <c r="I90" s="292">
        <v>22125.21875</v>
      </c>
      <c r="J90" s="293">
        <v>1162.8860769293799</v>
      </c>
      <c r="K90" s="296">
        <v>0.96751877938099995</v>
      </c>
    </row>
    <row r="91" spans="1:11" ht="14.4" customHeight="1" thickBot="1" x14ac:dyDescent="0.35">
      <c r="A91" s="317" t="s">
        <v>263</v>
      </c>
      <c r="B91" s="297">
        <v>15627.9999999997</v>
      </c>
      <c r="C91" s="297">
        <v>17114.232</v>
      </c>
      <c r="D91" s="298">
        <v>1486.2320000002901</v>
      </c>
      <c r="E91" s="304">
        <v>1.0951005886859999</v>
      </c>
      <c r="F91" s="297">
        <v>16951.999466053101</v>
      </c>
      <c r="G91" s="298">
        <v>15539.332843882001</v>
      </c>
      <c r="H91" s="300">
        <v>1822.664</v>
      </c>
      <c r="I91" s="297">
        <v>16411.092000000001</v>
      </c>
      <c r="J91" s="298">
        <v>871.75915611800895</v>
      </c>
      <c r="K91" s="305">
        <v>0.96809181907200004</v>
      </c>
    </row>
    <row r="92" spans="1:11" ht="14.4" customHeight="1" thickBot="1" x14ac:dyDescent="0.35">
      <c r="A92" s="313" t="s">
        <v>264</v>
      </c>
      <c r="B92" s="297">
        <v>15575.9999999997</v>
      </c>
      <c r="C92" s="297">
        <v>17067.292000000001</v>
      </c>
      <c r="D92" s="298">
        <v>1491.29200000029</v>
      </c>
      <c r="E92" s="304">
        <v>1.0957429378529999</v>
      </c>
      <c r="F92" s="297">
        <v>16898.9994677225</v>
      </c>
      <c r="G92" s="298">
        <v>15490.749512078901</v>
      </c>
      <c r="H92" s="300">
        <v>1811.498</v>
      </c>
      <c r="I92" s="297">
        <v>16331.945</v>
      </c>
      <c r="J92" s="298">
        <v>841.19548792108401</v>
      </c>
      <c r="K92" s="305">
        <v>0.96644449461000004</v>
      </c>
    </row>
    <row r="93" spans="1:11" ht="14.4" customHeight="1" thickBot="1" x14ac:dyDescent="0.35">
      <c r="A93" s="314" t="s">
        <v>265</v>
      </c>
      <c r="B93" s="292">
        <v>15575.9999999997</v>
      </c>
      <c r="C93" s="292">
        <v>17067.292000000001</v>
      </c>
      <c r="D93" s="293">
        <v>1491.29200000029</v>
      </c>
      <c r="E93" s="294">
        <v>1.0957429378529999</v>
      </c>
      <c r="F93" s="292">
        <v>16898.9994677225</v>
      </c>
      <c r="G93" s="293">
        <v>15490.749512078901</v>
      </c>
      <c r="H93" s="295">
        <v>1811.498</v>
      </c>
      <c r="I93" s="292">
        <v>16331.945</v>
      </c>
      <c r="J93" s="293">
        <v>841.19548792108401</v>
      </c>
      <c r="K93" s="296">
        <v>0.96644449461000004</v>
      </c>
    </row>
    <row r="94" spans="1:11" ht="14.4" customHeight="1" thickBot="1" x14ac:dyDescent="0.35">
      <c r="A94" s="313" t="s">
        <v>266</v>
      </c>
      <c r="B94" s="297">
        <v>51.999999999998998</v>
      </c>
      <c r="C94" s="297">
        <v>46.94</v>
      </c>
      <c r="D94" s="298">
        <v>-5.0599999999990004</v>
      </c>
      <c r="E94" s="304">
        <v>0.90269230769200004</v>
      </c>
      <c r="F94" s="297">
        <v>52.999998330628003</v>
      </c>
      <c r="G94" s="298">
        <v>48.583331803076</v>
      </c>
      <c r="H94" s="300">
        <v>11.166</v>
      </c>
      <c r="I94" s="297">
        <v>79.147000000000006</v>
      </c>
      <c r="J94" s="298">
        <v>30.563668196923999</v>
      </c>
      <c r="K94" s="305">
        <v>1.4933396696779999</v>
      </c>
    </row>
    <row r="95" spans="1:11" ht="14.4" customHeight="1" thickBot="1" x14ac:dyDescent="0.35">
      <c r="A95" s="314" t="s">
        <v>267</v>
      </c>
      <c r="B95" s="292">
        <v>51.999999999998998</v>
      </c>
      <c r="C95" s="292">
        <v>46.94</v>
      </c>
      <c r="D95" s="293">
        <v>-5.0599999999990004</v>
      </c>
      <c r="E95" s="294">
        <v>0.90269230769200004</v>
      </c>
      <c r="F95" s="292">
        <v>52.999998330628003</v>
      </c>
      <c r="G95" s="293">
        <v>48.583331803076</v>
      </c>
      <c r="H95" s="295">
        <v>11.166</v>
      </c>
      <c r="I95" s="292">
        <v>79.147000000000006</v>
      </c>
      <c r="J95" s="293">
        <v>30.563668196923999</v>
      </c>
      <c r="K95" s="296">
        <v>1.4933396696779999</v>
      </c>
    </row>
    <row r="96" spans="1:11" ht="14.4" customHeight="1" thickBot="1" x14ac:dyDescent="0.35">
      <c r="A96" s="312" t="s">
        <v>268</v>
      </c>
      <c r="B96" s="292">
        <v>5296.1042766826804</v>
      </c>
      <c r="C96" s="292">
        <v>5800.2638299999999</v>
      </c>
      <c r="D96" s="293">
        <v>504.15955331732101</v>
      </c>
      <c r="E96" s="294">
        <v>1.095194415928</v>
      </c>
      <c r="F96" s="292">
        <v>5746.9998189834296</v>
      </c>
      <c r="G96" s="293">
        <v>5268.0831674014698</v>
      </c>
      <c r="H96" s="295">
        <v>613.06484999999998</v>
      </c>
      <c r="I96" s="292">
        <v>5550.0173999999997</v>
      </c>
      <c r="J96" s="293">
        <v>281.93423259852602</v>
      </c>
      <c r="K96" s="296">
        <v>0.96572430395099995</v>
      </c>
    </row>
    <row r="97" spans="1:11" ht="14.4" customHeight="1" thickBot="1" x14ac:dyDescent="0.35">
      <c r="A97" s="313" t="s">
        <v>269</v>
      </c>
      <c r="B97" s="297">
        <v>1402.10427668276</v>
      </c>
      <c r="C97" s="297">
        <v>1536.1835799999999</v>
      </c>
      <c r="D97" s="298">
        <v>134.079303317241</v>
      </c>
      <c r="E97" s="304">
        <v>1.095627198024</v>
      </c>
      <c r="F97" s="297">
        <v>1521.99995206069</v>
      </c>
      <c r="G97" s="298">
        <v>1395.1666227223</v>
      </c>
      <c r="H97" s="300">
        <v>163.03809999999999</v>
      </c>
      <c r="I97" s="297">
        <v>1469.8788999999999</v>
      </c>
      <c r="J97" s="298">
        <v>74.712277277702</v>
      </c>
      <c r="K97" s="305">
        <v>0.96575489244199997</v>
      </c>
    </row>
    <row r="98" spans="1:11" ht="14.4" customHeight="1" thickBot="1" x14ac:dyDescent="0.35">
      <c r="A98" s="314" t="s">
        <v>270</v>
      </c>
      <c r="B98" s="292">
        <v>1402.10427668276</v>
      </c>
      <c r="C98" s="292">
        <v>1536.1835799999999</v>
      </c>
      <c r="D98" s="293">
        <v>134.079303317241</v>
      </c>
      <c r="E98" s="294">
        <v>1.095627198024</v>
      </c>
      <c r="F98" s="292">
        <v>1521.99995206069</v>
      </c>
      <c r="G98" s="293">
        <v>1395.1666227223</v>
      </c>
      <c r="H98" s="295">
        <v>163.03809999999999</v>
      </c>
      <c r="I98" s="292">
        <v>1469.8788999999999</v>
      </c>
      <c r="J98" s="293">
        <v>74.712277277702</v>
      </c>
      <c r="K98" s="296">
        <v>0.96575489244199997</v>
      </c>
    </row>
    <row r="99" spans="1:11" ht="14.4" customHeight="1" thickBot="1" x14ac:dyDescent="0.35">
      <c r="A99" s="313" t="s">
        <v>271</v>
      </c>
      <c r="B99" s="297">
        <v>3893.99999999992</v>
      </c>
      <c r="C99" s="297">
        <v>4264.08025</v>
      </c>
      <c r="D99" s="298">
        <v>370.08025000008001</v>
      </c>
      <c r="E99" s="304">
        <v>1.0950385850019999</v>
      </c>
      <c r="F99" s="297">
        <v>4224.9998669227398</v>
      </c>
      <c r="G99" s="298">
        <v>3872.9165446791799</v>
      </c>
      <c r="H99" s="300">
        <v>450.02674999999999</v>
      </c>
      <c r="I99" s="297">
        <v>4080.1385</v>
      </c>
      <c r="J99" s="298">
        <v>207.22195532082301</v>
      </c>
      <c r="K99" s="305">
        <v>0.96571328485499996</v>
      </c>
    </row>
    <row r="100" spans="1:11" ht="14.4" customHeight="1" thickBot="1" x14ac:dyDescent="0.35">
      <c r="A100" s="314" t="s">
        <v>272</v>
      </c>
      <c r="B100" s="292">
        <v>3893.99999999992</v>
      </c>
      <c r="C100" s="292">
        <v>4264.08025</v>
      </c>
      <c r="D100" s="293">
        <v>370.08025000008001</v>
      </c>
      <c r="E100" s="294">
        <v>1.0950385850019999</v>
      </c>
      <c r="F100" s="292">
        <v>4224.9998669227398</v>
      </c>
      <c r="G100" s="293">
        <v>3872.9165446791799</v>
      </c>
      <c r="H100" s="295">
        <v>450.02674999999999</v>
      </c>
      <c r="I100" s="292">
        <v>4080.1385</v>
      </c>
      <c r="J100" s="293">
        <v>207.22195532082301</v>
      </c>
      <c r="K100" s="296">
        <v>0.96571328485499996</v>
      </c>
    </row>
    <row r="101" spans="1:11" ht="14.4" customHeight="1" thickBot="1" x14ac:dyDescent="0.35">
      <c r="A101" s="312" t="s">
        <v>273</v>
      </c>
      <c r="B101" s="292">
        <v>155.99999999999699</v>
      </c>
      <c r="C101" s="292">
        <v>171.21782999999999</v>
      </c>
      <c r="D101" s="293">
        <v>15.217830000003</v>
      </c>
      <c r="E101" s="294">
        <v>1.0975501923069999</v>
      </c>
      <c r="F101" s="292">
        <v>168.99999467691001</v>
      </c>
      <c r="G101" s="293">
        <v>154.91666178716699</v>
      </c>
      <c r="H101" s="295">
        <v>18.226379999999999</v>
      </c>
      <c r="I101" s="292">
        <v>164.10935000000001</v>
      </c>
      <c r="J101" s="293">
        <v>9.1926882128319996</v>
      </c>
      <c r="K101" s="296">
        <v>0.97106127318900004</v>
      </c>
    </row>
    <row r="102" spans="1:11" ht="14.4" customHeight="1" thickBot="1" x14ac:dyDescent="0.35">
      <c r="A102" s="313" t="s">
        <v>274</v>
      </c>
      <c r="B102" s="297">
        <v>155.99999999999699</v>
      </c>
      <c r="C102" s="297">
        <v>171.21782999999999</v>
      </c>
      <c r="D102" s="298">
        <v>15.217830000003</v>
      </c>
      <c r="E102" s="304">
        <v>1.0975501923069999</v>
      </c>
      <c r="F102" s="297">
        <v>168.99999467691001</v>
      </c>
      <c r="G102" s="298">
        <v>154.91666178716699</v>
      </c>
      <c r="H102" s="300">
        <v>18.226379999999999</v>
      </c>
      <c r="I102" s="297">
        <v>164.10935000000001</v>
      </c>
      <c r="J102" s="298">
        <v>9.1926882128319996</v>
      </c>
      <c r="K102" s="305">
        <v>0.97106127318900004</v>
      </c>
    </row>
    <row r="103" spans="1:11" ht="14.4" customHeight="1" thickBot="1" x14ac:dyDescent="0.35">
      <c r="A103" s="314" t="s">
        <v>275</v>
      </c>
      <c r="B103" s="292">
        <v>155.99999999999699</v>
      </c>
      <c r="C103" s="292">
        <v>171.21782999999999</v>
      </c>
      <c r="D103" s="293">
        <v>15.217830000003</v>
      </c>
      <c r="E103" s="294">
        <v>1.0975501923069999</v>
      </c>
      <c r="F103" s="292">
        <v>168.99999467691001</v>
      </c>
      <c r="G103" s="293">
        <v>154.91666178716699</v>
      </c>
      <c r="H103" s="295">
        <v>18.226379999999999</v>
      </c>
      <c r="I103" s="292">
        <v>164.10935000000001</v>
      </c>
      <c r="J103" s="293">
        <v>9.1926882128319996</v>
      </c>
      <c r="K103" s="296">
        <v>0.97106127318900004</v>
      </c>
    </row>
    <row r="104" spans="1:11" ht="14.4" customHeight="1" thickBot="1" x14ac:dyDescent="0.35">
      <c r="A104" s="311" t="s">
        <v>276</v>
      </c>
      <c r="B104" s="292">
        <v>0</v>
      </c>
      <c r="C104" s="292">
        <v>42.719099999999997</v>
      </c>
      <c r="D104" s="293">
        <v>42.719099999999997</v>
      </c>
      <c r="E104" s="302" t="s">
        <v>185</v>
      </c>
      <c r="F104" s="292">
        <v>0</v>
      </c>
      <c r="G104" s="293">
        <v>0</v>
      </c>
      <c r="H104" s="295">
        <v>0</v>
      </c>
      <c r="I104" s="292">
        <v>51.804900000000004</v>
      </c>
      <c r="J104" s="293">
        <v>51.804900000000004</v>
      </c>
      <c r="K104" s="303" t="s">
        <v>185</v>
      </c>
    </row>
    <row r="105" spans="1:11" ht="14.4" customHeight="1" thickBot="1" x14ac:dyDescent="0.35">
      <c r="A105" s="312" t="s">
        <v>277</v>
      </c>
      <c r="B105" s="292">
        <v>0</v>
      </c>
      <c r="C105" s="292">
        <v>42.719099999999997</v>
      </c>
      <c r="D105" s="293">
        <v>42.719099999999997</v>
      </c>
      <c r="E105" s="302" t="s">
        <v>185</v>
      </c>
      <c r="F105" s="292">
        <v>0</v>
      </c>
      <c r="G105" s="293">
        <v>0</v>
      </c>
      <c r="H105" s="295">
        <v>0</v>
      </c>
      <c r="I105" s="292">
        <v>51.804900000000004</v>
      </c>
      <c r="J105" s="293">
        <v>51.804900000000004</v>
      </c>
      <c r="K105" s="303" t="s">
        <v>185</v>
      </c>
    </row>
    <row r="106" spans="1:11" ht="14.4" customHeight="1" thickBot="1" x14ac:dyDescent="0.35">
      <c r="A106" s="313" t="s">
        <v>278</v>
      </c>
      <c r="B106" s="297">
        <v>0</v>
      </c>
      <c r="C106" s="297">
        <v>31.508949999999999</v>
      </c>
      <c r="D106" s="298">
        <v>31.508949999999999</v>
      </c>
      <c r="E106" s="299" t="s">
        <v>185</v>
      </c>
      <c r="F106" s="297">
        <v>0</v>
      </c>
      <c r="G106" s="298">
        <v>0</v>
      </c>
      <c r="H106" s="300">
        <v>0</v>
      </c>
      <c r="I106" s="297">
        <v>47.404899999999998</v>
      </c>
      <c r="J106" s="298">
        <v>47.404899999999998</v>
      </c>
      <c r="K106" s="301" t="s">
        <v>185</v>
      </c>
    </row>
    <row r="107" spans="1:11" ht="14.4" customHeight="1" thickBot="1" x14ac:dyDescent="0.35">
      <c r="A107" s="314" t="s">
        <v>279</v>
      </c>
      <c r="B107" s="292">
        <v>0</v>
      </c>
      <c r="C107" s="292">
        <v>0.58094999999999997</v>
      </c>
      <c r="D107" s="293">
        <v>0.58094999999999997</v>
      </c>
      <c r="E107" s="302" t="s">
        <v>185</v>
      </c>
      <c r="F107" s="292">
        <v>0</v>
      </c>
      <c r="G107" s="293">
        <v>0</v>
      </c>
      <c r="H107" s="295">
        <v>0</v>
      </c>
      <c r="I107" s="292">
        <v>3.2789000000000001</v>
      </c>
      <c r="J107" s="293">
        <v>3.2789000000000001</v>
      </c>
      <c r="K107" s="303" t="s">
        <v>185</v>
      </c>
    </row>
    <row r="108" spans="1:11" ht="14.4" customHeight="1" thickBot="1" x14ac:dyDescent="0.35">
      <c r="A108" s="314" t="s">
        <v>280</v>
      </c>
      <c r="B108" s="292">
        <v>0</v>
      </c>
      <c r="C108" s="292">
        <v>30.928000000000001</v>
      </c>
      <c r="D108" s="293">
        <v>30.928000000000001</v>
      </c>
      <c r="E108" s="302" t="s">
        <v>185</v>
      </c>
      <c r="F108" s="292">
        <v>0</v>
      </c>
      <c r="G108" s="293">
        <v>0</v>
      </c>
      <c r="H108" s="295">
        <v>0</v>
      </c>
      <c r="I108" s="292">
        <v>44.125999999999998</v>
      </c>
      <c r="J108" s="293">
        <v>44.125999999999998</v>
      </c>
      <c r="K108" s="303" t="s">
        <v>185</v>
      </c>
    </row>
    <row r="109" spans="1:11" ht="14.4" customHeight="1" thickBot="1" x14ac:dyDescent="0.35">
      <c r="A109" s="313" t="s">
        <v>281</v>
      </c>
      <c r="B109" s="297">
        <v>0</v>
      </c>
      <c r="C109" s="297">
        <v>0.95014999999899996</v>
      </c>
      <c r="D109" s="298">
        <v>0.95014999999899996</v>
      </c>
      <c r="E109" s="299" t="s">
        <v>204</v>
      </c>
      <c r="F109" s="297">
        <v>0</v>
      </c>
      <c r="G109" s="298">
        <v>0</v>
      </c>
      <c r="H109" s="300">
        <v>0</v>
      </c>
      <c r="I109" s="297">
        <v>0</v>
      </c>
      <c r="J109" s="298">
        <v>0</v>
      </c>
      <c r="K109" s="301" t="s">
        <v>185</v>
      </c>
    </row>
    <row r="110" spans="1:11" ht="14.4" customHeight="1" thickBot="1" x14ac:dyDescent="0.35">
      <c r="A110" s="314" t="s">
        <v>282</v>
      </c>
      <c r="B110" s="292">
        <v>0</v>
      </c>
      <c r="C110" s="292">
        <v>0.95014999999899996</v>
      </c>
      <c r="D110" s="293">
        <v>0.95014999999899996</v>
      </c>
      <c r="E110" s="302" t="s">
        <v>204</v>
      </c>
      <c r="F110" s="292">
        <v>0</v>
      </c>
      <c r="G110" s="293">
        <v>0</v>
      </c>
      <c r="H110" s="295">
        <v>0</v>
      </c>
      <c r="I110" s="292">
        <v>0</v>
      </c>
      <c r="J110" s="293">
        <v>0</v>
      </c>
      <c r="K110" s="303" t="s">
        <v>185</v>
      </c>
    </row>
    <row r="111" spans="1:11" ht="14.4" customHeight="1" thickBot="1" x14ac:dyDescent="0.35">
      <c r="A111" s="316" t="s">
        <v>283</v>
      </c>
      <c r="B111" s="292">
        <v>0</v>
      </c>
      <c r="C111" s="292">
        <v>10.26</v>
      </c>
      <c r="D111" s="293">
        <v>10.26</v>
      </c>
      <c r="E111" s="302" t="s">
        <v>204</v>
      </c>
      <c r="F111" s="292">
        <v>0</v>
      </c>
      <c r="G111" s="293">
        <v>0</v>
      </c>
      <c r="H111" s="295">
        <v>0</v>
      </c>
      <c r="I111" s="292">
        <v>4.4000000000000004</v>
      </c>
      <c r="J111" s="293">
        <v>4.4000000000000004</v>
      </c>
      <c r="K111" s="303" t="s">
        <v>185</v>
      </c>
    </row>
    <row r="112" spans="1:11" ht="14.4" customHeight="1" thickBot="1" x14ac:dyDescent="0.35">
      <c r="A112" s="314" t="s">
        <v>284</v>
      </c>
      <c r="B112" s="292">
        <v>0</v>
      </c>
      <c r="C112" s="292">
        <v>10.26</v>
      </c>
      <c r="D112" s="293">
        <v>10.26</v>
      </c>
      <c r="E112" s="302" t="s">
        <v>204</v>
      </c>
      <c r="F112" s="292">
        <v>0</v>
      </c>
      <c r="G112" s="293">
        <v>0</v>
      </c>
      <c r="H112" s="295">
        <v>0</v>
      </c>
      <c r="I112" s="292">
        <v>4.4000000000000004</v>
      </c>
      <c r="J112" s="293">
        <v>4.4000000000000004</v>
      </c>
      <c r="K112" s="303" t="s">
        <v>185</v>
      </c>
    </row>
    <row r="113" spans="1:11" ht="14.4" customHeight="1" thickBot="1" x14ac:dyDescent="0.35">
      <c r="A113" s="311" t="s">
        <v>285</v>
      </c>
      <c r="B113" s="292">
        <v>20186.963161780001</v>
      </c>
      <c r="C113" s="292">
        <v>20748.079659999999</v>
      </c>
      <c r="D113" s="293">
        <v>561.11649821997696</v>
      </c>
      <c r="E113" s="294">
        <v>1.027795983661</v>
      </c>
      <c r="F113" s="292">
        <v>19928.0028991049</v>
      </c>
      <c r="G113" s="293">
        <v>18267.335990846201</v>
      </c>
      <c r="H113" s="295">
        <v>1635.7909199999999</v>
      </c>
      <c r="I113" s="292">
        <v>18362.867770000001</v>
      </c>
      <c r="J113" s="293">
        <v>95.531779153810007</v>
      </c>
      <c r="K113" s="296">
        <v>0.92146051277499996</v>
      </c>
    </row>
    <row r="114" spans="1:11" ht="14.4" customHeight="1" thickBot="1" x14ac:dyDescent="0.35">
      <c r="A114" s="312" t="s">
        <v>286</v>
      </c>
      <c r="B114" s="292">
        <v>20146.963161780001</v>
      </c>
      <c r="C114" s="292">
        <v>20354.355</v>
      </c>
      <c r="D114" s="293">
        <v>207.39183821997699</v>
      </c>
      <c r="E114" s="294">
        <v>1.010293950336</v>
      </c>
      <c r="F114" s="292">
        <v>19867.0028991049</v>
      </c>
      <c r="G114" s="293">
        <v>18211.4193241795</v>
      </c>
      <c r="H114" s="295">
        <v>1618.0250000000001</v>
      </c>
      <c r="I114" s="292">
        <v>18165.063999999998</v>
      </c>
      <c r="J114" s="293">
        <v>-46.355324179527003</v>
      </c>
      <c r="K114" s="296">
        <v>0.91433338446900003</v>
      </c>
    </row>
    <row r="115" spans="1:11" ht="14.4" customHeight="1" thickBot="1" x14ac:dyDescent="0.35">
      <c r="A115" s="313" t="s">
        <v>287</v>
      </c>
      <c r="B115" s="297">
        <v>20146.963161780001</v>
      </c>
      <c r="C115" s="297">
        <v>20354.355</v>
      </c>
      <c r="D115" s="298">
        <v>207.39183821997699</v>
      </c>
      <c r="E115" s="304">
        <v>1.010293950336</v>
      </c>
      <c r="F115" s="297">
        <v>19867.0028991049</v>
      </c>
      <c r="G115" s="298">
        <v>18211.4193241795</v>
      </c>
      <c r="H115" s="300">
        <v>1618.0250000000001</v>
      </c>
      <c r="I115" s="297">
        <v>18097.197</v>
      </c>
      <c r="J115" s="298">
        <v>-114.222324179525</v>
      </c>
      <c r="K115" s="305">
        <v>0.91091731812300003</v>
      </c>
    </row>
    <row r="116" spans="1:11" ht="14.4" customHeight="1" thickBot="1" x14ac:dyDescent="0.35">
      <c r="A116" s="314" t="s">
        <v>288</v>
      </c>
      <c r="B116" s="292">
        <v>345.98625349666401</v>
      </c>
      <c r="C116" s="292">
        <v>351.27800000000002</v>
      </c>
      <c r="D116" s="293">
        <v>5.2917465033360003</v>
      </c>
      <c r="E116" s="294">
        <v>1.015294672692</v>
      </c>
      <c r="F116" s="292">
        <v>359.99998866086599</v>
      </c>
      <c r="G116" s="293">
        <v>329.99998960579398</v>
      </c>
      <c r="H116" s="295">
        <v>29.995999999999999</v>
      </c>
      <c r="I116" s="292">
        <v>329.95600000000002</v>
      </c>
      <c r="J116" s="293">
        <v>-4.3989605793E-2</v>
      </c>
      <c r="K116" s="296">
        <v>0.91654447331300004</v>
      </c>
    </row>
    <row r="117" spans="1:11" ht="14.4" customHeight="1" thickBot="1" x14ac:dyDescent="0.35">
      <c r="A117" s="314" t="s">
        <v>289</v>
      </c>
      <c r="B117" s="292">
        <v>6724.9999999998799</v>
      </c>
      <c r="C117" s="292">
        <v>6925.0079999999998</v>
      </c>
      <c r="D117" s="293">
        <v>200.00800000012501</v>
      </c>
      <c r="E117" s="294">
        <v>1.0297409665420001</v>
      </c>
      <c r="F117" s="292">
        <v>6955.99978090272</v>
      </c>
      <c r="G117" s="293">
        <v>6376.3331324941601</v>
      </c>
      <c r="H117" s="295">
        <v>586.82000000000005</v>
      </c>
      <c r="I117" s="292">
        <v>6419.0349999999999</v>
      </c>
      <c r="J117" s="293">
        <v>42.701867505834997</v>
      </c>
      <c r="K117" s="296">
        <v>0.92280552072800004</v>
      </c>
    </row>
    <row r="118" spans="1:11" ht="14.4" customHeight="1" thickBot="1" x14ac:dyDescent="0.35">
      <c r="A118" s="314" t="s">
        <v>290</v>
      </c>
      <c r="B118" s="292">
        <v>426.00356411090002</v>
      </c>
      <c r="C118" s="292">
        <v>426.09500000000003</v>
      </c>
      <c r="D118" s="293">
        <v>9.1435889098999995E-2</v>
      </c>
      <c r="E118" s="294">
        <v>1.0002146364410001</v>
      </c>
      <c r="F118" s="292">
        <v>420.003283155166</v>
      </c>
      <c r="G118" s="293">
        <v>385.00300955890202</v>
      </c>
      <c r="H118" s="295">
        <v>34.866999999999997</v>
      </c>
      <c r="I118" s="292">
        <v>385.45699999999999</v>
      </c>
      <c r="J118" s="293">
        <v>0.45399044109699999</v>
      </c>
      <c r="K118" s="296">
        <v>0.91774758783800003</v>
      </c>
    </row>
    <row r="119" spans="1:11" ht="14.4" customHeight="1" thickBot="1" x14ac:dyDescent="0.35">
      <c r="A119" s="314" t="s">
        <v>291</v>
      </c>
      <c r="B119" s="292">
        <v>2163.9733441727699</v>
      </c>
      <c r="C119" s="292">
        <v>2165.0259999999998</v>
      </c>
      <c r="D119" s="293">
        <v>1.0526558272269999</v>
      </c>
      <c r="E119" s="294">
        <v>1.0004864458380001</v>
      </c>
      <c r="F119" s="292">
        <v>2166.99993174471</v>
      </c>
      <c r="G119" s="293">
        <v>1986.41660409932</v>
      </c>
      <c r="H119" s="295">
        <v>180.56899999999999</v>
      </c>
      <c r="I119" s="292">
        <v>1986.259</v>
      </c>
      <c r="J119" s="293">
        <v>-0.15760409931800001</v>
      </c>
      <c r="K119" s="296">
        <v>0.91659393749899998</v>
      </c>
    </row>
    <row r="120" spans="1:11" ht="14.4" customHeight="1" thickBot="1" x14ac:dyDescent="0.35">
      <c r="A120" s="314" t="s">
        <v>292</v>
      </c>
      <c r="B120" s="292">
        <v>9736.9999999998308</v>
      </c>
      <c r="C120" s="292">
        <v>9737.5630000000001</v>
      </c>
      <c r="D120" s="293">
        <v>0.56300000017399998</v>
      </c>
      <c r="E120" s="294">
        <v>1.0000578206840001</v>
      </c>
      <c r="F120" s="292">
        <v>9741.9999216339402</v>
      </c>
      <c r="G120" s="293">
        <v>8930.1665948311093</v>
      </c>
      <c r="H120" s="295">
        <v>783.39499999999998</v>
      </c>
      <c r="I120" s="292">
        <v>8756.7090000000007</v>
      </c>
      <c r="J120" s="293">
        <v>-173.45759483110999</v>
      </c>
      <c r="K120" s="296">
        <v>0.89886153463700003</v>
      </c>
    </row>
    <row r="121" spans="1:11" ht="14.4" customHeight="1" thickBot="1" x14ac:dyDescent="0.35">
      <c r="A121" s="314" t="s">
        <v>293</v>
      </c>
      <c r="B121" s="292">
        <v>748.99999999998602</v>
      </c>
      <c r="C121" s="292">
        <v>749.38499999999999</v>
      </c>
      <c r="D121" s="293">
        <v>0.38500000001399998</v>
      </c>
      <c r="E121" s="294">
        <v>1.000514018691</v>
      </c>
      <c r="F121" s="292">
        <v>221.99999300753399</v>
      </c>
      <c r="G121" s="293">
        <v>203.499993590239</v>
      </c>
      <c r="H121" s="295">
        <v>2.3780000000000001</v>
      </c>
      <c r="I121" s="292">
        <v>219.78100000000001</v>
      </c>
      <c r="J121" s="293">
        <v>16.28100640976</v>
      </c>
      <c r="K121" s="296">
        <v>0.99000453568699998</v>
      </c>
    </row>
    <row r="122" spans="1:11" ht="14.4" customHeight="1" thickBot="1" x14ac:dyDescent="0.35">
      <c r="A122" s="313" t="s">
        <v>294</v>
      </c>
      <c r="B122" s="297">
        <v>0</v>
      </c>
      <c r="C122" s="297">
        <v>0</v>
      </c>
      <c r="D122" s="298">
        <v>0</v>
      </c>
      <c r="E122" s="304">
        <v>1</v>
      </c>
      <c r="F122" s="297">
        <v>0</v>
      </c>
      <c r="G122" s="298">
        <v>0</v>
      </c>
      <c r="H122" s="300">
        <v>0</v>
      </c>
      <c r="I122" s="297">
        <v>67.867000000000004</v>
      </c>
      <c r="J122" s="298">
        <v>67.867000000000004</v>
      </c>
      <c r="K122" s="301" t="s">
        <v>204</v>
      </c>
    </row>
    <row r="123" spans="1:11" ht="14.4" customHeight="1" thickBot="1" x14ac:dyDescent="0.35">
      <c r="A123" s="314" t="s">
        <v>295</v>
      </c>
      <c r="B123" s="292">
        <v>0</v>
      </c>
      <c r="C123" s="292">
        <v>0</v>
      </c>
      <c r="D123" s="293">
        <v>0</v>
      </c>
      <c r="E123" s="294">
        <v>1</v>
      </c>
      <c r="F123" s="292">
        <v>0</v>
      </c>
      <c r="G123" s="293">
        <v>0</v>
      </c>
      <c r="H123" s="295">
        <v>0</v>
      </c>
      <c r="I123" s="292">
        <v>67.867000000000004</v>
      </c>
      <c r="J123" s="293">
        <v>67.867000000000004</v>
      </c>
      <c r="K123" s="303" t="s">
        <v>204</v>
      </c>
    </row>
    <row r="124" spans="1:11" ht="14.4" customHeight="1" thickBot="1" x14ac:dyDescent="0.35">
      <c r="A124" s="312" t="s">
        <v>296</v>
      </c>
      <c r="B124" s="292">
        <v>40</v>
      </c>
      <c r="C124" s="292">
        <v>393.72465999999997</v>
      </c>
      <c r="D124" s="293">
        <v>353.72465999999997</v>
      </c>
      <c r="E124" s="294">
        <v>9.8431165000000007</v>
      </c>
      <c r="F124" s="292">
        <v>61</v>
      </c>
      <c r="G124" s="293">
        <v>55.916666666666003</v>
      </c>
      <c r="H124" s="295">
        <v>17.765920000000001</v>
      </c>
      <c r="I124" s="292">
        <v>197.80376999999999</v>
      </c>
      <c r="J124" s="293">
        <v>141.88710333333299</v>
      </c>
      <c r="K124" s="296">
        <v>3.2426847540980002</v>
      </c>
    </row>
    <row r="125" spans="1:11" ht="14.4" customHeight="1" thickBot="1" x14ac:dyDescent="0.35">
      <c r="A125" s="313" t="s">
        <v>297</v>
      </c>
      <c r="B125" s="297">
        <v>40</v>
      </c>
      <c r="C125" s="297">
        <v>259.59710999999999</v>
      </c>
      <c r="D125" s="298">
        <v>219.59710999999999</v>
      </c>
      <c r="E125" s="304">
        <v>6.4899277499999997</v>
      </c>
      <c r="F125" s="297">
        <v>61</v>
      </c>
      <c r="G125" s="298">
        <v>55.916666666666003</v>
      </c>
      <c r="H125" s="300">
        <v>17.765920000000001</v>
      </c>
      <c r="I125" s="297">
        <v>178.15377000000001</v>
      </c>
      <c r="J125" s="298">
        <v>122.237103333333</v>
      </c>
      <c r="K125" s="305">
        <v>2.9205536065570001</v>
      </c>
    </row>
    <row r="126" spans="1:11" ht="14.4" customHeight="1" thickBot="1" x14ac:dyDescent="0.35">
      <c r="A126" s="314" t="s">
        <v>298</v>
      </c>
      <c r="B126" s="292">
        <v>40</v>
      </c>
      <c r="C126" s="292">
        <v>174.79884999999999</v>
      </c>
      <c r="D126" s="293">
        <v>134.79884999999999</v>
      </c>
      <c r="E126" s="294">
        <v>4.3699712499999999</v>
      </c>
      <c r="F126" s="292">
        <v>61</v>
      </c>
      <c r="G126" s="293">
        <v>55.916666666666003</v>
      </c>
      <c r="H126" s="295">
        <v>6.3549199999999999</v>
      </c>
      <c r="I126" s="292">
        <v>93.780050000000003</v>
      </c>
      <c r="J126" s="293">
        <v>37.863383333332997</v>
      </c>
      <c r="K126" s="296">
        <v>1.5373778688519999</v>
      </c>
    </row>
    <row r="127" spans="1:11" ht="14.4" customHeight="1" thickBot="1" x14ac:dyDescent="0.35">
      <c r="A127" s="314" t="s">
        <v>299</v>
      </c>
      <c r="B127" s="292">
        <v>0</v>
      </c>
      <c r="C127" s="292">
        <v>84.798259999999999</v>
      </c>
      <c r="D127" s="293">
        <v>84.798259999999999</v>
      </c>
      <c r="E127" s="302" t="s">
        <v>185</v>
      </c>
      <c r="F127" s="292">
        <v>0</v>
      </c>
      <c r="G127" s="293">
        <v>0</v>
      </c>
      <c r="H127" s="295">
        <v>11.411</v>
      </c>
      <c r="I127" s="292">
        <v>84.373720000000006</v>
      </c>
      <c r="J127" s="293">
        <v>84.373720000000006</v>
      </c>
      <c r="K127" s="303" t="s">
        <v>204</v>
      </c>
    </row>
    <row r="128" spans="1:11" ht="14.4" customHeight="1" thickBot="1" x14ac:dyDescent="0.35">
      <c r="A128" s="313" t="s">
        <v>300</v>
      </c>
      <c r="B128" s="297">
        <v>0</v>
      </c>
      <c r="C128" s="297">
        <v>110.06908</v>
      </c>
      <c r="D128" s="298">
        <v>110.06908</v>
      </c>
      <c r="E128" s="299" t="s">
        <v>185</v>
      </c>
      <c r="F128" s="297">
        <v>0</v>
      </c>
      <c r="G128" s="298">
        <v>0</v>
      </c>
      <c r="H128" s="300">
        <v>0</v>
      </c>
      <c r="I128" s="297">
        <v>0</v>
      </c>
      <c r="J128" s="298">
        <v>0</v>
      </c>
      <c r="K128" s="305">
        <v>11</v>
      </c>
    </row>
    <row r="129" spans="1:11" ht="14.4" customHeight="1" thickBot="1" x14ac:dyDescent="0.35">
      <c r="A129" s="314" t="s">
        <v>301</v>
      </c>
      <c r="B129" s="292">
        <v>0</v>
      </c>
      <c r="C129" s="292">
        <v>110.06908</v>
      </c>
      <c r="D129" s="293">
        <v>110.06908</v>
      </c>
      <c r="E129" s="302" t="s">
        <v>185</v>
      </c>
      <c r="F129" s="292">
        <v>0</v>
      </c>
      <c r="G129" s="293">
        <v>0</v>
      </c>
      <c r="H129" s="295">
        <v>0</v>
      </c>
      <c r="I129" s="292">
        <v>0</v>
      </c>
      <c r="J129" s="293">
        <v>0</v>
      </c>
      <c r="K129" s="296">
        <v>11</v>
      </c>
    </row>
    <row r="130" spans="1:11" ht="14.4" customHeight="1" thickBot="1" x14ac:dyDescent="0.35">
      <c r="A130" s="313" t="s">
        <v>302</v>
      </c>
      <c r="B130" s="297">
        <v>0</v>
      </c>
      <c r="C130" s="297">
        <v>18.158470000000001</v>
      </c>
      <c r="D130" s="298">
        <v>18.158470000000001</v>
      </c>
      <c r="E130" s="299" t="s">
        <v>185</v>
      </c>
      <c r="F130" s="297">
        <v>0</v>
      </c>
      <c r="G130" s="298">
        <v>0</v>
      </c>
      <c r="H130" s="300">
        <v>0</v>
      </c>
      <c r="I130" s="297">
        <v>19.649999999999999</v>
      </c>
      <c r="J130" s="298">
        <v>19.649999999999999</v>
      </c>
      <c r="K130" s="301" t="s">
        <v>185</v>
      </c>
    </row>
    <row r="131" spans="1:11" ht="14.4" customHeight="1" thickBot="1" x14ac:dyDescent="0.35">
      <c r="A131" s="314" t="s">
        <v>303</v>
      </c>
      <c r="B131" s="292">
        <v>0</v>
      </c>
      <c r="C131" s="292">
        <v>18.158470000000001</v>
      </c>
      <c r="D131" s="293">
        <v>18.158470000000001</v>
      </c>
      <c r="E131" s="302" t="s">
        <v>185</v>
      </c>
      <c r="F131" s="292">
        <v>0</v>
      </c>
      <c r="G131" s="293">
        <v>0</v>
      </c>
      <c r="H131" s="295">
        <v>0</v>
      </c>
      <c r="I131" s="292">
        <v>19.649999999999999</v>
      </c>
      <c r="J131" s="293">
        <v>19.649999999999999</v>
      </c>
      <c r="K131" s="303" t="s">
        <v>185</v>
      </c>
    </row>
    <row r="132" spans="1:11" ht="14.4" customHeight="1" thickBot="1" x14ac:dyDescent="0.35">
      <c r="A132" s="313" t="s">
        <v>304</v>
      </c>
      <c r="B132" s="297">
        <v>0</v>
      </c>
      <c r="C132" s="297">
        <v>5.9</v>
      </c>
      <c r="D132" s="298">
        <v>5.9</v>
      </c>
      <c r="E132" s="299" t="s">
        <v>204</v>
      </c>
      <c r="F132" s="297">
        <v>0</v>
      </c>
      <c r="G132" s="298">
        <v>0</v>
      </c>
      <c r="H132" s="300">
        <v>0</v>
      </c>
      <c r="I132" s="297">
        <v>0</v>
      </c>
      <c r="J132" s="298">
        <v>0</v>
      </c>
      <c r="K132" s="301" t="s">
        <v>185</v>
      </c>
    </row>
    <row r="133" spans="1:11" ht="14.4" customHeight="1" thickBot="1" x14ac:dyDescent="0.35">
      <c r="A133" s="314" t="s">
        <v>305</v>
      </c>
      <c r="B133" s="292">
        <v>0</v>
      </c>
      <c r="C133" s="292">
        <v>5.9</v>
      </c>
      <c r="D133" s="293">
        <v>5.9</v>
      </c>
      <c r="E133" s="302" t="s">
        <v>204</v>
      </c>
      <c r="F133" s="292">
        <v>0</v>
      </c>
      <c r="G133" s="293">
        <v>0</v>
      </c>
      <c r="H133" s="295">
        <v>0</v>
      </c>
      <c r="I133" s="292">
        <v>0</v>
      </c>
      <c r="J133" s="293">
        <v>0</v>
      </c>
      <c r="K133" s="303" t="s">
        <v>185</v>
      </c>
    </row>
    <row r="134" spans="1:11" ht="14.4" customHeight="1" thickBot="1" x14ac:dyDescent="0.35">
      <c r="A134" s="311" t="s">
        <v>306</v>
      </c>
      <c r="B134" s="292">
        <v>0</v>
      </c>
      <c r="C134" s="292">
        <v>113.55182000000001</v>
      </c>
      <c r="D134" s="293">
        <v>113.55182000000001</v>
      </c>
      <c r="E134" s="302" t="s">
        <v>185</v>
      </c>
      <c r="F134" s="292">
        <v>0</v>
      </c>
      <c r="G134" s="293">
        <v>0</v>
      </c>
      <c r="H134" s="295">
        <v>7.5221999999989997</v>
      </c>
      <c r="I134" s="292">
        <v>63.828330000000001</v>
      </c>
      <c r="J134" s="293">
        <v>63.828330000000001</v>
      </c>
      <c r="K134" s="303" t="s">
        <v>185</v>
      </c>
    </row>
    <row r="135" spans="1:11" ht="14.4" customHeight="1" thickBot="1" x14ac:dyDescent="0.35">
      <c r="A135" s="312" t="s">
        <v>307</v>
      </c>
      <c r="B135" s="292">
        <v>0</v>
      </c>
      <c r="C135" s="292">
        <v>113.55182000000001</v>
      </c>
      <c r="D135" s="293">
        <v>113.55182000000001</v>
      </c>
      <c r="E135" s="302" t="s">
        <v>185</v>
      </c>
      <c r="F135" s="292">
        <v>0</v>
      </c>
      <c r="G135" s="293">
        <v>0</v>
      </c>
      <c r="H135" s="295">
        <v>7.5221999999989997</v>
      </c>
      <c r="I135" s="292">
        <v>63.828330000000001</v>
      </c>
      <c r="J135" s="293">
        <v>63.828330000000001</v>
      </c>
      <c r="K135" s="303" t="s">
        <v>185</v>
      </c>
    </row>
    <row r="136" spans="1:11" ht="14.4" customHeight="1" thickBot="1" x14ac:dyDescent="0.35">
      <c r="A136" s="313" t="s">
        <v>308</v>
      </c>
      <c r="B136" s="297">
        <v>0</v>
      </c>
      <c r="C136" s="297">
        <v>113.55182000000001</v>
      </c>
      <c r="D136" s="298">
        <v>113.55182000000001</v>
      </c>
      <c r="E136" s="299" t="s">
        <v>185</v>
      </c>
      <c r="F136" s="297">
        <v>0</v>
      </c>
      <c r="G136" s="298">
        <v>0</v>
      </c>
      <c r="H136" s="300">
        <v>7.5221999999989997</v>
      </c>
      <c r="I136" s="297">
        <v>63.828330000000001</v>
      </c>
      <c r="J136" s="298">
        <v>63.828330000000001</v>
      </c>
      <c r="K136" s="301" t="s">
        <v>185</v>
      </c>
    </row>
    <row r="137" spans="1:11" ht="14.4" customHeight="1" thickBot="1" x14ac:dyDescent="0.35">
      <c r="A137" s="314" t="s">
        <v>309</v>
      </c>
      <c r="B137" s="292">
        <v>0</v>
      </c>
      <c r="C137" s="292">
        <v>113.55182000000001</v>
      </c>
      <c r="D137" s="293">
        <v>113.55182000000001</v>
      </c>
      <c r="E137" s="302" t="s">
        <v>185</v>
      </c>
      <c r="F137" s="292">
        <v>0</v>
      </c>
      <c r="G137" s="293">
        <v>0</v>
      </c>
      <c r="H137" s="295">
        <v>7.5221999999989997</v>
      </c>
      <c r="I137" s="292">
        <v>63.828330000000001</v>
      </c>
      <c r="J137" s="293">
        <v>63.828330000000001</v>
      </c>
      <c r="K137" s="303" t="s">
        <v>185</v>
      </c>
    </row>
    <row r="138" spans="1:11" ht="14.4" customHeight="1" thickBot="1" x14ac:dyDescent="0.35">
      <c r="A138" s="310" t="s">
        <v>310</v>
      </c>
      <c r="B138" s="292">
        <v>62.146079213581999</v>
      </c>
      <c r="C138" s="292">
        <v>97.601100000000002</v>
      </c>
      <c r="D138" s="293">
        <v>35.455020786417002</v>
      </c>
      <c r="E138" s="294">
        <v>1.570510983718</v>
      </c>
      <c r="F138" s="292">
        <v>228.988260687858</v>
      </c>
      <c r="G138" s="293">
        <v>209.90590563053701</v>
      </c>
      <c r="H138" s="295">
        <v>5.1559999999999997</v>
      </c>
      <c r="I138" s="292">
        <v>276.09291999999999</v>
      </c>
      <c r="J138" s="293">
        <v>66.187014369463</v>
      </c>
      <c r="K138" s="296">
        <v>1.2057077475089999</v>
      </c>
    </row>
    <row r="139" spans="1:11" ht="14.4" customHeight="1" thickBot="1" x14ac:dyDescent="0.35">
      <c r="A139" s="311" t="s">
        <v>311</v>
      </c>
      <c r="B139" s="292">
        <v>5.1460792135820004</v>
      </c>
      <c r="C139" s="292">
        <v>4.9090999999999996</v>
      </c>
      <c r="D139" s="293">
        <v>-0.236979213582</v>
      </c>
      <c r="E139" s="294">
        <v>0.95394955970399997</v>
      </c>
      <c r="F139" s="292">
        <v>4.0926489969600004</v>
      </c>
      <c r="G139" s="293">
        <v>3.75159491388</v>
      </c>
      <c r="H139" s="295">
        <v>0</v>
      </c>
      <c r="I139" s="292">
        <v>0</v>
      </c>
      <c r="J139" s="293">
        <v>-3.75159491388</v>
      </c>
      <c r="K139" s="296">
        <v>0</v>
      </c>
    </row>
    <row r="140" spans="1:11" ht="14.4" customHeight="1" thickBot="1" x14ac:dyDescent="0.35">
      <c r="A140" s="317" t="s">
        <v>312</v>
      </c>
      <c r="B140" s="297">
        <v>5.1460792135820004</v>
      </c>
      <c r="C140" s="297">
        <v>4.9090999999999996</v>
      </c>
      <c r="D140" s="298">
        <v>-0.236979213582</v>
      </c>
      <c r="E140" s="304">
        <v>0.95394955970399997</v>
      </c>
      <c r="F140" s="297">
        <v>4.0926489969600004</v>
      </c>
      <c r="G140" s="298">
        <v>3.75159491388</v>
      </c>
      <c r="H140" s="300">
        <v>0</v>
      </c>
      <c r="I140" s="297">
        <v>0</v>
      </c>
      <c r="J140" s="298">
        <v>-3.75159491388</v>
      </c>
      <c r="K140" s="305">
        <v>0</v>
      </c>
    </row>
    <row r="141" spans="1:11" ht="14.4" customHeight="1" thickBot="1" x14ac:dyDescent="0.35">
      <c r="A141" s="313" t="s">
        <v>313</v>
      </c>
      <c r="B141" s="297">
        <v>0</v>
      </c>
      <c r="C141" s="297">
        <v>2.0000000000000002E-5</v>
      </c>
      <c r="D141" s="298">
        <v>2.0000000000000002E-5</v>
      </c>
      <c r="E141" s="299" t="s">
        <v>185</v>
      </c>
      <c r="F141" s="297">
        <v>0</v>
      </c>
      <c r="G141" s="298">
        <v>0</v>
      </c>
      <c r="H141" s="300">
        <v>0</v>
      </c>
      <c r="I141" s="297">
        <v>0</v>
      </c>
      <c r="J141" s="298">
        <v>0</v>
      </c>
      <c r="K141" s="301" t="s">
        <v>185</v>
      </c>
    </row>
    <row r="142" spans="1:11" ht="14.4" customHeight="1" thickBot="1" x14ac:dyDescent="0.35">
      <c r="A142" s="314" t="s">
        <v>314</v>
      </c>
      <c r="B142" s="292">
        <v>0</v>
      </c>
      <c r="C142" s="292">
        <v>2.0000000000000002E-5</v>
      </c>
      <c r="D142" s="293">
        <v>2.0000000000000002E-5</v>
      </c>
      <c r="E142" s="302" t="s">
        <v>185</v>
      </c>
      <c r="F142" s="292">
        <v>0</v>
      </c>
      <c r="G142" s="293">
        <v>0</v>
      </c>
      <c r="H142" s="295">
        <v>0</v>
      </c>
      <c r="I142" s="292">
        <v>0</v>
      </c>
      <c r="J142" s="293">
        <v>0</v>
      </c>
      <c r="K142" s="303" t="s">
        <v>185</v>
      </c>
    </row>
    <row r="143" spans="1:11" ht="14.4" customHeight="1" thickBot="1" x14ac:dyDescent="0.35">
      <c r="A143" s="313" t="s">
        <v>315</v>
      </c>
      <c r="B143" s="297">
        <v>5.1460792135820004</v>
      </c>
      <c r="C143" s="297">
        <v>4.9090800000000003</v>
      </c>
      <c r="D143" s="298">
        <v>-0.23699921358199999</v>
      </c>
      <c r="E143" s="304">
        <v>0.95394567325000001</v>
      </c>
      <c r="F143" s="297">
        <v>4.0926489969600004</v>
      </c>
      <c r="G143" s="298">
        <v>3.75159491388</v>
      </c>
      <c r="H143" s="300">
        <v>0</v>
      </c>
      <c r="I143" s="297">
        <v>0</v>
      </c>
      <c r="J143" s="298">
        <v>-3.75159491388</v>
      </c>
      <c r="K143" s="305">
        <v>0</v>
      </c>
    </row>
    <row r="144" spans="1:11" ht="14.4" customHeight="1" thickBot="1" x14ac:dyDescent="0.35">
      <c r="A144" s="314" t="s">
        <v>316</v>
      </c>
      <c r="B144" s="292">
        <v>5.1460792135820004</v>
      </c>
      <c r="C144" s="292">
        <v>4.9090800000000003</v>
      </c>
      <c r="D144" s="293">
        <v>-0.23699921358199999</v>
      </c>
      <c r="E144" s="294">
        <v>0.95394567325000001</v>
      </c>
      <c r="F144" s="292">
        <v>4.0926489969600004</v>
      </c>
      <c r="G144" s="293">
        <v>3.75159491388</v>
      </c>
      <c r="H144" s="295">
        <v>0</v>
      </c>
      <c r="I144" s="292">
        <v>0</v>
      </c>
      <c r="J144" s="293">
        <v>-3.75159491388</v>
      </c>
      <c r="K144" s="296">
        <v>0</v>
      </c>
    </row>
    <row r="145" spans="1:11" ht="14.4" customHeight="1" thickBot="1" x14ac:dyDescent="0.35">
      <c r="A145" s="311" t="s">
        <v>317</v>
      </c>
      <c r="B145" s="292">
        <v>0</v>
      </c>
      <c r="C145" s="292">
        <v>0</v>
      </c>
      <c r="D145" s="293">
        <v>0</v>
      </c>
      <c r="E145" s="294">
        <v>1</v>
      </c>
      <c r="F145" s="292">
        <v>0</v>
      </c>
      <c r="G145" s="293">
        <v>0</v>
      </c>
      <c r="H145" s="295">
        <v>0</v>
      </c>
      <c r="I145" s="292">
        <v>36.72092</v>
      </c>
      <c r="J145" s="293">
        <v>36.72092</v>
      </c>
      <c r="K145" s="303" t="s">
        <v>204</v>
      </c>
    </row>
    <row r="146" spans="1:11" ht="14.4" customHeight="1" thickBot="1" x14ac:dyDescent="0.35">
      <c r="A146" s="317" t="s">
        <v>318</v>
      </c>
      <c r="B146" s="297">
        <v>0</v>
      </c>
      <c r="C146" s="297">
        <v>0</v>
      </c>
      <c r="D146" s="298">
        <v>0</v>
      </c>
      <c r="E146" s="304">
        <v>1</v>
      </c>
      <c r="F146" s="297">
        <v>0</v>
      </c>
      <c r="G146" s="298">
        <v>0</v>
      </c>
      <c r="H146" s="300">
        <v>0</v>
      </c>
      <c r="I146" s="297">
        <v>36.72092</v>
      </c>
      <c r="J146" s="298">
        <v>36.72092</v>
      </c>
      <c r="K146" s="301" t="s">
        <v>204</v>
      </c>
    </row>
    <row r="147" spans="1:11" ht="14.4" customHeight="1" thickBot="1" x14ac:dyDescent="0.35">
      <c r="A147" s="313" t="s">
        <v>319</v>
      </c>
      <c r="B147" s="297">
        <v>0</v>
      </c>
      <c r="C147" s="297">
        <v>0</v>
      </c>
      <c r="D147" s="298">
        <v>0</v>
      </c>
      <c r="E147" s="304">
        <v>1</v>
      </c>
      <c r="F147" s="297">
        <v>0</v>
      </c>
      <c r="G147" s="298">
        <v>0</v>
      </c>
      <c r="H147" s="300">
        <v>0</v>
      </c>
      <c r="I147" s="297">
        <v>36.72092</v>
      </c>
      <c r="J147" s="298">
        <v>36.72092</v>
      </c>
      <c r="K147" s="301" t="s">
        <v>204</v>
      </c>
    </row>
    <row r="148" spans="1:11" ht="14.4" customHeight="1" thickBot="1" x14ac:dyDescent="0.35">
      <c r="A148" s="314" t="s">
        <v>320</v>
      </c>
      <c r="B148" s="292">
        <v>0</v>
      </c>
      <c r="C148" s="292">
        <v>0</v>
      </c>
      <c r="D148" s="293">
        <v>0</v>
      </c>
      <c r="E148" s="294">
        <v>1</v>
      </c>
      <c r="F148" s="292">
        <v>0</v>
      </c>
      <c r="G148" s="293">
        <v>0</v>
      </c>
      <c r="H148" s="295">
        <v>0</v>
      </c>
      <c r="I148" s="292">
        <v>36.72092</v>
      </c>
      <c r="J148" s="293">
        <v>36.72092</v>
      </c>
      <c r="K148" s="303" t="s">
        <v>204</v>
      </c>
    </row>
    <row r="149" spans="1:11" ht="14.4" customHeight="1" thickBot="1" x14ac:dyDescent="0.35">
      <c r="A149" s="311" t="s">
        <v>321</v>
      </c>
      <c r="B149" s="292">
        <v>57</v>
      </c>
      <c r="C149" s="292">
        <v>92.691999999999993</v>
      </c>
      <c r="D149" s="293">
        <v>35.692</v>
      </c>
      <c r="E149" s="294">
        <v>1.6261754385959999</v>
      </c>
      <c r="F149" s="292">
        <v>224.89561169089799</v>
      </c>
      <c r="G149" s="293">
        <v>206.154310716656</v>
      </c>
      <c r="H149" s="295">
        <v>5.1559999999999997</v>
      </c>
      <c r="I149" s="292">
        <v>239.37200000000001</v>
      </c>
      <c r="J149" s="293">
        <v>33.217689283342999</v>
      </c>
      <c r="K149" s="296">
        <v>1.0643693676370001</v>
      </c>
    </row>
    <row r="150" spans="1:11" ht="14.4" customHeight="1" thickBot="1" x14ac:dyDescent="0.35">
      <c r="A150" s="317" t="s">
        <v>322</v>
      </c>
      <c r="B150" s="297">
        <v>57</v>
      </c>
      <c r="C150" s="297">
        <v>92.691999999999993</v>
      </c>
      <c r="D150" s="298">
        <v>35.692</v>
      </c>
      <c r="E150" s="304">
        <v>1.6261754385959999</v>
      </c>
      <c r="F150" s="297">
        <v>224.89561169089799</v>
      </c>
      <c r="G150" s="298">
        <v>206.154310716656</v>
      </c>
      <c r="H150" s="300">
        <v>5.1559999999999997</v>
      </c>
      <c r="I150" s="297">
        <v>239.37200000000001</v>
      </c>
      <c r="J150" s="298">
        <v>33.217689283342999</v>
      </c>
      <c r="K150" s="305">
        <v>1.0643693676370001</v>
      </c>
    </row>
    <row r="151" spans="1:11" ht="14.4" customHeight="1" thickBot="1" x14ac:dyDescent="0.35">
      <c r="A151" s="313" t="s">
        <v>323</v>
      </c>
      <c r="B151" s="297">
        <v>57</v>
      </c>
      <c r="C151" s="297">
        <v>56.6</v>
      </c>
      <c r="D151" s="298">
        <v>-0.4</v>
      </c>
      <c r="E151" s="304">
        <v>0.99298245614000002</v>
      </c>
      <c r="F151" s="297">
        <v>182.000000000048</v>
      </c>
      <c r="G151" s="298">
        <v>166.833333333377</v>
      </c>
      <c r="H151" s="300">
        <v>0</v>
      </c>
      <c r="I151" s="297">
        <v>182.65600000000001</v>
      </c>
      <c r="J151" s="298">
        <v>15.822666666622</v>
      </c>
      <c r="K151" s="305">
        <v>1.0036043956039999</v>
      </c>
    </row>
    <row r="152" spans="1:11" ht="14.4" customHeight="1" thickBot="1" x14ac:dyDescent="0.35">
      <c r="A152" s="314" t="s">
        <v>324</v>
      </c>
      <c r="B152" s="292">
        <v>57</v>
      </c>
      <c r="C152" s="292">
        <v>56.6</v>
      </c>
      <c r="D152" s="293">
        <v>-0.4</v>
      </c>
      <c r="E152" s="294">
        <v>0.99298245614000002</v>
      </c>
      <c r="F152" s="292">
        <v>182.000000000048</v>
      </c>
      <c r="G152" s="293">
        <v>166.833333333377</v>
      </c>
      <c r="H152" s="295">
        <v>0</v>
      </c>
      <c r="I152" s="292">
        <v>182.65600000000001</v>
      </c>
      <c r="J152" s="293">
        <v>15.822666666622</v>
      </c>
      <c r="K152" s="296">
        <v>1.0036043956039999</v>
      </c>
    </row>
    <row r="153" spans="1:11" ht="14.4" customHeight="1" thickBot="1" x14ac:dyDescent="0.35">
      <c r="A153" s="316" t="s">
        <v>325</v>
      </c>
      <c r="B153" s="292">
        <v>0</v>
      </c>
      <c r="C153" s="292">
        <v>36.091999999999999</v>
      </c>
      <c r="D153" s="293">
        <v>36.091999999999999</v>
      </c>
      <c r="E153" s="302" t="s">
        <v>204</v>
      </c>
      <c r="F153" s="292">
        <v>42.895611690849002</v>
      </c>
      <c r="G153" s="293">
        <v>39.320977383279001</v>
      </c>
      <c r="H153" s="295">
        <v>5.1559999999999997</v>
      </c>
      <c r="I153" s="292">
        <v>56.716000000000001</v>
      </c>
      <c r="J153" s="293">
        <v>17.395022616719999</v>
      </c>
      <c r="K153" s="296">
        <v>1.3221865306110001</v>
      </c>
    </row>
    <row r="154" spans="1:11" ht="14.4" customHeight="1" thickBot="1" x14ac:dyDescent="0.35">
      <c r="A154" s="314" t="s">
        <v>326</v>
      </c>
      <c r="B154" s="292">
        <v>0</v>
      </c>
      <c r="C154" s="292">
        <v>36.091999999999999</v>
      </c>
      <c r="D154" s="293">
        <v>36.091999999999999</v>
      </c>
      <c r="E154" s="302" t="s">
        <v>204</v>
      </c>
      <c r="F154" s="292">
        <v>42.895611690849002</v>
      </c>
      <c r="G154" s="293">
        <v>39.320977383279001</v>
      </c>
      <c r="H154" s="295">
        <v>5.1559999999999997</v>
      </c>
      <c r="I154" s="292">
        <v>56.716000000000001</v>
      </c>
      <c r="J154" s="293">
        <v>17.395022616719999</v>
      </c>
      <c r="K154" s="296">
        <v>1.3221865306110001</v>
      </c>
    </row>
    <row r="155" spans="1:11" ht="14.4" customHeight="1" thickBot="1" x14ac:dyDescent="0.35">
      <c r="A155" s="310" t="s">
        <v>327</v>
      </c>
      <c r="B155" s="292">
        <v>2936.4428464133798</v>
      </c>
      <c r="C155" s="292">
        <v>3159.1585599999999</v>
      </c>
      <c r="D155" s="293">
        <v>222.715713586617</v>
      </c>
      <c r="E155" s="294">
        <v>1.0758454106669999</v>
      </c>
      <c r="F155" s="292">
        <v>3459.9011169897599</v>
      </c>
      <c r="G155" s="293">
        <v>3171.5760239072802</v>
      </c>
      <c r="H155" s="295">
        <v>270.58913000000001</v>
      </c>
      <c r="I155" s="292">
        <v>2913.0504299999998</v>
      </c>
      <c r="J155" s="293">
        <v>-258.52559390727799</v>
      </c>
      <c r="K155" s="296">
        <v>0.84194615149399998</v>
      </c>
    </row>
    <row r="156" spans="1:11" ht="14.4" customHeight="1" thickBot="1" x14ac:dyDescent="0.35">
      <c r="A156" s="315" t="s">
        <v>328</v>
      </c>
      <c r="B156" s="297">
        <v>2936.4428464133798</v>
      </c>
      <c r="C156" s="297">
        <v>3159.1585599999999</v>
      </c>
      <c r="D156" s="298">
        <v>222.715713586617</v>
      </c>
      <c r="E156" s="304">
        <v>1.0758454106669999</v>
      </c>
      <c r="F156" s="297">
        <v>3459.9011169897599</v>
      </c>
      <c r="G156" s="298">
        <v>3171.5760239072802</v>
      </c>
      <c r="H156" s="300">
        <v>270.58913000000001</v>
      </c>
      <c r="I156" s="297">
        <v>2913.0504299999998</v>
      </c>
      <c r="J156" s="298">
        <v>-258.52559390727799</v>
      </c>
      <c r="K156" s="305">
        <v>0.84194615149399998</v>
      </c>
    </row>
    <row r="157" spans="1:11" ht="14.4" customHeight="1" thickBot="1" x14ac:dyDescent="0.35">
      <c r="A157" s="317" t="s">
        <v>21</v>
      </c>
      <c r="B157" s="297">
        <v>2936.4428464133798</v>
      </c>
      <c r="C157" s="297">
        <v>3159.1585599999999</v>
      </c>
      <c r="D157" s="298">
        <v>222.715713586617</v>
      </c>
      <c r="E157" s="304">
        <v>1.0758454106669999</v>
      </c>
      <c r="F157" s="297">
        <v>3459.9011169897599</v>
      </c>
      <c r="G157" s="298">
        <v>3171.5760239072802</v>
      </c>
      <c r="H157" s="300">
        <v>270.58913000000001</v>
      </c>
      <c r="I157" s="297">
        <v>2913.0504299999998</v>
      </c>
      <c r="J157" s="298">
        <v>-258.52559390727799</v>
      </c>
      <c r="K157" s="305">
        <v>0.84194615149399998</v>
      </c>
    </row>
    <row r="158" spans="1:11" ht="14.4" customHeight="1" thickBot="1" x14ac:dyDescent="0.35">
      <c r="A158" s="313" t="s">
        <v>329</v>
      </c>
      <c r="B158" s="297">
        <v>35</v>
      </c>
      <c r="C158" s="297">
        <v>81.84</v>
      </c>
      <c r="D158" s="298">
        <v>46.84</v>
      </c>
      <c r="E158" s="304">
        <v>2.338285714285</v>
      </c>
      <c r="F158" s="297">
        <v>88.589276200903996</v>
      </c>
      <c r="G158" s="298">
        <v>81.206836517495006</v>
      </c>
      <c r="H158" s="300">
        <v>2.0499999999999998</v>
      </c>
      <c r="I158" s="297">
        <v>24.628</v>
      </c>
      <c r="J158" s="298">
        <v>-56.578836517494999</v>
      </c>
      <c r="K158" s="305">
        <v>0.278002045576</v>
      </c>
    </row>
    <row r="159" spans="1:11" ht="14.4" customHeight="1" thickBot="1" x14ac:dyDescent="0.35">
      <c r="A159" s="314" t="s">
        <v>330</v>
      </c>
      <c r="B159" s="292">
        <v>35</v>
      </c>
      <c r="C159" s="292">
        <v>81.84</v>
      </c>
      <c r="D159" s="293">
        <v>46.84</v>
      </c>
      <c r="E159" s="294">
        <v>2.338285714285</v>
      </c>
      <c r="F159" s="292">
        <v>88.589276200903996</v>
      </c>
      <c r="G159" s="293">
        <v>81.206836517495006</v>
      </c>
      <c r="H159" s="295">
        <v>2.0499999999999998</v>
      </c>
      <c r="I159" s="292">
        <v>24.628</v>
      </c>
      <c r="J159" s="293">
        <v>-56.578836517494999</v>
      </c>
      <c r="K159" s="296">
        <v>0.278002045576</v>
      </c>
    </row>
    <row r="160" spans="1:11" ht="14.4" customHeight="1" thickBot="1" x14ac:dyDescent="0.35">
      <c r="A160" s="313" t="s">
        <v>331</v>
      </c>
      <c r="B160" s="297">
        <v>49.006946413382003</v>
      </c>
      <c r="C160" s="297">
        <v>71.032319999999999</v>
      </c>
      <c r="D160" s="298">
        <v>22.025373586617</v>
      </c>
      <c r="E160" s="304">
        <v>1.449433706822</v>
      </c>
      <c r="F160" s="297">
        <v>79.438608827576999</v>
      </c>
      <c r="G160" s="298">
        <v>72.818724758612007</v>
      </c>
      <c r="H160" s="300">
        <v>8.2315000000000005</v>
      </c>
      <c r="I160" s="297">
        <v>65.637820000000005</v>
      </c>
      <c r="J160" s="298">
        <v>-7.1809047586119998</v>
      </c>
      <c r="K160" s="305">
        <v>0.82627101567700001</v>
      </c>
    </row>
    <row r="161" spans="1:11" ht="14.4" customHeight="1" thickBot="1" x14ac:dyDescent="0.35">
      <c r="A161" s="314" t="s">
        <v>332</v>
      </c>
      <c r="B161" s="292">
        <v>49.006946413382003</v>
      </c>
      <c r="C161" s="292">
        <v>71.032319999999999</v>
      </c>
      <c r="D161" s="293">
        <v>22.025373586617</v>
      </c>
      <c r="E161" s="294">
        <v>1.449433706822</v>
      </c>
      <c r="F161" s="292">
        <v>0</v>
      </c>
      <c r="G161" s="293">
        <v>0</v>
      </c>
      <c r="H161" s="295">
        <v>0</v>
      </c>
      <c r="I161" s="292">
        <v>6.0396132539608503E-14</v>
      </c>
      <c r="J161" s="293">
        <v>6.0396132539608503E-14</v>
      </c>
      <c r="K161" s="303" t="s">
        <v>185</v>
      </c>
    </row>
    <row r="162" spans="1:11" ht="14.4" customHeight="1" thickBot="1" x14ac:dyDescent="0.35">
      <c r="A162" s="314" t="s">
        <v>333</v>
      </c>
      <c r="B162" s="292">
        <v>0</v>
      </c>
      <c r="C162" s="292">
        <v>0</v>
      </c>
      <c r="D162" s="293">
        <v>0</v>
      </c>
      <c r="E162" s="294">
        <v>1</v>
      </c>
      <c r="F162" s="292">
        <v>5.1769290724859998</v>
      </c>
      <c r="G162" s="293">
        <v>4.7455183164449997</v>
      </c>
      <c r="H162" s="295">
        <v>0.22</v>
      </c>
      <c r="I162" s="292">
        <v>0.22</v>
      </c>
      <c r="J162" s="293">
        <v>-4.5255183164449999</v>
      </c>
      <c r="K162" s="296">
        <v>4.2496236073000002E-2</v>
      </c>
    </row>
    <row r="163" spans="1:11" ht="14.4" customHeight="1" thickBot="1" x14ac:dyDescent="0.35">
      <c r="A163" s="314" t="s">
        <v>334</v>
      </c>
      <c r="B163" s="292">
        <v>0</v>
      </c>
      <c r="C163" s="292">
        <v>0</v>
      </c>
      <c r="D163" s="293">
        <v>0</v>
      </c>
      <c r="E163" s="294">
        <v>1</v>
      </c>
      <c r="F163" s="292">
        <v>74.261679755090995</v>
      </c>
      <c r="G163" s="293">
        <v>68.073206442165997</v>
      </c>
      <c r="H163" s="295">
        <v>8.0114999999999998</v>
      </c>
      <c r="I163" s="292">
        <v>65.417820000000006</v>
      </c>
      <c r="J163" s="293">
        <v>-2.6553864421659998</v>
      </c>
      <c r="K163" s="296">
        <v>0.88090951101199999</v>
      </c>
    </row>
    <row r="164" spans="1:11" ht="14.4" customHeight="1" thickBot="1" x14ac:dyDescent="0.35">
      <c r="A164" s="313" t="s">
        <v>335</v>
      </c>
      <c r="B164" s="297">
        <v>68.435900000000004</v>
      </c>
      <c r="C164" s="297">
        <v>72.135599999999997</v>
      </c>
      <c r="D164" s="298">
        <v>3.6996999999989999</v>
      </c>
      <c r="E164" s="304">
        <v>1.054060807266</v>
      </c>
      <c r="F164" s="297">
        <v>71.069478879645999</v>
      </c>
      <c r="G164" s="298">
        <v>65.147022306341995</v>
      </c>
      <c r="H164" s="300">
        <v>6.3055000000000003</v>
      </c>
      <c r="I164" s="297">
        <v>69.300920000000005</v>
      </c>
      <c r="J164" s="298">
        <v>4.153897693657</v>
      </c>
      <c r="K164" s="305">
        <v>0.97511507179199997</v>
      </c>
    </row>
    <row r="165" spans="1:11" ht="14.4" customHeight="1" thickBot="1" x14ac:dyDescent="0.35">
      <c r="A165" s="314" t="s">
        <v>336</v>
      </c>
      <c r="B165" s="292">
        <v>68.435900000000004</v>
      </c>
      <c r="C165" s="292">
        <v>72.135599999999997</v>
      </c>
      <c r="D165" s="293">
        <v>3.6996999999989999</v>
      </c>
      <c r="E165" s="294">
        <v>1.054060807266</v>
      </c>
      <c r="F165" s="292">
        <v>71.069478879645999</v>
      </c>
      <c r="G165" s="293">
        <v>65.147022306341995</v>
      </c>
      <c r="H165" s="295">
        <v>6.3055000000000003</v>
      </c>
      <c r="I165" s="292">
        <v>69.300920000000005</v>
      </c>
      <c r="J165" s="293">
        <v>4.153897693657</v>
      </c>
      <c r="K165" s="296">
        <v>0.97511507179199997</v>
      </c>
    </row>
    <row r="166" spans="1:11" ht="14.4" customHeight="1" thickBot="1" x14ac:dyDescent="0.35">
      <c r="A166" s="313" t="s">
        <v>337</v>
      </c>
      <c r="B166" s="297">
        <v>0</v>
      </c>
      <c r="C166" s="297">
        <v>1.7000000000000001E-2</v>
      </c>
      <c r="D166" s="298">
        <v>1.7000000000000001E-2</v>
      </c>
      <c r="E166" s="299" t="s">
        <v>204</v>
      </c>
      <c r="F166" s="297">
        <v>0</v>
      </c>
      <c r="G166" s="298">
        <v>0</v>
      </c>
      <c r="H166" s="300">
        <v>0</v>
      </c>
      <c r="I166" s="297">
        <v>0</v>
      </c>
      <c r="J166" s="298">
        <v>0</v>
      </c>
      <c r="K166" s="301" t="s">
        <v>185</v>
      </c>
    </row>
    <row r="167" spans="1:11" ht="14.4" customHeight="1" thickBot="1" x14ac:dyDescent="0.35">
      <c r="A167" s="314" t="s">
        <v>338</v>
      </c>
      <c r="B167" s="292">
        <v>0</v>
      </c>
      <c r="C167" s="292">
        <v>1.7000000000000001E-2</v>
      </c>
      <c r="D167" s="293">
        <v>1.7000000000000001E-2</v>
      </c>
      <c r="E167" s="302" t="s">
        <v>204</v>
      </c>
      <c r="F167" s="292">
        <v>0</v>
      </c>
      <c r="G167" s="293">
        <v>0</v>
      </c>
      <c r="H167" s="295">
        <v>0</v>
      </c>
      <c r="I167" s="292">
        <v>0</v>
      </c>
      <c r="J167" s="293">
        <v>0</v>
      </c>
      <c r="K167" s="303" t="s">
        <v>185</v>
      </c>
    </row>
    <row r="168" spans="1:11" ht="14.4" customHeight="1" thickBot="1" x14ac:dyDescent="0.35">
      <c r="A168" s="313" t="s">
        <v>339</v>
      </c>
      <c r="B168" s="297">
        <v>441</v>
      </c>
      <c r="C168" s="297">
        <v>386.58582000000001</v>
      </c>
      <c r="D168" s="298">
        <v>-54.414179999999</v>
      </c>
      <c r="E168" s="304">
        <v>0.87661183673400001</v>
      </c>
      <c r="F168" s="297">
        <v>751</v>
      </c>
      <c r="G168" s="298">
        <v>688.41666666666697</v>
      </c>
      <c r="H168" s="300">
        <v>59.411969999999997</v>
      </c>
      <c r="I168" s="297">
        <v>588.30905000000098</v>
      </c>
      <c r="J168" s="298">
        <v>-100.107616666666</v>
      </c>
      <c r="K168" s="305">
        <v>0.78336757656400002</v>
      </c>
    </row>
    <row r="169" spans="1:11" ht="14.4" customHeight="1" thickBot="1" x14ac:dyDescent="0.35">
      <c r="A169" s="314" t="s">
        <v>340</v>
      </c>
      <c r="B169" s="292">
        <v>441</v>
      </c>
      <c r="C169" s="292">
        <v>386.58582000000001</v>
      </c>
      <c r="D169" s="293">
        <v>-54.414179999999</v>
      </c>
      <c r="E169" s="294">
        <v>0.87661183673400001</v>
      </c>
      <c r="F169" s="292">
        <v>751</v>
      </c>
      <c r="G169" s="293">
        <v>688.41666666666697</v>
      </c>
      <c r="H169" s="295">
        <v>59.411969999999997</v>
      </c>
      <c r="I169" s="292">
        <v>588.30905000000098</v>
      </c>
      <c r="J169" s="293">
        <v>-100.107616666666</v>
      </c>
      <c r="K169" s="296">
        <v>0.78336757656400002</v>
      </c>
    </row>
    <row r="170" spans="1:11" ht="14.4" customHeight="1" thickBot="1" x14ac:dyDescent="0.35">
      <c r="A170" s="313" t="s">
        <v>341</v>
      </c>
      <c r="B170" s="297">
        <v>2343</v>
      </c>
      <c r="C170" s="297">
        <v>2547.5478199999998</v>
      </c>
      <c r="D170" s="298">
        <v>204.54782</v>
      </c>
      <c r="E170" s="304">
        <v>1.0873016730680001</v>
      </c>
      <c r="F170" s="297">
        <v>2469.80375308163</v>
      </c>
      <c r="G170" s="298">
        <v>2263.98677365816</v>
      </c>
      <c r="H170" s="300">
        <v>194.59016</v>
      </c>
      <c r="I170" s="297">
        <v>2165.1746400000002</v>
      </c>
      <c r="J170" s="298">
        <v>-98.812133658159993</v>
      </c>
      <c r="K170" s="305">
        <v>0.87665857552299997</v>
      </c>
    </row>
    <row r="171" spans="1:11" ht="14.4" customHeight="1" thickBot="1" x14ac:dyDescent="0.35">
      <c r="A171" s="314" t="s">
        <v>342</v>
      </c>
      <c r="B171" s="292">
        <v>2343</v>
      </c>
      <c r="C171" s="292">
        <v>2547.5478199999998</v>
      </c>
      <c r="D171" s="293">
        <v>204.54782</v>
      </c>
      <c r="E171" s="294">
        <v>1.0873016730680001</v>
      </c>
      <c r="F171" s="292">
        <v>2469.80375308163</v>
      </c>
      <c r="G171" s="293">
        <v>2263.98677365816</v>
      </c>
      <c r="H171" s="295">
        <v>194.59016</v>
      </c>
      <c r="I171" s="292">
        <v>2165.1746400000002</v>
      </c>
      <c r="J171" s="293">
        <v>-98.812133658159993</v>
      </c>
      <c r="K171" s="296">
        <v>0.87665857552299997</v>
      </c>
    </row>
    <row r="172" spans="1:11" ht="14.4" customHeight="1" thickBot="1" x14ac:dyDescent="0.35">
      <c r="A172" s="318"/>
      <c r="B172" s="292">
        <v>-68891.723827809605</v>
      </c>
      <c r="C172" s="292">
        <v>-83104.695139999996</v>
      </c>
      <c r="D172" s="293">
        <v>-14212.971312190401</v>
      </c>
      <c r="E172" s="294">
        <v>1.206308835408</v>
      </c>
      <c r="F172" s="292">
        <v>-82310.204660720206</v>
      </c>
      <c r="G172" s="293">
        <v>-75451.020938993504</v>
      </c>
      <c r="H172" s="295">
        <v>-8771.7068299999901</v>
      </c>
      <c r="I172" s="292">
        <v>-77051.255499999999</v>
      </c>
      <c r="J172" s="293">
        <v>-1600.2345610064899</v>
      </c>
      <c r="K172" s="296">
        <v>0.93610817537799995</v>
      </c>
    </row>
    <row r="173" spans="1:11" ht="14.4" customHeight="1" thickBot="1" x14ac:dyDescent="0.35">
      <c r="A173" s="319" t="s">
        <v>27</v>
      </c>
      <c r="B173" s="306">
        <v>-68891.723827809605</v>
      </c>
      <c r="C173" s="306">
        <v>-83104.695139999996</v>
      </c>
      <c r="D173" s="307">
        <v>-14212.971312190401</v>
      </c>
      <c r="E173" s="308">
        <v>-0.71778909602300001</v>
      </c>
      <c r="F173" s="306">
        <v>-82310.204660720206</v>
      </c>
      <c r="G173" s="307">
        <v>-75451.020938993504</v>
      </c>
      <c r="H173" s="306">
        <v>-8771.7068299999901</v>
      </c>
      <c r="I173" s="306">
        <v>-77051.255499999999</v>
      </c>
      <c r="J173" s="307">
        <v>-1600.2345610064899</v>
      </c>
      <c r="K173" s="309">
        <v>0.93610817537799995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39" customWidth="1"/>
    <col min="2" max="2" width="61.109375" style="139" customWidth="1"/>
    <col min="3" max="3" width="9.5546875" style="80" customWidth="1"/>
    <col min="4" max="4" width="9.5546875" style="140" customWidth="1"/>
    <col min="5" max="5" width="2.21875" style="140" customWidth="1"/>
    <col min="6" max="6" width="9.5546875" style="141" customWidth="1"/>
    <col min="7" max="7" width="9.5546875" style="138" customWidth="1"/>
    <col min="8" max="9" width="9.5546875" style="80" customWidth="1"/>
    <col min="10" max="10" width="0" style="80" hidden="1" customWidth="1"/>
    <col min="11" max="16384" width="8.88671875" style="80"/>
  </cols>
  <sheetData>
    <row r="1" spans="1:10" ht="18.600000000000001" customHeight="1" thickBot="1" x14ac:dyDescent="0.4">
      <c r="A1" s="264" t="s">
        <v>60</v>
      </c>
      <c r="B1" s="265"/>
      <c r="C1" s="265"/>
      <c r="D1" s="265"/>
      <c r="E1" s="265"/>
      <c r="F1" s="265"/>
      <c r="G1" s="238"/>
      <c r="H1" s="266"/>
      <c r="I1" s="266"/>
    </row>
    <row r="2" spans="1:10" ht="14.4" customHeight="1" thickBot="1" x14ac:dyDescent="0.35">
      <c r="A2" s="151" t="s">
        <v>180</v>
      </c>
      <c r="B2" s="137"/>
      <c r="C2" s="137"/>
      <c r="D2" s="137"/>
      <c r="E2" s="137"/>
      <c r="F2" s="137"/>
    </row>
    <row r="3" spans="1:10" ht="14.4" customHeight="1" thickBot="1" x14ac:dyDescent="0.35">
      <c r="A3" s="151"/>
      <c r="B3" s="137"/>
      <c r="C3" s="209">
        <v>2013</v>
      </c>
      <c r="D3" s="210">
        <v>2014</v>
      </c>
      <c r="E3" s="7"/>
      <c r="F3" s="259">
        <v>2015</v>
      </c>
      <c r="G3" s="260"/>
      <c r="H3" s="260"/>
      <c r="I3" s="261"/>
    </row>
    <row r="4" spans="1:10" ht="14.4" customHeight="1" thickBot="1" x14ac:dyDescent="0.35">
      <c r="A4" s="214" t="s">
        <v>0</v>
      </c>
      <c r="B4" s="215" t="s">
        <v>158</v>
      </c>
      <c r="C4" s="262" t="s">
        <v>32</v>
      </c>
      <c r="D4" s="263"/>
      <c r="E4" s="216"/>
      <c r="F4" s="211" t="s">
        <v>32</v>
      </c>
      <c r="G4" s="212" t="s">
        <v>33</v>
      </c>
      <c r="H4" s="212" t="s">
        <v>29</v>
      </c>
      <c r="I4" s="213" t="s">
        <v>34</v>
      </c>
    </row>
    <row r="5" spans="1:10" ht="14.4" customHeight="1" x14ac:dyDescent="0.3">
      <c r="A5" s="320" t="s">
        <v>343</v>
      </c>
      <c r="B5" s="321" t="s">
        <v>344</v>
      </c>
      <c r="C5" s="322" t="s">
        <v>345</v>
      </c>
      <c r="D5" s="322" t="s">
        <v>345</v>
      </c>
      <c r="E5" s="322"/>
      <c r="F5" s="322" t="s">
        <v>345</v>
      </c>
      <c r="G5" s="322" t="s">
        <v>345</v>
      </c>
      <c r="H5" s="322" t="s">
        <v>345</v>
      </c>
      <c r="I5" s="323" t="s">
        <v>345</v>
      </c>
      <c r="J5" s="324" t="s">
        <v>30</v>
      </c>
    </row>
    <row r="6" spans="1:10" ht="14.4" customHeight="1" x14ac:dyDescent="0.3">
      <c r="A6" s="320" t="s">
        <v>343</v>
      </c>
      <c r="B6" s="321" t="s">
        <v>188</v>
      </c>
      <c r="C6" s="322">
        <v>653.9821999999989</v>
      </c>
      <c r="D6" s="322">
        <v>640.00813000000005</v>
      </c>
      <c r="E6" s="322"/>
      <c r="F6" s="322">
        <v>641.38540000000012</v>
      </c>
      <c r="G6" s="322">
        <v>640.9021767583215</v>
      </c>
      <c r="H6" s="322">
        <v>0.48322324167861552</v>
      </c>
      <c r="I6" s="323">
        <v>1.0007539734755198</v>
      </c>
      <c r="J6" s="324" t="s">
        <v>1</v>
      </c>
    </row>
    <row r="7" spans="1:10" ht="14.4" customHeight="1" x14ac:dyDescent="0.3">
      <c r="A7" s="320" t="s">
        <v>343</v>
      </c>
      <c r="B7" s="321" t="s">
        <v>189</v>
      </c>
      <c r="C7" s="322">
        <v>6.1598899999999999</v>
      </c>
      <c r="D7" s="322">
        <v>0</v>
      </c>
      <c r="E7" s="322"/>
      <c r="F7" s="322" t="s">
        <v>345</v>
      </c>
      <c r="G7" s="322" t="s">
        <v>345</v>
      </c>
      <c r="H7" s="322" t="s">
        <v>345</v>
      </c>
      <c r="I7" s="323" t="s">
        <v>345</v>
      </c>
      <c r="J7" s="324" t="s">
        <v>1</v>
      </c>
    </row>
    <row r="8" spans="1:10" ht="14.4" customHeight="1" x14ac:dyDescent="0.3">
      <c r="A8" s="320" t="s">
        <v>343</v>
      </c>
      <c r="B8" s="321" t="s">
        <v>190</v>
      </c>
      <c r="C8" s="322">
        <v>8.5510999999989998</v>
      </c>
      <c r="D8" s="322">
        <v>8.2989700000000006</v>
      </c>
      <c r="E8" s="322"/>
      <c r="F8" s="322">
        <v>14.437059999999997</v>
      </c>
      <c r="G8" s="322">
        <v>16.499999480289418</v>
      </c>
      <c r="H8" s="322">
        <v>-2.0629394802894208</v>
      </c>
      <c r="I8" s="323">
        <v>0.87497336089290378</v>
      </c>
      <c r="J8" s="324" t="s">
        <v>1</v>
      </c>
    </row>
    <row r="9" spans="1:10" ht="14.4" customHeight="1" x14ac:dyDescent="0.3">
      <c r="A9" s="320" t="s">
        <v>343</v>
      </c>
      <c r="B9" s="321" t="s">
        <v>191</v>
      </c>
      <c r="C9" s="322">
        <v>167.84668000000002</v>
      </c>
      <c r="D9" s="322">
        <v>174.36377999999999</v>
      </c>
      <c r="E9" s="322"/>
      <c r="F9" s="322">
        <v>168.72329000000002</v>
      </c>
      <c r="G9" s="322">
        <v>177.29723563301292</v>
      </c>
      <c r="H9" s="322">
        <v>-8.5739456330128974</v>
      </c>
      <c r="I9" s="323">
        <v>0.95164083860416138</v>
      </c>
      <c r="J9" s="324" t="s">
        <v>1</v>
      </c>
    </row>
    <row r="10" spans="1:10" ht="14.4" customHeight="1" x14ac:dyDescent="0.3">
      <c r="A10" s="320" t="s">
        <v>343</v>
      </c>
      <c r="B10" s="321" t="s">
        <v>346</v>
      </c>
      <c r="C10" s="322">
        <v>836.5398699999979</v>
      </c>
      <c r="D10" s="322">
        <v>822.67088000000012</v>
      </c>
      <c r="E10" s="322"/>
      <c r="F10" s="322">
        <v>824.54575000000011</v>
      </c>
      <c r="G10" s="322">
        <v>834.69941187162385</v>
      </c>
      <c r="H10" s="322">
        <v>-10.15366187162374</v>
      </c>
      <c r="I10" s="323">
        <v>0.9878355468720692</v>
      </c>
      <c r="J10" s="324" t="s">
        <v>347</v>
      </c>
    </row>
    <row r="12" spans="1:10" ht="14.4" customHeight="1" x14ac:dyDescent="0.3">
      <c r="A12" s="320" t="s">
        <v>343</v>
      </c>
      <c r="B12" s="321" t="s">
        <v>344</v>
      </c>
      <c r="C12" s="322" t="s">
        <v>345</v>
      </c>
      <c r="D12" s="322" t="s">
        <v>345</v>
      </c>
      <c r="E12" s="322"/>
      <c r="F12" s="322" t="s">
        <v>345</v>
      </c>
      <c r="G12" s="322" t="s">
        <v>345</v>
      </c>
      <c r="H12" s="322" t="s">
        <v>345</v>
      </c>
      <c r="I12" s="323" t="s">
        <v>345</v>
      </c>
      <c r="J12" s="324" t="s">
        <v>30</v>
      </c>
    </row>
    <row r="13" spans="1:10" ht="14.4" customHeight="1" x14ac:dyDescent="0.3">
      <c r="A13" s="320" t="s">
        <v>348</v>
      </c>
      <c r="B13" s="321" t="s">
        <v>349</v>
      </c>
      <c r="C13" s="322" t="s">
        <v>345</v>
      </c>
      <c r="D13" s="322" t="s">
        <v>345</v>
      </c>
      <c r="E13" s="322"/>
      <c r="F13" s="322" t="s">
        <v>345</v>
      </c>
      <c r="G13" s="322" t="s">
        <v>345</v>
      </c>
      <c r="H13" s="322" t="s">
        <v>345</v>
      </c>
      <c r="I13" s="323" t="s">
        <v>345</v>
      </c>
      <c r="J13" s="324" t="s">
        <v>0</v>
      </c>
    </row>
    <row r="14" spans="1:10" ht="14.4" customHeight="1" x14ac:dyDescent="0.3">
      <c r="A14" s="320" t="s">
        <v>348</v>
      </c>
      <c r="B14" s="321" t="s">
        <v>188</v>
      </c>
      <c r="C14" s="322">
        <v>630.19373999999891</v>
      </c>
      <c r="D14" s="322">
        <v>623.28084000000001</v>
      </c>
      <c r="E14" s="322"/>
      <c r="F14" s="322">
        <v>627.30697000000009</v>
      </c>
      <c r="G14" s="322">
        <v>626.08331361322541</v>
      </c>
      <c r="H14" s="322">
        <v>1.2236563867746781</v>
      </c>
      <c r="I14" s="323">
        <v>1.0019544625454282</v>
      </c>
      <c r="J14" s="324" t="s">
        <v>1</v>
      </c>
    </row>
    <row r="15" spans="1:10" ht="14.4" customHeight="1" x14ac:dyDescent="0.3">
      <c r="A15" s="320" t="s">
        <v>348</v>
      </c>
      <c r="B15" s="321" t="s">
        <v>189</v>
      </c>
      <c r="C15" s="322">
        <v>6.1598899999999999</v>
      </c>
      <c r="D15" s="322">
        <v>0</v>
      </c>
      <c r="E15" s="322"/>
      <c r="F15" s="322" t="s">
        <v>345</v>
      </c>
      <c r="G15" s="322" t="s">
        <v>345</v>
      </c>
      <c r="H15" s="322" t="s">
        <v>345</v>
      </c>
      <c r="I15" s="323" t="s">
        <v>345</v>
      </c>
      <c r="J15" s="324" t="s">
        <v>1</v>
      </c>
    </row>
    <row r="16" spans="1:10" ht="14.4" customHeight="1" x14ac:dyDescent="0.3">
      <c r="A16" s="320" t="s">
        <v>348</v>
      </c>
      <c r="B16" s="321" t="s">
        <v>190</v>
      </c>
      <c r="C16" s="322">
        <v>8.5510999999989998</v>
      </c>
      <c r="D16" s="322">
        <v>8.2989700000000006</v>
      </c>
      <c r="E16" s="322"/>
      <c r="F16" s="322">
        <v>14.437059999999997</v>
      </c>
      <c r="G16" s="322">
        <v>16.499999480289418</v>
      </c>
      <c r="H16" s="322">
        <v>-2.0629394802894208</v>
      </c>
      <c r="I16" s="323">
        <v>0.87497336089290378</v>
      </c>
      <c r="J16" s="324" t="s">
        <v>1</v>
      </c>
    </row>
    <row r="17" spans="1:10" ht="14.4" customHeight="1" x14ac:dyDescent="0.3">
      <c r="A17" s="320" t="s">
        <v>348</v>
      </c>
      <c r="B17" s="321" t="s">
        <v>191</v>
      </c>
      <c r="C17" s="322">
        <v>167.84668000000002</v>
      </c>
      <c r="D17" s="322">
        <v>174.36377999999999</v>
      </c>
      <c r="E17" s="322"/>
      <c r="F17" s="322">
        <v>168.72329000000002</v>
      </c>
      <c r="G17" s="322">
        <v>177.29723563301292</v>
      </c>
      <c r="H17" s="322">
        <v>-8.5739456330128974</v>
      </c>
      <c r="I17" s="323">
        <v>0.95164083860416138</v>
      </c>
      <c r="J17" s="324" t="s">
        <v>1</v>
      </c>
    </row>
    <row r="18" spans="1:10" ht="14.4" customHeight="1" x14ac:dyDescent="0.3">
      <c r="A18" s="320" t="s">
        <v>348</v>
      </c>
      <c r="B18" s="321" t="s">
        <v>350</v>
      </c>
      <c r="C18" s="322">
        <v>812.75140999999792</v>
      </c>
      <c r="D18" s="322">
        <v>805.94359000000009</v>
      </c>
      <c r="E18" s="322"/>
      <c r="F18" s="322">
        <v>810.46732000000009</v>
      </c>
      <c r="G18" s="322">
        <v>819.88054872652765</v>
      </c>
      <c r="H18" s="322">
        <v>-9.4132287265275636</v>
      </c>
      <c r="I18" s="323">
        <v>0.98851878027701889</v>
      </c>
      <c r="J18" s="324" t="s">
        <v>351</v>
      </c>
    </row>
    <row r="19" spans="1:10" ht="14.4" customHeight="1" x14ac:dyDescent="0.3">
      <c r="A19" s="320" t="s">
        <v>345</v>
      </c>
      <c r="B19" s="321" t="s">
        <v>345</v>
      </c>
      <c r="C19" s="322" t="s">
        <v>345</v>
      </c>
      <c r="D19" s="322" t="s">
        <v>345</v>
      </c>
      <c r="E19" s="322"/>
      <c r="F19" s="322" t="s">
        <v>345</v>
      </c>
      <c r="G19" s="322" t="s">
        <v>345</v>
      </c>
      <c r="H19" s="322" t="s">
        <v>345</v>
      </c>
      <c r="I19" s="323" t="s">
        <v>345</v>
      </c>
      <c r="J19" s="324" t="s">
        <v>352</v>
      </c>
    </row>
    <row r="20" spans="1:10" ht="14.4" customHeight="1" x14ac:dyDescent="0.3">
      <c r="A20" s="320" t="s">
        <v>353</v>
      </c>
      <c r="B20" s="321" t="s">
        <v>354</v>
      </c>
      <c r="C20" s="322" t="s">
        <v>345</v>
      </c>
      <c r="D20" s="322" t="s">
        <v>345</v>
      </c>
      <c r="E20" s="322"/>
      <c r="F20" s="322" t="s">
        <v>345</v>
      </c>
      <c r="G20" s="322" t="s">
        <v>345</v>
      </c>
      <c r="H20" s="322" t="s">
        <v>345</v>
      </c>
      <c r="I20" s="323" t="s">
        <v>345</v>
      </c>
      <c r="J20" s="324" t="s">
        <v>0</v>
      </c>
    </row>
    <row r="21" spans="1:10" ht="14.4" customHeight="1" x14ac:dyDescent="0.3">
      <c r="A21" s="320" t="s">
        <v>353</v>
      </c>
      <c r="B21" s="321" t="s">
        <v>188</v>
      </c>
      <c r="C21" s="322">
        <v>23.788460000000001</v>
      </c>
      <c r="D21" s="322">
        <v>16.727289999999996</v>
      </c>
      <c r="E21" s="322"/>
      <c r="F21" s="322">
        <v>14.078429999999999</v>
      </c>
      <c r="G21" s="322">
        <v>14.818863145096083</v>
      </c>
      <c r="H21" s="322">
        <v>-0.74043314509608393</v>
      </c>
      <c r="I21" s="323">
        <v>0.95003441641600483</v>
      </c>
      <c r="J21" s="324" t="s">
        <v>1</v>
      </c>
    </row>
    <row r="22" spans="1:10" ht="14.4" customHeight="1" x14ac:dyDescent="0.3">
      <c r="A22" s="320" t="s">
        <v>353</v>
      </c>
      <c r="B22" s="321" t="s">
        <v>355</v>
      </c>
      <c r="C22" s="322">
        <v>23.788460000000001</v>
      </c>
      <c r="D22" s="322">
        <v>16.727289999999996</v>
      </c>
      <c r="E22" s="322"/>
      <c r="F22" s="322">
        <v>14.078429999999999</v>
      </c>
      <c r="G22" s="322">
        <v>14.818863145096083</v>
      </c>
      <c r="H22" s="322">
        <v>-0.74043314509608393</v>
      </c>
      <c r="I22" s="323">
        <v>0.95003441641600483</v>
      </c>
      <c r="J22" s="324" t="s">
        <v>351</v>
      </c>
    </row>
    <row r="23" spans="1:10" ht="14.4" customHeight="1" x14ac:dyDescent="0.3">
      <c r="A23" s="320" t="s">
        <v>345</v>
      </c>
      <c r="B23" s="321" t="s">
        <v>345</v>
      </c>
      <c r="C23" s="322" t="s">
        <v>345</v>
      </c>
      <c r="D23" s="322" t="s">
        <v>345</v>
      </c>
      <c r="E23" s="322"/>
      <c r="F23" s="322" t="s">
        <v>345</v>
      </c>
      <c r="G23" s="322" t="s">
        <v>345</v>
      </c>
      <c r="H23" s="322" t="s">
        <v>345</v>
      </c>
      <c r="I23" s="323" t="s">
        <v>345</v>
      </c>
      <c r="J23" s="324" t="s">
        <v>352</v>
      </c>
    </row>
    <row r="24" spans="1:10" ht="14.4" customHeight="1" x14ac:dyDescent="0.3">
      <c r="A24" s="320" t="s">
        <v>343</v>
      </c>
      <c r="B24" s="321" t="s">
        <v>346</v>
      </c>
      <c r="C24" s="322">
        <v>836.5398699999979</v>
      </c>
      <c r="D24" s="322">
        <v>822.67088000000012</v>
      </c>
      <c r="E24" s="322"/>
      <c r="F24" s="322">
        <v>824.54575000000011</v>
      </c>
      <c r="G24" s="322">
        <v>834.69941187162374</v>
      </c>
      <c r="H24" s="322">
        <v>-10.153661871623626</v>
      </c>
      <c r="I24" s="323">
        <v>0.98783554687206943</v>
      </c>
      <c r="J24" s="324" t="s">
        <v>347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80" hidden="1" customWidth="1" outlineLevel="1"/>
    <col min="2" max="2" width="28.33203125" style="80" hidden="1" customWidth="1" outlineLevel="1"/>
    <col min="3" max="3" width="5.33203125" style="140" bestFit="1" customWidth="1" collapsed="1"/>
    <col min="4" max="4" width="18.77734375" style="144" customWidth="1"/>
    <col min="5" max="5" width="9" style="140" bestFit="1" customWidth="1"/>
    <col min="6" max="6" width="18.77734375" style="144" customWidth="1"/>
    <col min="7" max="7" width="5" style="140" customWidth="1"/>
    <col min="8" max="8" width="12.44140625" style="140" hidden="1" customWidth="1" outlineLevel="1"/>
    <col min="9" max="9" width="8.5546875" style="140" hidden="1" customWidth="1" outlineLevel="1"/>
    <col min="10" max="10" width="25.77734375" style="140" customWidth="1" collapsed="1"/>
    <col min="11" max="11" width="8.77734375" style="140" customWidth="1"/>
    <col min="12" max="13" width="7.77734375" style="138" customWidth="1"/>
    <col min="14" max="14" width="11.109375" style="138" customWidth="1"/>
    <col min="15" max="16384" width="8.88671875" style="80"/>
  </cols>
  <sheetData>
    <row r="1" spans="1:14" ht="18.600000000000001" customHeight="1" thickBot="1" x14ac:dyDescent="0.4">
      <c r="A1" s="271" t="s">
        <v>80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151" t="s">
        <v>180</v>
      </c>
      <c r="B2" s="40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143"/>
      <c r="N2" s="143"/>
    </row>
    <row r="3" spans="1:14" ht="14.4" customHeight="1" thickBot="1" x14ac:dyDescent="0.35">
      <c r="A3" s="40"/>
      <c r="B3" s="40"/>
      <c r="C3" s="267"/>
      <c r="D3" s="268"/>
      <c r="E3" s="268"/>
      <c r="F3" s="268"/>
      <c r="G3" s="268"/>
      <c r="H3" s="268"/>
      <c r="I3" s="268"/>
      <c r="J3" s="269" t="s">
        <v>51</v>
      </c>
      <c r="K3" s="270"/>
      <c r="L3" s="55">
        <f>IF(M3&lt;&gt;0,N3/M3,0)</f>
        <v>174.235507577264</v>
      </c>
      <c r="M3" s="55">
        <f>SUBTOTAL(9,M5:M1048576)</f>
        <v>3764</v>
      </c>
      <c r="N3" s="56">
        <f>SUBTOTAL(9,N5:N1048576)</f>
        <v>655822.45052082173</v>
      </c>
    </row>
    <row r="4" spans="1:14" s="139" customFormat="1" ht="14.4" customHeight="1" thickBot="1" x14ac:dyDescent="0.35">
      <c r="A4" s="325" t="s">
        <v>4</v>
      </c>
      <c r="B4" s="326" t="s">
        <v>5</v>
      </c>
      <c r="C4" s="326" t="s">
        <v>0</v>
      </c>
      <c r="D4" s="326" t="s">
        <v>6</v>
      </c>
      <c r="E4" s="326" t="s">
        <v>7</v>
      </c>
      <c r="F4" s="326" t="s">
        <v>1</v>
      </c>
      <c r="G4" s="326" t="s">
        <v>8</v>
      </c>
      <c r="H4" s="326" t="s">
        <v>9</v>
      </c>
      <c r="I4" s="326" t="s">
        <v>10</v>
      </c>
      <c r="J4" s="327" t="s">
        <v>11</v>
      </c>
      <c r="K4" s="327" t="s">
        <v>12</v>
      </c>
      <c r="L4" s="328" t="s">
        <v>64</v>
      </c>
      <c r="M4" s="328" t="s">
        <v>13</v>
      </c>
      <c r="N4" s="329" t="s">
        <v>75</v>
      </c>
    </row>
    <row r="5" spans="1:14" ht="14.4" customHeight="1" x14ac:dyDescent="0.3">
      <c r="A5" s="332" t="s">
        <v>343</v>
      </c>
      <c r="B5" s="333" t="s">
        <v>515</v>
      </c>
      <c r="C5" s="334" t="s">
        <v>348</v>
      </c>
      <c r="D5" s="335" t="s">
        <v>516</v>
      </c>
      <c r="E5" s="334" t="s">
        <v>356</v>
      </c>
      <c r="F5" s="335" t="s">
        <v>518</v>
      </c>
      <c r="G5" s="334" t="s">
        <v>357</v>
      </c>
      <c r="H5" s="334" t="s">
        <v>358</v>
      </c>
      <c r="I5" s="334" t="s">
        <v>359</v>
      </c>
      <c r="J5" s="334" t="s">
        <v>360</v>
      </c>
      <c r="K5" s="334" t="s">
        <v>361</v>
      </c>
      <c r="L5" s="336">
        <v>87.032197743698319</v>
      </c>
      <c r="M5" s="336">
        <v>70</v>
      </c>
      <c r="N5" s="337">
        <v>6092.2538420588826</v>
      </c>
    </row>
    <row r="6" spans="1:14" ht="14.4" customHeight="1" x14ac:dyDescent="0.3">
      <c r="A6" s="338" t="s">
        <v>343</v>
      </c>
      <c r="B6" s="339" t="s">
        <v>515</v>
      </c>
      <c r="C6" s="340" t="s">
        <v>348</v>
      </c>
      <c r="D6" s="341" t="s">
        <v>516</v>
      </c>
      <c r="E6" s="340" t="s">
        <v>356</v>
      </c>
      <c r="F6" s="341" t="s">
        <v>518</v>
      </c>
      <c r="G6" s="340" t="s">
        <v>357</v>
      </c>
      <c r="H6" s="340" t="s">
        <v>362</v>
      </c>
      <c r="I6" s="340" t="s">
        <v>363</v>
      </c>
      <c r="J6" s="340" t="s">
        <v>364</v>
      </c>
      <c r="K6" s="340" t="s">
        <v>365</v>
      </c>
      <c r="L6" s="342">
        <v>167.24758463338489</v>
      </c>
      <c r="M6" s="342">
        <v>81</v>
      </c>
      <c r="N6" s="343">
        <v>13547.054355304177</v>
      </c>
    </row>
    <row r="7" spans="1:14" ht="14.4" customHeight="1" x14ac:dyDescent="0.3">
      <c r="A7" s="338" t="s">
        <v>343</v>
      </c>
      <c r="B7" s="339" t="s">
        <v>515</v>
      </c>
      <c r="C7" s="340" t="s">
        <v>348</v>
      </c>
      <c r="D7" s="341" t="s">
        <v>516</v>
      </c>
      <c r="E7" s="340" t="s">
        <v>356</v>
      </c>
      <c r="F7" s="341" t="s">
        <v>518</v>
      </c>
      <c r="G7" s="340" t="s">
        <v>357</v>
      </c>
      <c r="H7" s="340" t="s">
        <v>366</v>
      </c>
      <c r="I7" s="340" t="s">
        <v>367</v>
      </c>
      <c r="J7" s="340" t="s">
        <v>368</v>
      </c>
      <c r="K7" s="340" t="s">
        <v>369</v>
      </c>
      <c r="L7" s="342">
        <v>45.343692878626776</v>
      </c>
      <c r="M7" s="342">
        <v>7</v>
      </c>
      <c r="N7" s="343">
        <v>317.40585015038744</v>
      </c>
    </row>
    <row r="8" spans="1:14" ht="14.4" customHeight="1" x14ac:dyDescent="0.3">
      <c r="A8" s="338" t="s">
        <v>343</v>
      </c>
      <c r="B8" s="339" t="s">
        <v>515</v>
      </c>
      <c r="C8" s="340" t="s">
        <v>348</v>
      </c>
      <c r="D8" s="341" t="s">
        <v>516</v>
      </c>
      <c r="E8" s="340" t="s">
        <v>356</v>
      </c>
      <c r="F8" s="341" t="s">
        <v>518</v>
      </c>
      <c r="G8" s="340" t="s">
        <v>357</v>
      </c>
      <c r="H8" s="340" t="s">
        <v>370</v>
      </c>
      <c r="I8" s="340" t="s">
        <v>371</v>
      </c>
      <c r="J8" s="340" t="s">
        <v>372</v>
      </c>
      <c r="K8" s="340" t="s">
        <v>373</v>
      </c>
      <c r="L8" s="342">
        <v>74.631155790107769</v>
      </c>
      <c r="M8" s="342">
        <v>41</v>
      </c>
      <c r="N8" s="343">
        <v>3059.8773873944183</v>
      </c>
    </row>
    <row r="9" spans="1:14" ht="14.4" customHeight="1" x14ac:dyDescent="0.3">
      <c r="A9" s="338" t="s">
        <v>343</v>
      </c>
      <c r="B9" s="339" t="s">
        <v>515</v>
      </c>
      <c r="C9" s="340" t="s">
        <v>348</v>
      </c>
      <c r="D9" s="341" t="s">
        <v>516</v>
      </c>
      <c r="E9" s="340" t="s">
        <v>356</v>
      </c>
      <c r="F9" s="341" t="s">
        <v>518</v>
      </c>
      <c r="G9" s="340" t="s">
        <v>357</v>
      </c>
      <c r="H9" s="340" t="s">
        <v>374</v>
      </c>
      <c r="I9" s="340" t="s">
        <v>375</v>
      </c>
      <c r="J9" s="340" t="s">
        <v>376</v>
      </c>
      <c r="K9" s="340" t="s">
        <v>377</v>
      </c>
      <c r="L9" s="342">
        <v>375.79940637586765</v>
      </c>
      <c r="M9" s="342">
        <v>2</v>
      </c>
      <c r="N9" s="343">
        <v>751.5988127517353</v>
      </c>
    </row>
    <row r="10" spans="1:14" ht="14.4" customHeight="1" x14ac:dyDescent="0.3">
      <c r="A10" s="338" t="s">
        <v>343</v>
      </c>
      <c r="B10" s="339" t="s">
        <v>515</v>
      </c>
      <c r="C10" s="340" t="s">
        <v>348</v>
      </c>
      <c r="D10" s="341" t="s">
        <v>516</v>
      </c>
      <c r="E10" s="340" t="s">
        <v>356</v>
      </c>
      <c r="F10" s="341" t="s">
        <v>518</v>
      </c>
      <c r="G10" s="340" t="s">
        <v>357</v>
      </c>
      <c r="H10" s="340" t="s">
        <v>378</v>
      </c>
      <c r="I10" s="340" t="s">
        <v>83</v>
      </c>
      <c r="J10" s="340" t="s">
        <v>379</v>
      </c>
      <c r="K10" s="340"/>
      <c r="L10" s="342">
        <v>653.36775767717302</v>
      </c>
      <c r="M10" s="342">
        <v>58</v>
      </c>
      <c r="N10" s="343">
        <v>37895.329945276033</v>
      </c>
    </row>
    <row r="11" spans="1:14" ht="14.4" customHeight="1" x14ac:dyDescent="0.3">
      <c r="A11" s="338" t="s">
        <v>343</v>
      </c>
      <c r="B11" s="339" t="s">
        <v>515</v>
      </c>
      <c r="C11" s="340" t="s">
        <v>348</v>
      </c>
      <c r="D11" s="341" t="s">
        <v>516</v>
      </c>
      <c r="E11" s="340" t="s">
        <v>356</v>
      </c>
      <c r="F11" s="341" t="s">
        <v>518</v>
      </c>
      <c r="G11" s="340" t="s">
        <v>357</v>
      </c>
      <c r="H11" s="340" t="s">
        <v>380</v>
      </c>
      <c r="I11" s="340" t="s">
        <v>381</v>
      </c>
      <c r="J11" s="340" t="s">
        <v>382</v>
      </c>
      <c r="K11" s="340" t="s">
        <v>383</v>
      </c>
      <c r="L11" s="342">
        <v>35.990000000000016</v>
      </c>
      <c r="M11" s="342">
        <v>3</v>
      </c>
      <c r="N11" s="343">
        <v>107.97000000000006</v>
      </c>
    </row>
    <row r="12" spans="1:14" ht="14.4" customHeight="1" x14ac:dyDescent="0.3">
      <c r="A12" s="338" t="s">
        <v>343</v>
      </c>
      <c r="B12" s="339" t="s">
        <v>515</v>
      </c>
      <c r="C12" s="340" t="s">
        <v>348</v>
      </c>
      <c r="D12" s="341" t="s">
        <v>516</v>
      </c>
      <c r="E12" s="340" t="s">
        <v>356</v>
      </c>
      <c r="F12" s="341" t="s">
        <v>518</v>
      </c>
      <c r="G12" s="340" t="s">
        <v>357</v>
      </c>
      <c r="H12" s="340" t="s">
        <v>384</v>
      </c>
      <c r="I12" s="340" t="s">
        <v>83</v>
      </c>
      <c r="J12" s="340" t="s">
        <v>385</v>
      </c>
      <c r="K12" s="340"/>
      <c r="L12" s="342">
        <v>89.211801762434462</v>
      </c>
      <c r="M12" s="342">
        <v>40</v>
      </c>
      <c r="N12" s="343">
        <v>3568.4720704973784</v>
      </c>
    </row>
    <row r="13" spans="1:14" ht="14.4" customHeight="1" x14ac:dyDescent="0.3">
      <c r="A13" s="338" t="s">
        <v>343</v>
      </c>
      <c r="B13" s="339" t="s">
        <v>515</v>
      </c>
      <c r="C13" s="340" t="s">
        <v>348</v>
      </c>
      <c r="D13" s="341" t="s">
        <v>516</v>
      </c>
      <c r="E13" s="340" t="s">
        <v>356</v>
      </c>
      <c r="F13" s="341" t="s">
        <v>518</v>
      </c>
      <c r="G13" s="340" t="s">
        <v>357</v>
      </c>
      <c r="H13" s="340" t="s">
        <v>386</v>
      </c>
      <c r="I13" s="340" t="s">
        <v>387</v>
      </c>
      <c r="J13" s="340" t="s">
        <v>388</v>
      </c>
      <c r="K13" s="340"/>
      <c r="L13" s="342">
        <v>455.56629479750802</v>
      </c>
      <c r="M13" s="342">
        <v>21</v>
      </c>
      <c r="N13" s="343">
        <v>9566.8921907476688</v>
      </c>
    </row>
    <row r="14" spans="1:14" ht="14.4" customHeight="1" x14ac:dyDescent="0.3">
      <c r="A14" s="338" t="s">
        <v>343</v>
      </c>
      <c r="B14" s="339" t="s">
        <v>515</v>
      </c>
      <c r="C14" s="340" t="s">
        <v>348</v>
      </c>
      <c r="D14" s="341" t="s">
        <v>516</v>
      </c>
      <c r="E14" s="340" t="s">
        <v>356</v>
      </c>
      <c r="F14" s="341" t="s">
        <v>518</v>
      </c>
      <c r="G14" s="340" t="s">
        <v>357</v>
      </c>
      <c r="H14" s="340" t="s">
        <v>389</v>
      </c>
      <c r="I14" s="340" t="s">
        <v>390</v>
      </c>
      <c r="J14" s="340" t="s">
        <v>391</v>
      </c>
      <c r="K14" s="340" t="s">
        <v>392</v>
      </c>
      <c r="L14" s="342">
        <v>21.879999999999995</v>
      </c>
      <c r="M14" s="342">
        <v>24</v>
      </c>
      <c r="N14" s="343">
        <v>525.11999999999989</v>
      </c>
    </row>
    <row r="15" spans="1:14" ht="14.4" customHeight="1" x14ac:dyDescent="0.3">
      <c r="A15" s="338" t="s">
        <v>343</v>
      </c>
      <c r="B15" s="339" t="s">
        <v>515</v>
      </c>
      <c r="C15" s="340" t="s">
        <v>348</v>
      </c>
      <c r="D15" s="341" t="s">
        <v>516</v>
      </c>
      <c r="E15" s="340" t="s">
        <v>356</v>
      </c>
      <c r="F15" s="341" t="s">
        <v>518</v>
      </c>
      <c r="G15" s="340" t="s">
        <v>357</v>
      </c>
      <c r="H15" s="340" t="s">
        <v>393</v>
      </c>
      <c r="I15" s="340" t="s">
        <v>83</v>
      </c>
      <c r="J15" s="340" t="s">
        <v>394</v>
      </c>
      <c r="K15" s="340"/>
      <c r="L15" s="342">
        <v>104.14491204744758</v>
      </c>
      <c r="M15" s="342">
        <v>114</v>
      </c>
      <c r="N15" s="343">
        <v>11872.519973409024</v>
      </c>
    </row>
    <row r="16" spans="1:14" ht="14.4" customHeight="1" x14ac:dyDescent="0.3">
      <c r="A16" s="338" t="s">
        <v>343</v>
      </c>
      <c r="B16" s="339" t="s">
        <v>515</v>
      </c>
      <c r="C16" s="340" t="s">
        <v>348</v>
      </c>
      <c r="D16" s="341" t="s">
        <v>516</v>
      </c>
      <c r="E16" s="340" t="s">
        <v>356</v>
      </c>
      <c r="F16" s="341" t="s">
        <v>518</v>
      </c>
      <c r="G16" s="340" t="s">
        <v>357</v>
      </c>
      <c r="H16" s="340" t="s">
        <v>395</v>
      </c>
      <c r="I16" s="340" t="s">
        <v>83</v>
      </c>
      <c r="J16" s="340" t="s">
        <v>396</v>
      </c>
      <c r="K16" s="340"/>
      <c r="L16" s="342">
        <v>44.63</v>
      </c>
      <c r="M16" s="342">
        <v>3</v>
      </c>
      <c r="N16" s="343">
        <v>133.89000000000001</v>
      </c>
    </row>
    <row r="17" spans="1:14" ht="14.4" customHeight="1" x14ac:dyDescent="0.3">
      <c r="A17" s="338" t="s">
        <v>343</v>
      </c>
      <c r="B17" s="339" t="s">
        <v>515</v>
      </c>
      <c r="C17" s="340" t="s">
        <v>348</v>
      </c>
      <c r="D17" s="341" t="s">
        <v>516</v>
      </c>
      <c r="E17" s="340" t="s">
        <v>356</v>
      </c>
      <c r="F17" s="341" t="s">
        <v>518</v>
      </c>
      <c r="G17" s="340" t="s">
        <v>357</v>
      </c>
      <c r="H17" s="340" t="s">
        <v>397</v>
      </c>
      <c r="I17" s="340" t="s">
        <v>398</v>
      </c>
      <c r="J17" s="340" t="s">
        <v>399</v>
      </c>
      <c r="K17" s="340" t="s">
        <v>400</v>
      </c>
      <c r="L17" s="342">
        <v>546.67999999999995</v>
      </c>
      <c r="M17" s="342">
        <v>3</v>
      </c>
      <c r="N17" s="343">
        <v>1640.04</v>
      </c>
    </row>
    <row r="18" spans="1:14" ht="14.4" customHeight="1" x14ac:dyDescent="0.3">
      <c r="A18" s="338" t="s">
        <v>343</v>
      </c>
      <c r="B18" s="339" t="s">
        <v>515</v>
      </c>
      <c r="C18" s="340" t="s">
        <v>348</v>
      </c>
      <c r="D18" s="341" t="s">
        <v>516</v>
      </c>
      <c r="E18" s="340" t="s">
        <v>356</v>
      </c>
      <c r="F18" s="341" t="s">
        <v>518</v>
      </c>
      <c r="G18" s="340" t="s">
        <v>357</v>
      </c>
      <c r="H18" s="340" t="s">
        <v>401</v>
      </c>
      <c r="I18" s="340" t="s">
        <v>83</v>
      </c>
      <c r="J18" s="340" t="s">
        <v>402</v>
      </c>
      <c r="K18" s="340"/>
      <c r="L18" s="342">
        <v>65.334957122331701</v>
      </c>
      <c r="M18" s="342">
        <v>10</v>
      </c>
      <c r="N18" s="343">
        <v>653.34957122331707</v>
      </c>
    </row>
    <row r="19" spans="1:14" ht="14.4" customHeight="1" x14ac:dyDescent="0.3">
      <c r="A19" s="338" t="s">
        <v>343</v>
      </c>
      <c r="B19" s="339" t="s">
        <v>515</v>
      </c>
      <c r="C19" s="340" t="s">
        <v>348</v>
      </c>
      <c r="D19" s="341" t="s">
        <v>516</v>
      </c>
      <c r="E19" s="340" t="s">
        <v>356</v>
      </c>
      <c r="F19" s="341" t="s">
        <v>518</v>
      </c>
      <c r="G19" s="340" t="s">
        <v>357</v>
      </c>
      <c r="H19" s="340" t="s">
        <v>403</v>
      </c>
      <c r="I19" s="340" t="s">
        <v>404</v>
      </c>
      <c r="J19" s="340" t="s">
        <v>405</v>
      </c>
      <c r="K19" s="340" t="s">
        <v>406</v>
      </c>
      <c r="L19" s="342">
        <v>103.69987156551534</v>
      </c>
      <c r="M19" s="342">
        <v>20</v>
      </c>
      <c r="N19" s="343">
        <v>2073.9974313103066</v>
      </c>
    </row>
    <row r="20" spans="1:14" ht="14.4" customHeight="1" x14ac:dyDescent="0.3">
      <c r="A20" s="338" t="s">
        <v>343</v>
      </c>
      <c r="B20" s="339" t="s">
        <v>515</v>
      </c>
      <c r="C20" s="340" t="s">
        <v>348</v>
      </c>
      <c r="D20" s="341" t="s">
        <v>516</v>
      </c>
      <c r="E20" s="340" t="s">
        <v>356</v>
      </c>
      <c r="F20" s="341" t="s">
        <v>518</v>
      </c>
      <c r="G20" s="340" t="s">
        <v>357</v>
      </c>
      <c r="H20" s="340" t="s">
        <v>407</v>
      </c>
      <c r="I20" s="340" t="s">
        <v>83</v>
      </c>
      <c r="J20" s="340" t="s">
        <v>408</v>
      </c>
      <c r="K20" s="340" t="s">
        <v>409</v>
      </c>
      <c r="L20" s="342">
        <v>23.700239772020307</v>
      </c>
      <c r="M20" s="342">
        <v>102</v>
      </c>
      <c r="N20" s="343">
        <v>2417.4244567460714</v>
      </c>
    </row>
    <row r="21" spans="1:14" ht="14.4" customHeight="1" x14ac:dyDescent="0.3">
      <c r="A21" s="338" t="s">
        <v>343</v>
      </c>
      <c r="B21" s="339" t="s">
        <v>515</v>
      </c>
      <c r="C21" s="340" t="s">
        <v>348</v>
      </c>
      <c r="D21" s="341" t="s">
        <v>516</v>
      </c>
      <c r="E21" s="340" t="s">
        <v>356</v>
      </c>
      <c r="F21" s="341" t="s">
        <v>518</v>
      </c>
      <c r="G21" s="340" t="s">
        <v>357</v>
      </c>
      <c r="H21" s="340" t="s">
        <v>410</v>
      </c>
      <c r="I21" s="340" t="s">
        <v>411</v>
      </c>
      <c r="J21" s="340" t="s">
        <v>412</v>
      </c>
      <c r="K21" s="340" t="s">
        <v>413</v>
      </c>
      <c r="L21" s="342">
        <v>61.642500000000005</v>
      </c>
      <c r="M21" s="342">
        <v>4</v>
      </c>
      <c r="N21" s="343">
        <v>246.57000000000002</v>
      </c>
    </row>
    <row r="22" spans="1:14" ht="14.4" customHeight="1" x14ac:dyDescent="0.3">
      <c r="A22" s="338" t="s">
        <v>343</v>
      </c>
      <c r="B22" s="339" t="s">
        <v>515</v>
      </c>
      <c r="C22" s="340" t="s">
        <v>348</v>
      </c>
      <c r="D22" s="341" t="s">
        <v>516</v>
      </c>
      <c r="E22" s="340" t="s">
        <v>356</v>
      </c>
      <c r="F22" s="341" t="s">
        <v>518</v>
      </c>
      <c r="G22" s="340" t="s">
        <v>357</v>
      </c>
      <c r="H22" s="340" t="s">
        <v>414</v>
      </c>
      <c r="I22" s="340" t="s">
        <v>83</v>
      </c>
      <c r="J22" s="340" t="s">
        <v>415</v>
      </c>
      <c r="K22" s="340"/>
      <c r="L22" s="342">
        <v>57.718290927177136</v>
      </c>
      <c r="M22" s="342">
        <v>15</v>
      </c>
      <c r="N22" s="343">
        <v>865.77436390765706</v>
      </c>
    </row>
    <row r="23" spans="1:14" ht="14.4" customHeight="1" x14ac:dyDescent="0.3">
      <c r="A23" s="338" t="s">
        <v>343</v>
      </c>
      <c r="B23" s="339" t="s">
        <v>515</v>
      </c>
      <c r="C23" s="340" t="s">
        <v>348</v>
      </c>
      <c r="D23" s="341" t="s">
        <v>516</v>
      </c>
      <c r="E23" s="340" t="s">
        <v>356</v>
      </c>
      <c r="F23" s="341" t="s">
        <v>518</v>
      </c>
      <c r="G23" s="340" t="s">
        <v>357</v>
      </c>
      <c r="H23" s="340" t="s">
        <v>416</v>
      </c>
      <c r="I23" s="340" t="s">
        <v>83</v>
      </c>
      <c r="J23" s="340" t="s">
        <v>417</v>
      </c>
      <c r="K23" s="340" t="s">
        <v>418</v>
      </c>
      <c r="L23" s="342">
        <v>95.692771710113277</v>
      </c>
      <c r="M23" s="342">
        <v>65</v>
      </c>
      <c r="N23" s="343">
        <v>6220.0301611573632</v>
      </c>
    </row>
    <row r="24" spans="1:14" ht="14.4" customHeight="1" x14ac:dyDescent="0.3">
      <c r="A24" s="338" t="s">
        <v>343</v>
      </c>
      <c r="B24" s="339" t="s">
        <v>515</v>
      </c>
      <c r="C24" s="340" t="s">
        <v>348</v>
      </c>
      <c r="D24" s="341" t="s">
        <v>516</v>
      </c>
      <c r="E24" s="340" t="s">
        <v>356</v>
      </c>
      <c r="F24" s="341" t="s">
        <v>518</v>
      </c>
      <c r="G24" s="340" t="s">
        <v>357</v>
      </c>
      <c r="H24" s="340" t="s">
        <v>419</v>
      </c>
      <c r="I24" s="340" t="s">
        <v>420</v>
      </c>
      <c r="J24" s="340" t="s">
        <v>399</v>
      </c>
      <c r="K24" s="340" t="s">
        <v>421</v>
      </c>
      <c r="L24" s="342">
        <v>201.31045686731863</v>
      </c>
      <c r="M24" s="342">
        <v>700</v>
      </c>
      <c r="N24" s="343">
        <v>140917.31980712304</v>
      </c>
    </row>
    <row r="25" spans="1:14" ht="14.4" customHeight="1" x14ac:dyDescent="0.3">
      <c r="A25" s="338" t="s">
        <v>343</v>
      </c>
      <c r="B25" s="339" t="s">
        <v>515</v>
      </c>
      <c r="C25" s="340" t="s">
        <v>348</v>
      </c>
      <c r="D25" s="341" t="s">
        <v>516</v>
      </c>
      <c r="E25" s="340" t="s">
        <v>356</v>
      </c>
      <c r="F25" s="341" t="s">
        <v>518</v>
      </c>
      <c r="G25" s="340" t="s">
        <v>357</v>
      </c>
      <c r="H25" s="340" t="s">
        <v>422</v>
      </c>
      <c r="I25" s="340" t="s">
        <v>423</v>
      </c>
      <c r="J25" s="340" t="s">
        <v>424</v>
      </c>
      <c r="K25" s="340" t="s">
        <v>425</v>
      </c>
      <c r="L25" s="342">
        <v>48.249821450308467</v>
      </c>
      <c r="M25" s="342">
        <v>6</v>
      </c>
      <c r="N25" s="343">
        <v>289.49892870185079</v>
      </c>
    </row>
    <row r="26" spans="1:14" ht="14.4" customHeight="1" x14ac:dyDescent="0.3">
      <c r="A26" s="338" t="s">
        <v>343</v>
      </c>
      <c r="B26" s="339" t="s">
        <v>515</v>
      </c>
      <c r="C26" s="340" t="s">
        <v>348</v>
      </c>
      <c r="D26" s="341" t="s">
        <v>516</v>
      </c>
      <c r="E26" s="340" t="s">
        <v>356</v>
      </c>
      <c r="F26" s="341" t="s">
        <v>518</v>
      </c>
      <c r="G26" s="340" t="s">
        <v>357</v>
      </c>
      <c r="H26" s="340" t="s">
        <v>426</v>
      </c>
      <c r="I26" s="340" t="s">
        <v>427</v>
      </c>
      <c r="J26" s="340" t="s">
        <v>428</v>
      </c>
      <c r="K26" s="340"/>
      <c r="L26" s="342">
        <v>252.97798268908613</v>
      </c>
      <c r="M26" s="342">
        <v>123</v>
      </c>
      <c r="N26" s="343">
        <v>31116.291870757595</v>
      </c>
    </row>
    <row r="27" spans="1:14" ht="14.4" customHeight="1" x14ac:dyDescent="0.3">
      <c r="A27" s="338" t="s">
        <v>343</v>
      </c>
      <c r="B27" s="339" t="s">
        <v>515</v>
      </c>
      <c r="C27" s="340" t="s">
        <v>348</v>
      </c>
      <c r="D27" s="341" t="s">
        <v>516</v>
      </c>
      <c r="E27" s="340" t="s">
        <v>356</v>
      </c>
      <c r="F27" s="341" t="s">
        <v>518</v>
      </c>
      <c r="G27" s="340" t="s">
        <v>357</v>
      </c>
      <c r="H27" s="340" t="s">
        <v>429</v>
      </c>
      <c r="I27" s="340" t="s">
        <v>430</v>
      </c>
      <c r="J27" s="340" t="s">
        <v>431</v>
      </c>
      <c r="K27" s="340" t="s">
        <v>432</v>
      </c>
      <c r="L27" s="342">
        <v>279.09373212198545</v>
      </c>
      <c r="M27" s="342">
        <v>50</v>
      </c>
      <c r="N27" s="343">
        <v>13954.686606099272</v>
      </c>
    </row>
    <row r="28" spans="1:14" ht="14.4" customHeight="1" x14ac:dyDescent="0.3">
      <c r="A28" s="338" t="s">
        <v>343</v>
      </c>
      <c r="B28" s="339" t="s">
        <v>515</v>
      </c>
      <c r="C28" s="340" t="s">
        <v>348</v>
      </c>
      <c r="D28" s="341" t="s">
        <v>516</v>
      </c>
      <c r="E28" s="340" t="s">
        <v>356</v>
      </c>
      <c r="F28" s="341" t="s">
        <v>518</v>
      </c>
      <c r="G28" s="340" t="s">
        <v>357</v>
      </c>
      <c r="H28" s="340" t="s">
        <v>433</v>
      </c>
      <c r="I28" s="340" t="s">
        <v>434</v>
      </c>
      <c r="J28" s="340" t="s">
        <v>435</v>
      </c>
      <c r="K28" s="340"/>
      <c r="L28" s="342">
        <v>144.03354614071532</v>
      </c>
      <c r="M28" s="342">
        <v>10</v>
      </c>
      <c r="N28" s="343">
        <v>1440.3354614071532</v>
      </c>
    </row>
    <row r="29" spans="1:14" ht="14.4" customHeight="1" x14ac:dyDescent="0.3">
      <c r="A29" s="338" t="s">
        <v>343</v>
      </c>
      <c r="B29" s="339" t="s">
        <v>515</v>
      </c>
      <c r="C29" s="340" t="s">
        <v>348</v>
      </c>
      <c r="D29" s="341" t="s">
        <v>516</v>
      </c>
      <c r="E29" s="340" t="s">
        <v>356</v>
      </c>
      <c r="F29" s="341" t="s">
        <v>518</v>
      </c>
      <c r="G29" s="340" t="s">
        <v>357</v>
      </c>
      <c r="H29" s="340" t="s">
        <v>436</v>
      </c>
      <c r="I29" s="340" t="s">
        <v>437</v>
      </c>
      <c r="J29" s="340" t="s">
        <v>438</v>
      </c>
      <c r="K29" s="340" t="s">
        <v>439</v>
      </c>
      <c r="L29" s="342">
        <v>47.430206871848384</v>
      </c>
      <c r="M29" s="342">
        <v>3</v>
      </c>
      <c r="N29" s="343">
        <v>142.29062061554515</v>
      </c>
    </row>
    <row r="30" spans="1:14" ht="14.4" customHeight="1" x14ac:dyDescent="0.3">
      <c r="A30" s="338" t="s">
        <v>343</v>
      </c>
      <c r="B30" s="339" t="s">
        <v>515</v>
      </c>
      <c r="C30" s="340" t="s">
        <v>348</v>
      </c>
      <c r="D30" s="341" t="s">
        <v>516</v>
      </c>
      <c r="E30" s="340" t="s">
        <v>356</v>
      </c>
      <c r="F30" s="341" t="s">
        <v>518</v>
      </c>
      <c r="G30" s="340" t="s">
        <v>357</v>
      </c>
      <c r="H30" s="340" t="s">
        <v>440</v>
      </c>
      <c r="I30" s="340" t="s">
        <v>83</v>
      </c>
      <c r="J30" s="340" t="s">
        <v>441</v>
      </c>
      <c r="K30" s="340"/>
      <c r="L30" s="342">
        <v>61.71453204982037</v>
      </c>
      <c r="M30" s="342">
        <v>13</v>
      </c>
      <c r="N30" s="343">
        <v>802.28891664766479</v>
      </c>
    </row>
    <row r="31" spans="1:14" ht="14.4" customHeight="1" x14ac:dyDescent="0.3">
      <c r="A31" s="338" t="s">
        <v>343</v>
      </c>
      <c r="B31" s="339" t="s">
        <v>515</v>
      </c>
      <c r="C31" s="340" t="s">
        <v>348</v>
      </c>
      <c r="D31" s="341" t="s">
        <v>516</v>
      </c>
      <c r="E31" s="340" t="s">
        <v>356</v>
      </c>
      <c r="F31" s="341" t="s">
        <v>518</v>
      </c>
      <c r="G31" s="340" t="s">
        <v>357</v>
      </c>
      <c r="H31" s="340" t="s">
        <v>442</v>
      </c>
      <c r="I31" s="340" t="s">
        <v>443</v>
      </c>
      <c r="J31" s="340" t="s">
        <v>444</v>
      </c>
      <c r="K31" s="340"/>
      <c r="L31" s="342">
        <v>2271.6448966412163</v>
      </c>
      <c r="M31" s="342">
        <v>1</v>
      </c>
      <c r="N31" s="343">
        <v>2271.6448966412163</v>
      </c>
    </row>
    <row r="32" spans="1:14" ht="14.4" customHeight="1" x14ac:dyDescent="0.3">
      <c r="A32" s="338" t="s">
        <v>343</v>
      </c>
      <c r="B32" s="339" t="s">
        <v>515</v>
      </c>
      <c r="C32" s="340" t="s">
        <v>348</v>
      </c>
      <c r="D32" s="341" t="s">
        <v>516</v>
      </c>
      <c r="E32" s="340" t="s">
        <v>356</v>
      </c>
      <c r="F32" s="341" t="s">
        <v>518</v>
      </c>
      <c r="G32" s="340" t="s">
        <v>357</v>
      </c>
      <c r="H32" s="340" t="s">
        <v>445</v>
      </c>
      <c r="I32" s="340" t="s">
        <v>446</v>
      </c>
      <c r="J32" s="340" t="s">
        <v>447</v>
      </c>
      <c r="K32" s="340"/>
      <c r="L32" s="342">
        <v>4436.2040215731568</v>
      </c>
      <c r="M32" s="342">
        <v>14</v>
      </c>
      <c r="N32" s="343">
        <v>62106.8563020242</v>
      </c>
    </row>
    <row r="33" spans="1:14" ht="14.4" customHeight="1" x14ac:dyDescent="0.3">
      <c r="A33" s="338" t="s">
        <v>343</v>
      </c>
      <c r="B33" s="339" t="s">
        <v>515</v>
      </c>
      <c r="C33" s="340" t="s">
        <v>348</v>
      </c>
      <c r="D33" s="341" t="s">
        <v>516</v>
      </c>
      <c r="E33" s="340" t="s">
        <v>356</v>
      </c>
      <c r="F33" s="341" t="s">
        <v>518</v>
      </c>
      <c r="G33" s="340" t="s">
        <v>357</v>
      </c>
      <c r="H33" s="340" t="s">
        <v>448</v>
      </c>
      <c r="I33" s="340" t="s">
        <v>449</v>
      </c>
      <c r="J33" s="340" t="s">
        <v>450</v>
      </c>
      <c r="K33" s="340" t="s">
        <v>451</v>
      </c>
      <c r="L33" s="342">
        <v>621.59999999999991</v>
      </c>
      <c r="M33" s="342">
        <v>8</v>
      </c>
      <c r="N33" s="343">
        <v>4972.7999999999993</v>
      </c>
    </row>
    <row r="34" spans="1:14" ht="14.4" customHeight="1" x14ac:dyDescent="0.3">
      <c r="A34" s="338" t="s">
        <v>343</v>
      </c>
      <c r="B34" s="339" t="s">
        <v>515</v>
      </c>
      <c r="C34" s="340" t="s">
        <v>348</v>
      </c>
      <c r="D34" s="341" t="s">
        <v>516</v>
      </c>
      <c r="E34" s="340" t="s">
        <v>356</v>
      </c>
      <c r="F34" s="341" t="s">
        <v>518</v>
      </c>
      <c r="G34" s="340" t="s">
        <v>357</v>
      </c>
      <c r="H34" s="340" t="s">
        <v>452</v>
      </c>
      <c r="I34" s="340" t="s">
        <v>83</v>
      </c>
      <c r="J34" s="340" t="s">
        <v>453</v>
      </c>
      <c r="K34" s="340" t="s">
        <v>454</v>
      </c>
      <c r="L34" s="342">
        <v>61.533333333333339</v>
      </c>
      <c r="M34" s="342">
        <v>4</v>
      </c>
      <c r="N34" s="343">
        <v>246.13333333333335</v>
      </c>
    </row>
    <row r="35" spans="1:14" ht="14.4" customHeight="1" x14ac:dyDescent="0.3">
      <c r="A35" s="338" t="s">
        <v>343</v>
      </c>
      <c r="B35" s="339" t="s">
        <v>515</v>
      </c>
      <c r="C35" s="340" t="s">
        <v>348</v>
      </c>
      <c r="D35" s="341" t="s">
        <v>516</v>
      </c>
      <c r="E35" s="340" t="s">
        <v>356</v>
      </c>
      <c r="F35" s="341" t="s">
        <v>518</v>
      </c>
      <c r="G35" s="340" t="s">
        <v>357</v>
      </c>
      <c r="H35" s="340" t="s">
        <v>455</v>
      </c>
      <c r="I35" s="340" t="s">
        <v>83</v>
      </c>
      <c r="J35" s="340" t="s">
        <v>456</v>
      </c>
      <c r="K35" s="340"/>
      <c r="L35" s="342">
        <v>486.17623895105089</v>
      </c>
      <c r="M35" s="342">
        <v>228</v>
      </c>
      <c r="N35" s="343">
        <v>110848.1824808396</v>
      </c>
    </row>
    <row r="36" spans="1:14" ht="14.4" customHeight="1" x14ac:dyDescent="0.3">
      <c r="A36" s="338" t="s">
        <v>343</v>
      </c>
      <c r="B36" s="339" t="s">
        <v>515</v>
      </c>
      <c r="C36" s="340" t="s">
        <v>348</v>
      </c>
      <c r="D36" s="341" t="s">
        <v>516</v>
      </c>
      <c r="E36" s="340" t="s">
        <v>356</v>
      </c>
      <c r="F36" s="341" t="s">
        <v>518</v>
      </c>
      <c r="G36" s="340" t="s">
        <v>357</v>
      </c>
      <c r="H36" s="340" t="s">
        <v>457</v>
      </c>
      <c r="I36" s="340" t="s">
        <v>83</v>
      </c>
      <c r="J36" s="340" t="s">
        <v>458</v>
      </c>
      <c r="K36" s="340" t="s">
        <v>459</v>
      </c>
      <c r="L36" s="342">
        <v>75.020309032110205</v>
      </c>
      <c r="M36" s="342">
        <v>3</v>
      </c>
      <c r="N36" s="343">
        <v>225.0609270963306</v>
      </c>
    </row>
    <row r="37" spans="1:14" ht="14.4" customHeight="1" x14ac:dyDescent="0.3">
      <c r="A37" s="338" t="s">
        <v>343</v>
      </c>
      <c r="B37" s="339" t="s">
        <v>515</v>
      </c>
      <c r="C37" s="340" t="s">
        <v>348</v>
      </c>
      <c r="D37" s="341" t="s">
        <v>516</v>
      </c>
      <c r="E37" s="340" t="s">
        <v>356</v>
      </c>
      <c r="F37" s="341" t="s">
        <v>518</v>
      </c>
      <c r="G37" s="340" t="s">
        <v>357</v>
      </c>
      <c r="H37" s="340" t="s">
        <v>460</v>
      </c>
      <c r="I37" s="340" t="s">
        <v>83</v>
      </c>
      <c r="J37" s="340" t="s">
        <v>461</v>
      </c>
      <c r="K37" s="340"/>
      <c r="L37" s="342">
        <v>55.81746350930932</v>
      </c>
      <c r="M37" s="342">
        <v>82</v>
      </c>
      <c r="N37" s="343">
        <v>4577.0320077633642</v>
      </c>
    </row>
    <row r="38" spans="1:14" ht="14.4" customHeight="1" x14ac:dyDescent="0.3">
      <c r="A38" s="338" t="s">
        <v>343</v>
      </c>
      <c r="B38" s="339" t="s">
        <v>515</v>
      </c>
      <c r="C38" s="340" t="s">
        <v>348</v>
      </c>
      <c r="D38" s="341" t="s">
        <v>516</v>
      </c>
      <c r="E38" s="340" t="s">
        <v>356</v>
      </c>
      <c r="F38" s="341" t="s">
        <v>518</v>
      </c>
      <c r="G38" s="340" t="s">
        <v>357</v>
      </c>
      <c r="H38" s="340" t="s">
        <v>462</v>
      </c>
      <c r="I38" s="340" t="s">
        <v>83</v>
      </c>
      <c r="J38" s="340" t="s">
        <v>463</v>
      </c>
      <c r="K38" s="340" t="s">
        <v>464</v>
      </c>
      <c r="L38" s="342">
        <v>83.309127266057729</v>
      </c>
      <c r="M38" s="342">
        <v>1484</v>
      </c>
      <c r="N38" s="343">
        <v>123630.74486282967</v>
      </c>
    </row>
    <row r="39" spans="1:14" ht="14.4" customHeight="1" x14ac:dyDescent="0.3">
      <c r="A39" s="338" t="s">
        <v>343</v>
      </c>
      <c r="B39" s="339" t="s">
        <v>515</v>
      </c>
      <c r="C39" s="340" t="s">
        <v>348</v>
      </c>
      <c r="D39" s="341" t="s">
        <v>516</v>
      </c>
      <c r="E39" s="340" t="s">
        <v>356</v>
      </c>
      <c r="F39" s="341" t="s">
        <v>518</v>
      </c>
      <c r="G39" s="340" t="s">
        <v>357</v>
      </c>
      <c r="H39" s="340" t="s">
        <v>465</v>
      </c>
      <c r="I39" s="340" t="s">
        <v>83</v>
      </c>
      <c r="J39" s="340" t="s">
        <v>466</v>
      </c>
      <c r="K39" s="340"/>
      <c r="L39" s="342">
        <v>167.25402221769511</v>
      </c>
      <c r="M39" s="342">
        <v>4</v>
      </c>
      <c r="N39" s="343">
        <v>669.01608887078044</v>
      </c>
    </row>
    <row r="40" spans="1:14" ht="14.4" customHeight="1" x14ac:dyDescent="0.3">
      <c r="A40" s="338" t="s">
        <v>343</v>
      </c>
      <c r="B40" s="339" t="s">
        <v>515</v>
      </c>
      <c r="C40" s="340" t="s">
        <v>348</v>
      </c>
      <c r="D40" s="341" t="s">
        <v>516</v>
      </c>
      <c r="E40" s="340" t="s">
        <v>356</v>
      </c>
      <c r="F40" s="341" t="s">
        <v>518</v>
      </c>
      <c r="G40" s="340" t="s">
        <v>357</v>
      </c>
      <c r="H40" s="340" t="s">
        <v>467</v>
      </c>
      <c r="I40" s="340" t="s">
        <v>468</v>
      </c>
      <c r="J40" s="340" t="s">
        <v>469</v>
      </c>
      <c r="K40" s="340" t="s">
        <v>470</v>
      </c>
      <c r="L40" s="342">
        <v>67.320000000000007</v>
      </c>
      <c r="M40" s="342">
        <v>40</v>
      </c>
      <c r="N40" s="343">
        <v>2692.8</v>
      </c>
    </row>
    <row r="41" spans="1:14" ht="14.4" customHeight="1" x14ac:dyDescent="0.3">
      <c r="A41" s="338" t="s">
        <v>343</v>
      </c>
      <c r="B41" s="339" t="s">
        <v>515</v>
      </c>
      <c r="C41" s="340" t="s">
        <v>348</v>
      </c>
      <c r="D41" s="341" t="s">
        <v>516</v>
      </c>
      <c r="E41" s="340" t="s">
        <v>356</v>
      </c>
      <c r="F41" s="341" t="s">
        <v>518</v>
      </c>
      <c r="G41" s="340" t="s">
        <v>357</v>
      </c>
      <c r="H41" s="340" t="s">
        <v>471</v>
      </c>
      <c r="I41" s="340" t="s">
        <v>83</v>
      </c>
      <c r="J41" s="340" t="s">
        <v>472</v>
      </c>
      <c r="K41" s="340" t="s">
        <v>473</v>
      </c>
      <c r="L41" s="342">
        <v>42.093160444682091</v>
      </c>
      <c r="M41" s="342">
        <v>16</v>
      </c>
      <c r="N41" s="343">
        <v>673.49056711491346</v>
      </c>
    </row>
    <row r="42" spans="1:14" ht="14.4" customHeight="1" x14ac:dyDescent="0.3">
      <c r="A42" s="338" t="s">
        <v>343</v>
      </c>
      <c r="B42" s="339" t="s">
        <v>515</v>
      </c>
      <c r="C42" s="340" t="s">
        <v>348</v>
      </c>
      <c r="D42" s="341" t="s">
        <v>516</v>
      </c>
      <c r="E42" s="340" t="s">
        <v>356</v>
      </c>
      <c r="F42" s="341" t="s">
        <v>518</v>
      </c>
      <c r="G42" s="340" t="s">
        <v>357</v>
      </c>
      <c r="H42" s="340" t="s">
        <v>474</v>
      </c>
      <c r="I42" s="340" t="s">
        <v>83</v>
      </c>
      <c r="J42" s="340" t="s">
        <v>475</v>
      </c>
      <c r="K42" s="340"/>
      <c r="L42" s="342">
        <v>68.78923661938704</v>
      </c>
      <c r="M42" s="342">
        <v>20</v>
      </c>
      <c r="N42" s="343">
        <v>1375.7847323877409</v>
      </c>
    </row>
    <row r="43" spans="1:14" ht="14.4" customHeight="1" x14ac:dyDescent="0.3">
      <c r="A43" s="338" t="s">
        <v>343</v>
      </c>
      <c r="B43" s="339" t="s">
        <v>515</v>
      </c>
      <c r="C43" s="340" t="s">
        <v>348</v>
      </c>
      <c r="D43" s="341" t="s">
        <v>516</v>
      </c>
      <c r="E43" s="340" t="s">
        <v>356</v>
      </c>
      <c r="F43" s="341" t="s">
        <v>518</v>
      </c>
      <c r="G43" s="340" t="s">
        <v>357</v>
      </c>
      <c r="H43" s="340" t="s">
        <v>476</v>
      </c>
      <c r="I43" s="340" t="s">
        <v>476</v>
      </c>
      <c r="J43" s="340" t="s">
        <v>477</v>
      </c>
      <c r="K43" s="340" t="s">
        <v>478</v>
      </c>
      <c r="L43" s="342">
        <v>58.616888665376045</v>
      </c>
      <c r="M43" s="342">
        <v>22</v>
      </c>
      <c r="N43" s="343">
        <v>1289.571550638273</v>
      </c>
    </row>
    <row r="44" spans="1:14" ht="14.4" customHeight="1" x14ac:dyDescent="0.3">
      <c r="A44" s="338" t="s">
        <v>343</v>
      </c>
      <c r="B44" s="339" t="s">
        <v>515</v>
      </c>
      <c r="C44" s="340" t="s">
        <v>348</v>
      </c>
      <c r="D44" s="341" t="s">
        <v>516</v>
      </c>
      <c r="E44" s="340" t="s">
        <v>356</v>
      </c>
      <c r="F44" s="341" t="s">
        <v>518</v>
      </c>
      <c r="G44" s="340" t="s">
        <v>357</v>
      </c>
      <c r="H44" s="340" t="s">
        <v>479</v>
      </c>
      <c r="I44" s="340" t="s">
        <v>479</v>
      </c>
      <c r="J44" s="340" t="s">
        <v>480</v>
      </c>
      <c r="K44" s="340" t="s">
        <v>481</v>
      </c>
      <c r="L44" s="342">
        <v>4216.8940000000002</v>
      </c>
      <c r="M44" s="342">
        <v>1</v>
      </c>
      <c r="N44" s="343">
        <v>4216.8940000000002</v>
      </c>
    </row>
    <row r="45" spans="1:14" ht="14.4" customHeight="1" x14ac:dyDescent="0.3">
      <c r="A45" s="338" t="s">
        <v>343</v>
      </c>
      <c r="B45" s="339" t="s">
        <v>515</v>
      </c>
      <c r="C45" s="340" t="s">
        <v>348</v>
      </c>
      <c r="D45" s="341" t="s">
        <v>516</v>
      </c>
      <c r="E45" s="340" t="s">
        <v>356</v>
      </c>
      <c r="F45" s="341" t="s">
        <v>518</v>
      </c>
      <c r="G45" s="340" t="s">
        <v>357</v>
      </c>
      <c r="H45" s="340" t="s">
        <v>482</v>
      </c>
      <c r="I45" s="340" t="s">
        <v>482</v>
      </c>
      <c r="J45" s="340" t="s">
        <v>483</v>
      </c>
      <c r="K45" s="340" t="s">
        <v>484</v>
      </c>
      <c r="L45" s="342">
        <v>112.38085048921563</v>
      </c>
      <c r="M45" s="342">
        <v>2</v>
      </c>
      <c r="N45" s="343">
        <v>224.76170097843126</v>
      </c>
    </row>
    <row r="46" spans="1:14" ht="14.4" customHeight="1" x14ac:dyDescent="0.3">
      <c r="A46" s="338" t="s">
        <v>343</v>
      </c>
      <c r="B46" s="339" t="s">
        <v>515</v>
      </c>
      <c r="C46" s="340" t="s">
        <v>348</v>
      </c>
      <c r="D46" s="341" t="s">
        <v>516</v>
      </c>
      <c r="E46" s="340" t="s">
        <v>356</v>
      </c>
      <c r="F46" s="341" t="s">
        <v>518</v>
      </c>
      <c r="G46" s="340" t="s">
        <v>357</v>
      </c>
      <c r="H46" s="340" t="s">
        <v>485</v>
      </c>
      <c r="I46" s="340" t="s">
        <v>83</v>
      </c>
      <c r="J46" s="340" t="s">
        <v>486</v>
      </c>
      <c r="K46" s="340" t="s">
        <v>487</v>
      </c>
      <c r="L46" s="342">
        <v>42.608762922834899</v>
      </c>
      <c r="M46" s="342">
        <v>2</v>
      </c>
      <c r="N46" s="343">
        <v>85.217525845669797</v>
      </c>
    </row>
    <row r="47" spans="1:14" ht="14.4" customHeight="1" x14ac:dyDescent="0.3">
      <c r="A47" s="338" t="s">
        <v>343</v>
      </c>
      <c r="B47" s="339" t="s">
        <v>515</v>
      </c>
      <c r="C47" s="340" t="s">
        <v>348</v>
      </c>
      <c r="D47" s="341" t="s">
        <v>516</v>
      </c>
      <c r="E47" s="340" t="s">
        <v>356</v>
      </c>
      <c r="F47" s="341" t="s">
        <v>518</v>
      </c>
      <c r="G47" s="340" t="s">
        <v>357</v>
      </c>
      <c r="H47" s="340" t="s">
        <v>488</v>
      </c>
      <c r="I47" s="340" t="s">
        <v>488</v>
      </c>
      <c r="J47" s="340" t="s">
        <v>489</v>
      </c>
      <c r="K47" s="340" t="s">
        <v>490</v>
      </c>
      <c r="L47" s="342">
        <v>4820.5200000000004</v>
      </c>
      <c r="M47" s="342">
        <v>2</v>
      </c>
      <c r="N47" s="343">
        <v>9641.0400000000009</v>
      </c>
    </row>
    <row r="48" spans="1:14" ht="14.4" customHeight="1" x14ac:dyDescent="0.3">
      <c r="A48" s="338" t="s">
        <v>343</v>
      </c>
      <c r="B48" s="339" t="s">
        <v>515</v>
      </c>
      <c r="C48" s="340" t="s">
        <v>348</v>
      </c>
      <c r="D48" s="341" t="s">
        <v>516</v>
      </c>
      <c r="E48" s="340" t="s">
        <v>356</v>
      </c>
      <c r="F48" s="341" t="s">
        <v>518</v>
      </c>
      <c r="G48" s="340" t="s">
        <v>357</v>
      </c>
      <c r="H48" s="340" t="s">
        <v>491</v>
      </c>
      <c r="I48" s="340" t="s">
        <v>491</v>
      </c>
      <c r="J48" s="340" t="s">
        <v>492</v>
      </c>
      <c r="K48" s="340" t="s">
        <v>493</v>
      </c>
      <c r="L48" s="342">
        <v>483.13088801840615</v>
      </c>
      <c r="M48" s="342">
        <v>7</v>
      </c>
      <c r="N48" s="343">
        <v>3381.9162161288432</v>
      </c>
    </row>
    <row r="49" spans="1:14" ht="14.4" customHeight="1" x14ac:dyDescent="0.3">
      <c r="A49" s="338" t="s">
        <v>343</v>
      </c>
      <c r="B49" s="339" t="s">
        <v>515</v>
      </c>
      <c r="C49" s="340" t="s">
        <v>348</v>
      </c>
      <c r="D49" s="341" t="s">
        <v>516</v>
      </c>
      <c r="E49" s="340" t="s">
        <v>356</v>
      </c>
      <c r="F49" s="341" t="s">
        <v>518</v>
      </c>
      <c r="G49" s="340" t="s">
        <v>357</v>
      </c>
      <c r="H49" s="340" t="s">
        <v>494</v>
      </c>
      <c r="I49" s="340" t="s">
        <v>494</v>
      </c>
      <c r="J49" s="340" t="s">
        <v>492</v>
      </c>
      <c r="K49" s="340" t="s">
        <v>495</v>
      </c>
      <c r="L49" s="342">
        <v>674.5100000000001</v>
      </c>
      <c r="M49" s="342">
        <v>3</v>
      </c>
      <c r="N49" s="343">
        <v>2023.5300000000002</v>
      </c>
    </row>
    <row r="50" spans="1:14" ht="14.4" customHeight="1" x14ac:dyDescent="0.3">
      <c r="A50" s="338" t="s">
        <v>343</v>
      </c>
      <c r="B50" s="339" t="s">
        <v>515</v>
      </c>
      <c r="C50" s="340" t="s">
        <v>348</v>
      </c>
      <c r="D50" s="341" t="s">
        <v>516</v>
      </c>
      <c r="E50" s="340" t="s">
        <v>496</v>
      </c>
      <c r="F50" s="341" t="s">
        <v>519</v>
      </c>
      <c r="G50" s="340" t="s">
        <v>357</v>
      </c>
      <c r="H50" s="340" t="s">
        <v>497</v>
      </c>
      <c r="I50" s="340" t="s">
        <v>498</v>
      </c>
      <c r="J50" s="340" t="s">
        <v>499</v>
      </c>
      <c r="K50" s="340" t="s">
        <v>500</v>
      </c>
      <c r="L50" s="342">
        <v>68.217282699898732</v>
      </c>
      <c r="M50" s="342">
        <v>98</v>
      </c>
      <c r="N50" s="343">
        <v>6685.2937045900762</v>
      </c>
    </row>
    <row r="51" spans="1:14" ht="14.4" customHeight="1" x14ac:dyDescent="0.3">
      <c r="A51" s="338" t="s">
        <v>343</v>
      </c>
      <c r="B51" s="339" t="s">
        <v>515</v>
      </c>
      <c r="C51" s="340" t="s">
        <v>348</v>
      </c>
      <c r="D51" s="341" t="s">
        <v>516</v>
      </c>
      <c r="E51" s="340" t="s">
        <v>496</v>
      </c>
      <c r="F51" s="341" t="s">
        <v>519</v>
      </c>
      <c r="G51" s="340" t="s">
        <v>357</v>
      </c>
      <c r="H51" s="340" t="s">
        <v>501</v>
      </c>
      <c r="I51" s="340" t="s">
        <v>502</v>
      </c>
      <c r="J51" s="340" t="s">
        <v>503</v>
      </c>
      <c r="K51" s="340" t="s">
        <v>504</v>
      </c>
      <c r="L51" s="342">
        <v>88.370000000000019</v>
      </c>
      <c r="M51" s="342">
        <v>7</v>
      </c>
      <c r="N51" s="343">
        <v>618.59000000000015</v>
      </c>
    </row>
    <row r="52" spans="1:14" ht="14.4" customHeight="1" x14ac:dyDescent="0.3">
      <c r="A52" s="338" t="s">
        <v>343</v>
      </c>
      <c r="B52" s="339" t="s">
        <v>515</v>
      </c>
      <c r="C52" s="340" t="s">
        <v>348</v>
      </c>
      <c r="D52" s="341" t="s">
        <v>516</v>
      </c>
      <c r="E52" s="340" t="s">
        <v>496</v>
      </c>
      <c r="F52" s="341" t="s">
        <v>519</v>
      </c>
      <c r="G52" s="340" t="s">
        <v>357</v>
      </c>
      <c r="H52" s="340" t="s">
        <v>505</v>
      </c>
      <c r="I52" s="340" t="s">
        <v>506</v>
      </c>
      <c r="J52" s="340" t="s">
        <v>507</v>
      </c>
      <c r="K52" s="340" t="s">
        <v>500</v>
      </c>
      <c r="L52" s="342">
        <v>60.204890724067646</v>
      </c>
      <c r="M52" s="342">
        <v>22</v>
      </c>
      <c r="N52" s="343">
        <v>1324.5075959294882</v>
      </c>
    </row>
    <row r="53" spans="1:14" ht="14.4" customHeight="1" x14ac:dyDescent="0.3">
      <c r="A53" s="338" t="s">
        <v>343</v>
      </c>
      <c r="B53" s="339" t="s">
        <v>515</v>
      </c>
      <c r="C53" s="340" t="s">
        <v>348</v>
      </c>
      <c r="D53" s="341" t="s">
        <v>516</v>
      </c>
      <c r="E53" s="340" t="s">
        <v>496</v>
      </c>
      <c r="F53" s="341" t="s">
        <v>519</v>
      </c>
      <c r="G53" s="340" t="s">
        <v>508</v>
      </c>
      <c r="H53" s="340" t="s">
        <v>509</v>
      </c>
      <c r="I53" s="340" t="s">
        <v>509</v>
      </c>
      <c r="J53" s="340" t="s">
        <v>510</v>
      </c>
      <c r="K53" s="340" t="s">
        <v>511</v>
      </c>
      <c r="L53" s="342">
        <v>1936.2199999999998</v>
      </c>
      <c r="M53" s="342">
        <v>4</v>
      </c>
      <c r="N53" s="343">
        <v>7744.8799999999992</v>
      </c>
    </row>
    <row r="54" spans="1:14" ht="14.4" customHeight="1" x14ac:dyDescent="0.3">
      <c r="A54" s="338" t="s">
        <v>343</v>
      </c>
      <c r="B54" s="339" t="s">
        <v>515</v>
      </c>
      <c r="C54" s="340" t="s">
        <v>353</v>
      </c>
      <c r="D54" s="341" t="s">
        <v>517</v>
      </c>
      <c r="E54" s="340" t="s">
        <v>356</v>
      </c>
      <c r="F54" s="341" t="s">
        <v>518</v>
      </c>
      <c r="G54" s="340" t="s">
        <v>357</v>
      </c>
      <c r="H54" s="340" t="s">
        <v>370</v>
      </c>
      <c r="I54" s="340" t="s">
        <v>371</v>
      </c>
      <c r="J54" s="340" t="s">
        <v>372</v>
      </c>
      <c r="K54" s="340" t="s">
        <v>373</v>
      </c>
      <c r="L54" s="342">
        <v>74.089828010610475</v>
      </c>
      <c r="M54" s="342">
        <v>16</v>
      </c>
      <c r="N54" s="343">
        <v>1185.4372481697676</v>
      </c>
    </row>
    <row r="55" spans="1:14" ht="14.4" customHeight="1" x14ac:dyDescent="0.3">
      <c r="A55" s="338" t="s">
        <v>343</v>
      </c>
      <c r="B55" s="339" t="s">
        <v>515</v>
      </c>
      <c r="C55" s="340" t="s">
        <v>353</v>
      </c>
      <c r="D55" s="341" t="s">
        <v>517</v>
      </c>
      <c r="E55" s="340" t="s">
        <v>356</v>
      </c>
      <c r="F55" s="341" t="s">
        <v>518</v>
      </c>
      <c r="G55" s="340" t="s">
        <v>357</v>
      </c>
      <c r="H55" s="340" t="s">
        <v>374</v>
      </c>
      <c r="I55" s="340" t="s">
        <v>375</v>
      </c>
      <c r="J55" s="340" t="s">
        <v>376</v>
      </c>
      <c r="K55" s="340" t="s">
        <v>377</v>
      </c>
      <c r="L55" s="342">
        <v>375.7999999999999</v>
      </c>
      <c r="M55" s="342">
        <v>2</v>
      </c>
      <c r="N55" s="343">
        <v>751.5999999999998</v>
      </c>
    </row>
    <row r="56" spans="1:14" ht="14.4" customHeight="1" x14ac:dyDescent="0.3">
      <c r="A56" s="338" t="s">
        <v>343</v>
      </c>
      <c r="B56" s="339" t="s">
        <v>515</v>
      </c>
      <c r="C56" s="340" t="s">
        <v>353</v>
      </c>
      <c r="D56" s="341" t="s">
        <v>517</v>
      </c>
      <c r="E56" s="340" t="s">
        <v>356</v>
      </c>
      <c r="F56" s="341" t="s">
        <v>518</v>
      </c>
      <c r="G56" s="340" t="s">
        <v>357</v>
      </c>
      <c r="H56" s="340" t="s">
        <v>397</v>
      </c>
      <c r="I56" s="340" t="s">
        <v>398</v>
      </c>
      <c r="J56" s="340" t="s">
        <v>399</v>
      </c>
      <c r="K56" s="340" t="s">
        <v>400</v>
      </c>
      <c r="L56" s="342">
        <v>531.26924625708057</v>
      </c>
      <c r="M56" s="342">
        <v>4</v>
      </c>
      <c r="N56" s="343">
        <v>2125.0769850283223</v>
      </c>
    </row>
    <row r="57" spans="1:14" ht="14.4" customHeight="1" x14ac:dyDescent="0.3">
      <c r="A57" s="338" t="s">
        <v>343</v>
      </c>
      <c r="B57" s="339" t="s">
        <v>515</v>
      </c>
      <c r="C57" s="340" t="s">
        <v>353</v>
      </c>
      <c r="D57" s="341" t="s">
        <v>517</v>
      </c>
      <c r="E57" s="340" t="s">
        <v>356</v>
      </c>
      <c r="F57" s="341" t="s">
        <v>518</v>
      </c>
      <c r="G57" s="340" t="s">
        <v>357</v>
      </c>
      <c r="H57" s="340" t="s">
        <v>512</v>
      </c>
      <c r="I57" s="340" t="s">
        <v>513</v>
      </c>
      <c r="J57" s="340" t="s">
        <v>399</v>
      </c>
      <c r="K57" s="340" t="s">
        <v>514</v>
      </c>
      <c r="L57" s="342">
        <v>312.83999999999997</v>
      </c>
      <c r="M57" s="342">
        <v>17</v>
      </c>
      <c r="N57" s="343">
        <v>5318.28</v>
      </c>
    </row>
    <row r="58" spans="1:14" ht="14.4" customHeight="1" x14ac:dyDescent="0.3">
      <c r="A58" s="338" t="s">
        <v>343</v>
      </c>
      <c r="B58" s="339" t="s">
        <v>515</v>
      </c>
      <c r="C58" s="340" t="s">
        <v>353</v>
      </c>
      <c r="D58" s="341" t="s">
        <v>517</v>
      </c>
      <c r="E58" s="340" t="s">
        <v>356</v>
      </c>
      <c r="F58" s="341" t="s">
        <v>518</v>
      </c>
      <c r="G58" s="340" t="s">
        <v>357</v>
      </c>
      <c r="H58" s="340" t="s">
        <v>407</v>
      </c>
      <c r="I58" s="340" t="s">
        <v>83</v>
      </c>
      <c r="J58" s="340" t="s">
        <v>408</v>
      </c>
      <c r="K58" s="340" t="s">
        <v>409</v>
      </c>
      <c r="L58" s="342">
        <v>23.700489134921433</v>
      </c>
      <c r="M58" s="342">
        <v>30</v>
      </c>
      <c r="N58" s="343">
        <v>711.01467404764298</v>
      </c>
    </row>
    <row r="59" spans="1:14" ht="14.4" customHeight="1" x14ac:dyDescent="0.3">
      <c r="A59" s="338" t="s">
        <v>343</v>
      </c>
      <c r="B59" s="339" t="s">
        <v>515</v>
      </c>
      <c r="C59" s="340" t="s">
        <v>353</v>
      </c>
      <c r="D59" s="341" t="s">
        <v>517</v>
      </c>
      <c r="E59" s="340" t="s">
        <v>356</v>
      </c>
      <c r="F59" s="341" t="s">
        <v>518</v>
      </c>
      <c r="G59" s="340" t="s">
        <v>357</v>
      </c>
      <c r="H59" s="340" t="s">
        <v>410</v>
      </c>
      <c r="I59" s="340" t="s">
        <v>411</v>
      </c>
      <c r="J59" s="340" t="s">
        <v>412</v>
      </c>
      <c r="K59" s="340" t="s">
        <v>413</v>
      </c>
      <c r="L59" s="342">
        <v>60.949999999999982</v>
      </c>
      <c r="M59" s="342">
        <v>11</v>
      </c>
      <c r="N59" s="343">
        <v>670.44999999999982</v>
      </c>
    </row>
    <row r="60" spans="1:14" ht="14.4" customHeight="1" x14ac:dyDescent="0.3">
      <c r="A60" s="338" t="s">
        <v>343</v>
      </c>
      <c r="B60" s="339" t="s">
        <v>515</v>
      </c>
      <c r="C60" s="340" t="s">
        <v>353</v>
      </c>
      <c r="D60" s="341" t="s">
        <v>517</v>
      </c>
      <c r="E60" s="340" t="s">
        <v>356</v>
      </c>
      <c r="F60" s="341" t="s">
        <v>518</v>
      </c>
      <c r="G60" s="340" t="s">
        <v>357</v>
      </c>
      <c r="H60" s="340" t="s">
        <v>419</v>
      </c>
      <c r="I60" s="340" t="s">
        <v>420</v>
      </c>
      <c r="J60" s="340" t="s">
        <v>399</v>
      </c>
      <c r="K60" s="340" t="s">
        <v>421</v>
      </c>
      <c r="L60" s="342">
        <v>201.30000000000004</v>
      </c>
      <c r="M60" s="342">
        <v>3</v>
      </c>
      <c r="N60" s="343">
        <v>603.90000000000009</v>
      </c>
    </row>
    <row r="61" spans="1:14" ht="14.4" customHeight="1" x14ac:dyDescent="0.3">
      <c r="A61" s="338" t="s">
        <v>343</v>
      </c>
      <c r="B61" s="339" t="s">
        <v>515</v>
      </c>
      <c r="C61" s="340" t="s">
        <v>353</v>
      </c>
      <c r="D61" s="341" t="s">
        <v>517</v>
      </c>
      <c r="E61" s="340" t="s">
        <v>356</v>
      </c>
      <c r="F61" s="341" t="s">
        <v>518</v>
      </c>
      <c r="G61" s="340" t="s">
        <v>357</v>
      </c>
      <c r="H61" s="340" t="s">
        <v>426</v>
      </c>
      <c r="I61" s="340" t="s">
        <v>427</v>
      </c>
      <c r="J61" s="340" t="s">
        <v>428</v>
      </c>
      <c r="K61" s="340"/>
      <c r="L61" s="342">
        <v>252.97800000000004</v>
      </c>
      <c r="M61" s="342">
        <v>6</v>
      </c>
      <c r="N61" s="343">
        <v>1517.8680000000002</v>
      </c>
    </row>
    <row r="62" spans="1:14" ht="14.4" customHeight="1" thickBot="1" x14ac:dyDescent="0.35">
      <c r="A62" s="344" t="s">
        <v>343</v>
      </c>
      <c r="B62" s="345" t="s">
        <v>515</v>
      </c>
      <c r="C62" s="346" t="s">
        <v>353</v>
      </c>
      <c r="D62" s="347" t="s">
        <v>517</v>
      </c>
      <c r="E62" s="346" t="s">
        <v>356</v>
      </c>
      <c r="F62" s="347" t="s">
        <v>518</v>
      </c>
      <c r="G62" s="346" t="s">
        <v>357</v>
      </c>
      <c r="H62" s="346" t="s">
        <v>440</v>
      </c>
      <c r="I62" s="346" t="s">
        <v>83</v>
      </c>
      <c r="J62" s="346" t="s">
        <v>441</v>
      </c>
      <c r="K62" s="346"/>
      <c r="L62" s="348">
        <v>91.907115175204368</v>
      </c>
      <c r="M62" s="348">
        <v>13</v>
      </c>
      <c r="N62" s="349">
        <v>1194.7924972776568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80" customWidth="1"/>
    <col min="2" max="2" width="10" style="138" customWidth="1"/>
    <col min="3" max="3" width="5.5546875" style="141" customWidth="1"/>
    <col min="4" max="4" width="10" style="138" customWidth="1"/>
    <col min="5" max="5" width="5.5546875" style="141" customWidth="1"/>
    <col min="6" max="6" width="10" style="138" customWidth="1"/>
    <col min="7" max="16384" width="8.88671875" style="80"/>
  </cols>
  <sheetData>
    <row r="1" spans="1:6" ht="37.200000000000003" customHeight="1" thickBot="1" x14ac:dyDescent="0.4">
      <c r="A1" s="272" t="s">
        <v>81</v>
      </c>
      <c r="B1" s="273"/>
      <c r="C1" s="273"/>
      <c r="D1" s="273"/>
      <c r="E1" s="273"/>
      <c r="F1" s="273"/>
    </row>
    <row r="2" spans="1:6" ht="14.4" customHeight="1" thickBot="1" x14ac:dyDescent="0.35">
      <c r="A2" s="151" t="s">
        <v>180</v>
      </c>
      <c r="B2" s="41"/>
      <c r="C2" s="42"/>
      <c r="D2" s="43"/>
      <c r="E2" s="42"/>
      <c r="F2" s="43"/>
    </row>
    <row r="3" spans="1:6" ht="14.4" customHeight="1" thickBot="1" x14ac:dyDescent="0.35">
      <c r="A3" s="57"/>
      <c r="B3" s="274" t="s">
        <v>53</v>
      </c>
      <c r="C3" s="275"/>
      <c r="D3" s="276" t="s">
        <v>52</v>
      </c>
      <c r="E3" s="275"/>
      <c r="F3" s="48" t="s">
        <v>3</v>
      </c>
    </row>
    <row r="4" spans="1:6" ht="14.4" customHeight="1" thickBot="1" x14ac:dyDescent="0.35">
      <c r="A4" s="350" t="s">
        <v>65</v>
      </c>
      <c r="B4" s="351" t="s">
        <v>14</v>
      </c>
      <c r="C4" s="352" t="s">
        <v>2</v>
      </c>
      <c r="D4" s="351" t="s">
        <v>14</v>
      </c>
      <c r="E4" s="352" t="s">
        <v>2</v>
      </c>
      <c r="F4" s="353" t="s">
        <v>14</v>
      </c>
    </row>
    <row r="5" spans="1:6" ht="14.4" customHeight="1" thickBot="1" x14ac:dyDescent="0.35">
      <c r="A5" s="364" t="s">
        <v>520</v>
      </c>
      <c r="B5" s="330"/>
      <c r="C5" s="354">
        <v>0</v>
      </c>
      <c r="D5" s="330">
        <v>7744.88</v>
      </c>
      <c r="E5" s="354">
        <v>1</v>
      </c>
      <c r="F5" s="331">
        <v>7744.88</v>
      </c>
    </row>
    <row r="6" spans="1:6" ht="14.4" customHeight="1" thickBot="1" x14ac:dyDescent="0.35">
      <c r="A6" s="360" t="s">
        <v>3</v>
      </c>
      <c r="B6" s="361"/>
      <c r="C6" s="362">
        <v>0</v>
      </c>
      <c r="D6" s="361">
        <v>7744.88</v>
      </c>
      <c r="E6" s="362">
        <v>1</v>
      </c>
      <c r="F6" s="363">
        <v>7744.88</v>
      </c>
    </row>
    <row r="7" spans="1:6" ht="14.4" customHeight="1" thickBot="1" x14ac:dyDescent="0.35"/>
    <row r="8" spans="1:6" ht="14.4" customHeight="1" thickBot="1" x14ac:dyDescent="0.35">
      <c r="A8" s="364" t="s">
        <v>521</v>
      </c>
      <c r="B8" s="330"/>
      <c r="C8" s="354">
        <v>0</v>
      </c>
      <c r="D8" s="330">
        <v>7744.88</v>
      </c>
      <c r="E8" s="354">
        <v>1</v>
      </c>
      <c r="F8" s="331">
        <v>7744.88</v>
      </c>
    </row>
    <row r="9" spans="1:6" ht="14.4" customHeight="1" thickBot="1" x14ac:dyDescent="0.35">
      <c r="A9" s="360" t="s">
        <v>3</v>
      </c>
      <c r="B9" s="361"/>
      <c r="C9" s="362">
        <v>0</v>
      </c>
      <c r="D9" s="361">
        <v>7744.88</v>
      </c>
      <c r="E9" s="362">
        <v>1</v>
      </c>
      <c r="F9" s="363">
        <v>7744.88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80" bestFit="1" customWidth="1"/>
    <col min="2" max="2" width="8.88671875" style="80" bestFit="1" customWidth="1"/>
    <col min="3" max="3" width="7" style="80" bestFit="1" customWidth="1"/>
    <col min="4" max="4" width="53.44140625" style="80" bestFit="1" customWidth="1"/>
    <col min="5" max="5" width="28.44140625" style="80" bestFit="1" customWidth="1"/>
    <col min="6" max="6" width="6.6640625" style="138" customWidth="1"/>
    <col min="7" max="7" width="10" style="138" customWidth="1"/>
    <col min="8" max="8" width="6.77734375" style="141" bestFit="1" customWidth="1"/>
    <col min="9" max="9" width="6.6640625" style="138" customWidth="1"/>
    <col min="10" max="10" width="10" style="138" customWidth="1"/>
    <col min="11" max="11" width="6.77734375" style="141" bestFit="1" customWidth="1"/>
    <col min="12" max="12" width="6.6640625" style="138" customWidth="1"/>
    <col min="13" max="13" width="10" style="138" customWidth="1"/>
    <col min="14" max="16384" width="8.88671875" style="80"/>
  </cols>
  <sheetData>
    <row r="1" spans="1:13" ht="18.600000000000001" customHeight="1" thickBot="1" x14ac:dyDescent="0.4">
      <c r="A1" s="273" t="s">
        <v>523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37"/>
      <c r="M1" s="237"/>
    </row>
    <row r="2" spans="1:13" ht="14.4" customHeight="1" thickBot="1" x14ac:dyDescent="0.35">
      <c r="A2" s="151" t="s">
        <v>180</v>
      </c>
      <c r="B2" s="137"/>
      <c r="C2" s="137"/>
      <c r="D2" s="137"/>
      <c r="E2" s="137"/>
      <c r="F2" s="145"/>
      <c r="G2" s="145"/>
      <c r="H2" s="146"/>
      <c r="I2" s="145"/>
      <c r="J2" s="145"/>
      <c r="K2" s="146"/>
      <c r="L2" s="145"/>
    </row>
    <row r="3" spans="1:13" ht="14.4" customHeight="1" thickBot="1" x14ac:dyDescent="0.35">
      <c r="E3" s="47" t="s">
        <v>51</v>
      </c>
      <c r="F3" s="33">
        <f>SUBTOTAL(9,F6:F1048576)</f>
        <v>0</v>
      </c>
      <c r="G3" s="33">
        <f>SUBTOTAL(9,G6:G1048576)</f>
        <v>0</v>
      </c>
      <c r="H3" s="34">
        <f>IF(M3=0,0,G3/M3)</f>
        <v>0</v>
      </c>
      <c r="I3" s="33">
        <f>SUBTOTAL(9,I6:I1048576)</f>
        <v>4</v>
      </c>
      <c r="J3" s="33">
        <f>SUBTOTAL(9,J6:J1048576)</f>
        <v>7744.88</v>
      </c>
      <c r="K3" s="34">
        <f>IF(M3=0,0,J3/M3)</f>
        <v>1</v>
      </c>
      <c r="L3" s="33">
        <f>SUBTOTAL(9,L6:L1048576)</f>
        <v>4</v>
      </c>
      <c r="M3" s="35">
        <f>SUBTOTAL(9,M6:M1048576)</f>
        <v>7744.88</v>
      </c>
    </row>
    <row r="4" spans="1:13" ht="14.4" customHeight="1" thickBot="1" x14ac:dyDescent="0.35">
      <c r="A4" s="31"/>
      <c r="B4" s="31"/>
      <c r="C4" s="31"/>
      <c r="D4" s="31"/>
      <c r="E4" s="32"/>
      <c r="F4" s="277" t="s">
        <v>53</v>
      </c>
      <c r="G4" s="278"/>
      <c r="H4" s="279"/>
      <c r="I4" s="280" t="s">
        <v>52</v>
      </c>
      <c r="J4" s="278"/>
      <c r="K4" s="279"/>
      <c r="L4" s="281" t="s">
        <v>3</v>
      </c>
      <c r="M4" s="282"/>
    </row>
    <row r="5" spans="1:13" ht="14.4" customHeight="1" thickBot="1" x14ac:dyDescent="0.35">
      <c r="A5" s="350" t="s">
        <v>54</v>
      </c>
      <c r="B5" s="366" t="s">
        <v>55</v>
      </c>
      <c r="C5" s="366" t="s">
        <v>31</v>
      </c>
      <c r="D5" s="366" t="s">
        <v>56</v>
      </c>
      <c r="E5" s="366" t="s">
        <v>57</v>
      </c>
      <c r="F5" s="367" t="s">
        <v>15</v>
      </c>
      <c r="G5" s="367" t="s">
        <v>14</v>
      </c>
      <c r="H5" s="352" t="s">
        <v>58</v>
      </c>
      <c r="I5" s="351" t="s">
        <v>15</v>
      </c>
      <c r="J5" s="367" t="s">
        <v>14</v>
      </c>
      <c r="K5" s="352" t="s">
        <v>58</v>
      </c>
      <c r="L5" s="351" t="s">
        <v>15</v>
      </c>
      <c r="M5" s="368" t="s">
        <v>14</v>
      </c>
    </row>
    <row r="6" spans="1:13" ht="14.4" customHeight="1" thickBot="1" x14ac:dyDescent="0.35">
      <c r="A6" s="357" t="s">
        <v>348</v>
      </c>
      <c r="B6" s="369" t="s">
        <v>522</v>
      </c>
      <c r="C6" s="369" t="s">
        <v>509</v>
      </c>
      <c r="D6" s="369" t="s">
        <v>510</v>
      </c>
      <c r="E6" s="369" t="s">
        <v>511</v>
      </c>
      <c r="F6" s="358"/>
      <c r="G6" s="358"/>
      <c r="H6" s="219">
        <v>0</v>
      </c>
      <c r="I6" s="358">
        <v>4</v>
      </c>
      <c r="J6" s="358">
        <v>7744.88</v>
      </c>
      <c r="K6" s="219">
        <v>1</v>
      </c>
      <c r="L6" s="358">
        <v>4</v>
      </c>
      <c r="M6" s="359">
        <v>7744.88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9" customWidth="1"/>
    <col min="2" max="2" width="5.44140625" style="138" bestFit="1" customWidth="1"/>
    <col min="3" max="3" width="6.109375" style="138" bestFit="1" customWidth="1"/>
    <col min="4" max="4" width="7.44140625" style="138" bestFit="1" customWidth="1"/>
    <col min="5" max="5" width="6.21875" style="138" bestFit="1" customWidth="1"/>
    <col min="6" max="6" width="6.33203125" style="141" bestFit="1" customWidth="1"/>
    <col min="7" max="7" width="6.109375" style="141" bestFit="1" customWidth="1"/>
    <col min="8" max="8" width="7.44140625" style="141" bestFit="1" customWidth="1"/>
    <col min="9" max="9" width="6.21875" style="141" bestFit="1" customWidth="1"/>
    <col min="10" max="10" width="5.44140625" style="138" bestFit="1" customWidth="1"/>
    <col min="11" max="11" width="6.109375" style="138" bestFit="1" customWidth="1"/>
    <col min="12" max="12" width="7.44140625" style="138" bestFit="1" customWidth="1"/>
    <col min="13" max="13" width="6.21875" style="138" bestFit="1" customWidth="1"/>
    <col min="14" max="14" width="5.33203125" style="141" bestFit="1" customWidth="1"/>
    <col min="15" max="15" width="6.109375" style="141" bestFit="1" customWidth="1"/>
    <col min="16" max="16" width="7.44140625" style="141" bestFit="1" customWidth="1"/>
    <col min="17" max="17" width="6.21875" style="141" bestFit="1" customWidth="1"/>
    <col min="18" max="16384" width="8.88671875" style="80"/>
  </cols>
  <sheetData>
    <row r="1" spans="1:17" ht="18.600000000000001" customHeight="1" thickBot="1" x14ac:dyDescent="0.4">
      <c r="A1" s="273" t="s">
        <v>159</v>
      </c>
      <c r="B1" s="273"/>
      <c r="C1" s="273"/>
      <c r="D1" s="273"/>
      <c r="E1" s="273"/>
      <c r="F1" s="238"/>
      <c r="G1" s="238"/>
      <c r="H1" s="238"/>
      <c r="I1" s="238"/>
      <c r="J1" s="266"/>
      <c r="K1" s="266"/>
      <c r="L1" s="266"/>
      <c r="M1" s="266"/>
      <c r="N1" s="266"/>
      <c r="O1" s="266"/>
      <c r="P1" s="266"/>
      <c r="Q1" s="266"/>
    </row>
    <row r="2" spans="1:17" ht="14.4" customHeight="1" thickBot="1" x14ac:dyDescent="0.35">
      <c r="A2" s="151" t="s">
        <v>180</v>
      </c>
      <c r="B2" s="145"/>
      <c r="C2" s="145"/>
      <c r="D2" s="145"/>
      <c r="E2" s="145"/>
    </row>
    <row r="3" spans="1:17" ht="14.4" customHeight="1" thickBot="1" x14ac:dyDescent="0.35">
      <c r="A3" s="218" t="s">
        <v>3</v>
      </c>
      <c r="B3" s="222">
        <f>SUM(B6:B1048576)</f>
        <v>631</v>
      </c>
      <c r="C3" s="223">
        <f>SUM(C6:C1048576)</f>
        <v>3</v>
      </c>
      <c r="D3" s="223">
        <f>SUM(D6:D1048576)</f>
        <v>0</v>
      </c>
      <c r="E3" s="224">
        <f>SUM(E6:E1048576)</f>
        <v>0</v>
      </c>
      <c r="F3" s="221">
        <f>IF(SUM($B3:$E3)=0,"",B3/SUM($B3:$E3))</f>
        <v>0.99526813880126186</v>
      </c>
      <c r="G3" s="219">
        <f t="shared" ref="G3:I3" si="0">IF(SUM($B3:$E3)=0,"",C3/SUM($B3:$E3))</f>
        <v>4.7318611987381704E-3</v>
      </c>
      <c r="H3" s="219">
        <f t="shared" si="0"/>
        <v>0</v>
      </c>
      <c r="I3" s="220">
        <f t="shared" si="0"/>
        <v>0</v>
      </c>
      <c r="J3" s="223">
        <f>SUM(J6:J1048576)</f>
        <v>168</v>
      </c>
      <c r="K3" s="223">
        <f>SUM(K6:K1048576)</f>
        <v>2</v>
      </c>
      <c r="L3" s="223">
        <f>SUM(L6:L1048576)</f>
        <v>0</v>
      </c>
      <c r="M3" s="224">
        <f>SUM(M6:M1048576)</f>
        <v>0</v>
      </c>
      <c r="N3" s="221">
        <f>IF(SUM($J3:$M3)=0,"",J3/SUM($J3:$M3))</f>
        <v>0.9882352941176471</v>
      </c>
      <c r="O3" s="219">
        <f t="shared" ref="O3:Q3" si="1">IF(SUM($J3:$M3)=0,"",K3/SUM($J3:$M3))</f>
        <v>1.1764705882352941E-2</v>
      </c>
      <c r="P3" s="219">
        <f t="shared" si="1"/>
        <v>0</v>
      </c>
      <c r="Q3" s="220">
        <f t="shared" si="1"/>
        <v>0</v>
      </c>
    </row>
    <row r="4" spans="1:17" ht="14.4" customHeight="1" thickBot="1" x14ac:dyDescent="0.35">
      <c r="A4" s="217"/>
      <c r="B4" s="286" t="s">
        <v>161</v>
      </c>
      <c r="C4" s="287"/>
      <c r="D4" s="287"/>
      <c r="E4" s="288"/>
      <c r="F4" s="283" t="s">
        <v>166</v>
      </c>
      <c r="G4" s="284"/>
      <c r="H4" s="284"/>
      <c r="I4" s="285"/>
      <c r="J4" s="286" t="s">
        <v>167</v>
      </c>
      <c r="K4" s="287"/>
      <c r="L4" s="287"/>
      <c r="M4" s="288"/>
      <c r="N4" s="283" t="s">
        <v>168</v>
      </c>
      <c r="O4" s="284"/>
      <c r="P4" s="284"/>
      <c r="Q4" s="285"/>
    </row>
    <row r="5" spans="1:17" ht="14.4" customHeight="1" thickBot="1" x14ac:dyDescent="0.35">
      <c r="A5" s="370" t="s">
        <v>160</v>
      </c>
      <c r="B5" s="371" t="s">
        <v>162</v>
      </c>
      <c r="C5" s="371" t="s">
        <v>163</v>
      </c>
      <c r="D5" s="371" t="s">
        <v>164</v>
      </c>
      <c r="E5" s="372" t="s">
        <v>165</v>
      </c>
      <c r="F5" s="373" t="s">
        <v>162</v>
      </c>
      <c r="G5" s="374" t="s">
        <v>163</v>
      </c>
      <c r="H5" s="374" t="s">
        <v>164</v>
      </c>
      <c r="I5" s="375" t="s">
        <v>165</v>
      </c>
      <c r="J5" s="371" t="s">
        <v>162</v>
      </c>
      <c r="K5" s="371" t="s">
        <v>163</v>
      </c>
      <c r="L5" s="371" t="s">
        <v>164</v>
      </c>
      <c r="M5" s="372" t="s">
        <v>165</v>
      </c>
      <c r="N5" s="373" t="s">
        <v>162</v>
      </c>
      <c r="O5" s="374" t="s">
        <v>163</v>
      </c>
      <c r="P5" s="374" t="s">
        <v>164</v>
      </c>
      <c r="Q5" s="375" t="s">
        <v>165</v>
      </c>
    </row>
    <row r="6" spans="1:17" ht="14.4" customHeight="1" x14ac:dyDescent="0.3">
      <c r="A6" s="380" t="s">
        <v>524</v>
      </c>
      <c r="B6" s="386"/>
      <c r="C6" s="336"/>
      <c r="D6" s="336"/>
      <c r="E6" s="337"/>
      <c r="F6" s="383"/>
      <c r="G6" s="355"/>
      <c r="H6" s="355"/>
      <c r="I6" s="389"/>
      <c r="J6" s="386"/>
      <c r="K6" s="336"/>
      <c r="L6" s="336"/>
      <c r="M6" s="337"/>
      <c r="N6" s="383"/>
      <c r="O6" s="355"/>
      <c r="P6" s="355"/>
      <c r="Q6" s="376"/>
    </row>
    <row r="7" spans="1:17" ht="14.4" customHeight="1" x14ac:dyDescent="0.3">
      <c r="A7" s="381" t="s">
        <v>525</v>
      </c>
      <c r="B7" s="387">
        <v>597</v>
      </c>
      <c r="C7" s="342">
        <v>3</v>
      </c>
      <c r="D7" s="342"/>
      <c r="E7" s="343"/>
      <c r="F7" s="384">
        <v>0.995</v>
      </c>
      <c r="G7" s="377">
        <v>5.0000000000000001E-3</v>
      </c>
      <c r="H7" s="377">
        <v>0</v>
      </c>
      <c r="I7" s="390">
        <v>0</v>
      </c>
      <c r="J7" s="387">
        <v>151</v>
      </c>
      <c r="K7" s="342">
        <v>2</v>
      </c>
      <c r="L7" s="342"/>
      <c r="M7" s="343"/>
      <c r="N7" s="384">
        <v>0.98692810457516345</v>
      </c>
      <c r="O7" s="377">
        <v>1.3071895424836602E-2</v>
      </c>
      <c r="P7" s="377">
        <v>0</v>
      </c>
      <c r="Q7" s="378">
        <v>0</v>
      </c>
    </row>
    <row r="8" spans="1:17" ht="14.4" customHeight="1" thickBot="1" x14ac:dyDescent="0.35">
      <c r="A8" s="382" t="s">
        <v>526</v>
      </c>
      <c r="B8" s="388">
        <v>34</v>
      </c>
      <c r="C8" s="348"/>
      <c r="D8" s="348"/>
      <c r="E8" s="349"/>
      <c r="F8" s="385">
        <v>1</v>
      </c>
      <c r="G8" s="356">
        <v>0</v>
      </c>
      <c r="H8" s="356">
        <v>0</v>
      </c>
      <c r="I8" s="391">
        <v>0</v>
      </c>
      <c r="J8" s="388">
        <v>17</v>
      </c>
      <c r="K8" s="348"/>
      <c r="L8" s="348"/>
      <c r="M8" s="349"/>
      <c r="N8" s="385">
        <v>1</v>
      </c>
      <c r="O8" s="356">
        <v>0</v>
      </c>
      <c r="P8" s="356">
        <v>0</v>
      </c>
      <c r="Q8" s="3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39" customWidth="1"/>
    <col min="2" max="2" width="61.109375" style="139" customWidth="1"/>
    <col min="3" max="3" width="9.5546875" style="80" customWidth="1"/>
    <col min="4" max="4" width="9.5546875" style="140" customWidth="1"/>
    <col min="5" max="5" width="2.21875" style="140" customWidth="1"/>
    <col min="6" max="6" width="9.5546875" style="141" customWidth="1"/>
    <col min="7" max="7" width="9.5546875" style="138" customWidth="1"/>
    <col min="8" max="9" width="9.5546875" style="80" customWidth="1"/>
    <col min="10" max="10" width="0" style="80" hidden="1" customWidth="1"/>
    <col min="11" max="16384" width="8.88671875" style="80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8"/>
      <c r="H1" s="266"/>
      <c r="I1" s="266"/>
    </row>
    <row r="2" spans="1:10" ht="14.4" customHeight="1" thickBot="1" x14ac:dyDescent="0.35">
      <c r="A2" s="151" t="s">
        <v>180</v>
      </c>
      <c r="B2" s="137"/>
      <c r="C2" s="137"/>
      <c r="D2" s="137"/>
      <c r="E2" s="137"/>
      <c r="F2" s="137"/>
    </row>
    <row r="3" spans="1:10" ht="14.4" customHeight="1" thickBot="1" x14ac:dyDescent="0.35">
      <c r="A3" s="151"/>
      <c r="B3" s="137"/>
      <c r="C3" s="209">
        <v>2013</v>
      </c>
      <c r="D3" s="210">
        <v>2014</v>
      </c>
      <c r="E3" s="7"/>
      <c r="F3" s="259">
        <v>2015</v>
      </c>
      <c r="G3" s="260"/>
      <c r="H3" s="260"/>
      <c r="I3" s="261"/>
    </row>
    <row r="4" spans="1:10" ht="14.4" customHeight="1" thickBot="1" x14ac:dyDescent="0.35">
      <c r="A4" s="214" t="s">
        <v>0</v>
      </c>
      <c r="B4" s="215" t="s">
        <v>158</v>
      </c>
      <c r="C4" s="262" t="s">
        <v>32</v>
      </c>
      <c r="D4" s="263"/>
      <c r="E4" s="216"/>
      <c r="F4" s="211" t="s">
        <v>32</v>
      </c>
      <c r="G4" s="212" t="s">
        <v>33</v>
      </c>
      <c r="H4" s="212" t="s">
        <v>29</v>
      </c>
      <c r="I4" s="213" t="s">
        <v>34</v>
      </c>
    </row>
    <row r="5" spans="1:10" ht="14.4" customHeight="1" x14ac:dyDescent="0.3">
      <c r="A5" s="320" t="s">
        <v>343</v>
      </c>
      <c r="B5" s="321" t="s">
        <v>344</v>
      </c>
      <c r="C5" s="322" t="s">
        <v>345</v>
      </c>
      <c r="D5" s="322" t="s">
        <v>345</v>
      </c>
      <c r="E5" s="322"/>
      <c r="F5" s="322" t="s">
        <v>345</v>
      </c>
      <c r="G5" s="322" t="s">
        <v>345</v>
      </c>
      <c r="H5" s="322" t="s">
        <v>345</v>
      </c>
      <c r="I5" s="323" t="s">
        <v>345</v>
      </c>
      <c r="J5" s="324" t="s">
        <v>30</v>
      </c>
    </row>
    <row r="6" spans="1:10" ht="14.4" customHeight="1" x14ac:dyDescent="0.3">
      <c r="A6" s="320" t="s">
        <v>343</v>
      </c>
      <c r="B6" s="321" t="s">
        <v>193</v>
      </c>
      <c r="C6" s="322">
        <v>6.5440399999999999</v>
      </c>
      <c r="D6" s="322">
        <v>2.31549</v>
      </c>
      <c r="E6" s="322"/>
      <c r="F6" s="322">
        <v>0.68969000000000003</v>
      </c>
      <c r="G6" s="322">
        <v>6.4166664645563332</v>
      </c>
      <c r="H6" s="322">
        <v>-5.7269764645563335</v>
      </c>
      <c r="I6" s="323">
        <v>0.10748415922966119</v>
      </c>
      <c r="J6" s="324" t="s">
        <v>1</v>
      </c>
    </row>
    <row r="7" spans="1:10" ht="14.4" customHeight="1" x14ac:dyDescent="0.3">
      <c r="A7" s="320" t="s">
        <v>343</v>
      </c>
      <c r="B7" s="321" t="s">
        <v>194</v>
      </c>
      <c r="C7" s="322">
        <v>1376.048209999999</v>
      </c>
      <c r="D7" s="322">
        <v>1438.6926599999999</v>
      </c>
      <c r="E7" s="322"/>
      <c r="F7" s="322">
        <v>3217.3381399999989</v>
      </c>
      <c r="G7" s="322">
        <v>5032.4998414884512</v>
      </c>
      <c r="H7" s="322">
        <v>-1815.1617014884523</v>
      </c>
      <c r="I7" s="323">
        <v>0.63931211949097921</v>
      </c>
      <c r="J7" s="324" t="s">
        <v>1</v>
      </c>
    </row>
    <row r="8" spans="1:10" ht="14.4" customHeight="1" x14ac:dyDescent="0.3">
      <c r="A8" s="320" t="s">
        <v>343</v>
      </c>
      <c r="B8" s="321" t="s">
        <v>195</v>
      </c>
      <c r="C8" s="322">
        <v>1629.2333599999979</v>
      </c>
      <c r="D8" s="322">
        <v>1618.95667</v>
      </c>
      <c r="E8" s="322"/>
      <c r="F8" s="322">
        <v>1954.3625699999991</v>
      </c>
      <c r="G8" s="322">
        <v>1712.3332793989844</v>
      </c>
      <c r="H8" s="322">
        <v>242.02929060101474</v>
      </c>
      <c r="I8" s="323">
        <v>1.1413447332437323</v>
      </c>
      <c r="J8" s="324" t="s">
        <v>1</v>
      </c>
    </row>
    <row r="9" spans="1:10" ht="14.4" customHeight="1" x14ac:dyDescent="0.3">
      <c r="A9" s="320" t="s">
        <v>343</v>
      </c>
      <c r="B9" s="321" t="s">
        <v>196</v>
      </c>
      <c r="C9" s="322">
        <v>1357.8452800000009</v>
      </c>
      <c r="D9" s="322">
        <v>7713.3536400000094</v>
      </c>
      <c r="E9" s="322"/>
      <c r="F9" s="322">
        <v>4645.3335999999999</v>
      </c>
      <c r="G9" s="322">
        <v>0</v>
      </c>
      <c r="H9" s="322">
        <v>4645.3335999999999</v>
      </c>
      <c r="I9" s="323" t="s">
        <v>345</v>
      </c>
      <c r="J9" s="324" t="s">
        <v>1</v>
      </c>
    </row>
    <row r="10" spans="1:10" ht="14.4" customHeight="1" x14ac:dyDescent="0.3">
      <c r="A10" s="320" t="s">
        <v>343</v>
      </c>
      <c r="B10" s="321" t="s">
        <v>197</v>
      </c>
      <c r="C10" s="322">
        <v>83.897779999999003</v>
      </c>
      <c r="D10" s="322">
        <v>31.874049999999997</v>
      </c>
      <c r="E10" s="322"/>
      <c r="F10" s="322">
        <v>61.807950000000005</v>
      </c>
      <c r="G10" s="322">
        <v>78.83333085027401</v>
      </c>
      <c r="H10" s="322">
        <v>-17.025380850274004</v>
      </c>
      <c r="I10" s="323">
        <v>0.78403321708415641</v>
      </c>
      <c r="J10" s="324" t="s">
        <v>1</v>
      </c>
    </row>
    <row r="11" spans="1:10" ht="14.4" customHeight="1" x14ac:dyDescent="0.3">
      <c r="A11" s="320" t="s">
        <v>343</v>
      </c>
      <c r="B11" s="321" t="s">
        <v>198</v>
      </c>
      <c r="C11" s="322">
        <v>3469.4012799999991</v>
      </c>
      <c r="D11" s="322">
        <v>3551.2735000000016</v>
      </c>
      <c r="E11" s="322"/>
      <c r="F11" s="322">
        <v>3572.1170000000006</v>
      </c>
      <c r="G11" s="322">
        <v>3784.8836430298697</v>
      </c>
      <c r="H11" s="322">
        <v>-212.7666430298691</v>
      </c>
      <c r="I11" s="323">
        <v>0.94378515613770741</v>
      </c>
      <c r="J11" s="324" t="s">
        <v>1</v>
      </c>
    </row>
    <row r="12" spans="1:10" ht="14.4" customHeight="1" x14ac:dyDescent="0.3">
      <c r="A12" s="320" t="s">
        <v>343</v>
      </c>
      <c r="B12" s="321" t="s">
        <v>199</v>
      </c>
      <c r="C12" s="322">
        <v>85.071129999999997</v>
      </c>
      <c r="D12" s="322">
        <v>52.795769999999997</v>
      </c>
      <c r="E12" s="322"/>
      <c r="F12" s="322">
        <v>75.484800000000021</v>
      </c>
      <c r="G12" s="322">
        <v>103.58333007070949</v>
      </c>
      <c r="H12" s="322">
        <v>-28.098530070709472</v>
      </c>
      <c r="I12" s="323">
        <v>0.72873501893086023</v>
      </c>
      <c r="J12" s="324" t="s">
        <v>1</v>
      </c>
    </row>
    <row r="13" spans="1:10" ht="14.4" customHeight="1" x14ac:dyDescent="0.3">
      <c r="A13" s="320" t="s">
        <v>343</v>
      </c>
      <c r="B13" s="321" t="s">
        <v>200</v>
      </c>
      <c r="C13" s="322">
        <v>8.5153400000000001</v>
      </c>
      <c r="D13" s="322">
        <v>0</v>
      </c>
      <c r="E13" s="322"/>
      <c r="F13" s="322">
        <v>22.653739999999999</v>
      </c>
      <c r="G13" s="322">
        <v>39.416665425137005</v>
      </c>
      <c r="H13" s="322">
        <v>-16.762925425137006</v>
      </c>
      <c r="I13" s="323">
        <v>0.5747249229650242</v>
      </c>
      <c r="J13" s="324" t="s">
        <v>1</v>
      </c>
    </row>
    <row r="14" spans="1:10" ht="14.4" customHeight="1" x14ac:dyDescent="0.3">
      <c r="A14" s="320" t="s">
        <v>343</v>
      </c>
      <c r="B14" s="321" t="s">
        <v>201</v>
      </c>
      <c r="C14" s="322">
        <v>482.06986999999998</v>
      </c>
      <c r="D14" s="322">
        <v>742.0765899999999</v>
      </c>
      <c r="E14" s="322"/>
      <c r="F14" s="322">
        <v>609.45159999999998</v>
      </c>
      <c r="G14" s="322">
        <v>739.74997669966797</v>
      </c>
      <c r="H14" s="322">
        <v>-130.29837669966798</v>
      </c>
      <c r="I14" s="323">
        <v>0.82386160080601401</v>
      </c>
      <c r="J14" s="324" t="s">
        <v>1</v>
      </c>
    </row>
    <row r="15" spans="1:10" ht="14.4" customHeight="1" x14ac:dyDescent="0.3">
      <c r="A15" s="320" t="s">
        <v>343</v>
      </c>
      <c r="B15" s="321" t="s">
        <v>202</v>
      </c>
      <c r="C15" s="322">
        <v>19.181999999999999</v>
      </c>
      <c r="D15" s="322">
        <v>5.8685</v>
      </c>
      <c r="E15" s="322"/>
      <c r="F15" s="322">
        <v>3.4605999999999999</v>
      </c>
      <c r="G15" s="322">
        <v>6.4166664645563332</v>
      </c>
      <c r="H15" s="322">
        <v>-2.9560664645563333</v>
      </c>
      <c r="I15" s="323">
        <v>0.53931430270145353</v>
      </c>
      <c r="J15" s="324" t="s">
        <v>1</v>
      </c>
    </row>
    <row r="16" spans="1:10" ht="14.4" customHeight="1" x14ac:dyDescent="0.3">
      <c r="A16" s="320" t="s">
        <v>343</v>
      </c>
      <c r="B16" s="321" t="s">
        <v>203</v>
      </c>
      <c r="C16" s="322" t="s">
        <v>345</v>
      </c>
      <c r="D16" s="322" t="s">
        <v>345</v>
      </c>
      <c r="E16" s="322"/>
      <c r="F16" s="322">
        <v>168.98550999999998</v>
      </c>
      <c r="G16" s="322">
        <v>0</v>
      </c>
      <c r="H16" s="322">
        <v>168.98550999999998</v>
      </c>
      <c r="I16" s="323" t="s">
        <v>345</v>
      </c>
      <c r="J16" s="324" t="s">
        <v>1</v>
      </c>
    </row>
    <row r="17" spans="1:10" ht="14.4" customHeight="1" x14ac:dyDescent="0.3">
      <c r="A17" s="320" t="s">
        <v>343</v>
      </c>
      <c r="B17" s="321" t="s">
        <v>205</v>
      </c>
      <c r="C17" s="322">
        <v>701.09712000000002</v>
      </c>
      <c r="D17" s="322">
        <v>470.46750000000003</v>
      </c>
      <c r="E17" s="322"/>
      <c r="F17" s="322">
        <v>527.79912000000002</v>
      </c>
      <c r="G17" s="322">
        <v>612.31809607019795</v>
      </c>
      <c r="H17" s="322">
        <v>-84.518976070197937</v>
      </c>
      <c r="I17" s="323">
        <v>0.8619688416647604</v>
      </c>
      <c r="J17" s="324" t="s">
        <v>1</v>
      </c>
    </row>
    <row r="18" spans="1:10" ht="14.4" customHeight="1" x14ac:dyDescent="0.3">
      <c r="A18" s="320" t="s">
        <v>343</v>
      </c>
      <c r="B18" s="321" t="s">
        <v>346</v>
      </c>
      <c r="C18" s="322">
        <v>9218.9054099999976</v>
      </c>
      <c r="D18" s="322">
        <v>15627.674370000013</v>
      </c>
      <c r="E18" s="322"/>
      <c r="F18" s="322">
        <v>14859.48432</v>
      </c>
      <c r="G18" s="322">
        <v>12116.451495962403</v>
      </c>
      <c r="H18" s="322">
        <v>2743.0328240375966</v>
      </c>
      <c r="I18" s="323">
        <v>1.2263891226694272</v>
      </c>
      <c r="J18" s="324" t="s">
        <v>347</v>
      </c>
    </row>
    <row r="20" spans="1:10" ht="14.4" customHeight="1" x14ac:dyDescent="0.3">
      <c r="A20" s="320" t="s">
        <v>343</v>
      </c>
      <c r="B20" s="321" t="s">
        <v>344</v>
      </c>
      <c r="C20" s="322" t="s">
        <v>345</v>
      </c>
      <c r="D20" s="322" t="s">
        <v>345</v>
      </c>
      <c r="E20" s="322"/>
      <c r="F20" s="322" t="s">
        <v>345</v>
      </c>
      <c r="G20" s="322" t="s">
        <v>345</v>
      </c>
      <c r="H20" s="322" t="s">
        <v>345</v>
      </c>
      <c r="I20" s="323" t="s">
        <v>345</v>
      </c>
      <c r="J20" s="324" t="s">
        <v>30</v>
      </c>
    </row>
    <row r="21" spans="1:10" ht="14.4" customHeight="1" x14ac:dyDescent="0.3">
      <c r="A21" s="320" t="s">
        <v>348</v>
      </c>
      <c r="B21" s="321" t="s">
        <v>349</v>
      </c>
      <c r="C21" s="322" t="s">
        <v>345</v>
      </c>
      <c r="D21" s="322" t="s">
        <v>345</v>
      </c>
      <c r="E21" s="322"/>
      <c r="F21" s="322" t="s">
        <v>345</v>
      </c>
      <c r="G21" s="322" t="s">
        <v>345</v>
      </c>
      <c r="H21" s="322" t="s">
        <v>345</v>
      </c>
      <c r="I21" s="323" t="s">
        <v>345</v>
      </c>
      <c r="J21" s="324" t="s">
        <v>0</v>
      </c>
    </row>
    <row r="22" spans="1:10" ht="14.4" customHeight="1" x14ac:dyDescent="0.3">
      <c r="A22" s="320" t="s">
        <v>348</v>
      </c>
      <c r="B22" s="321" t="s">
        <v>193</v>
      </c>
      <c r="C22" s="322">
        <v>5.1646599999999996</v>
      </c>
      <c r="D22" s="322">
        <v>1.41489</v>
      </c>
      <c r="E22" s="322"/>
      <c r="F22" s="322">
        <v>0.68969000000000003</v>
      </c>
      <c r="G22" s="322">
        <v>2.2053827745189167</v>
      </c>
      <c r="H22" s="322">
        <v>-1.5156927745189166</v>
      </c>
      <c r="I22" s="323">
        <v>0.31273029243209233</v>
      </c>
      <c r="J22" s="324" t="s">
        <v>1</v>
      </c>
    </row>
    <row r="23" spans="1:10" ht="14.4" customHeight="1" x14ac:dyDescent="0.3">
      <c r="A23" s="320" t="s">
        <v>348</v>
      </c>
      <c r="B23" s="321" t="s">
        <v>194</v>
      </c>
      <c r="C23" s="322">
        <v>1027.089029999999</v>
      </c>
      <c r="D23" s="322">
        <v>1067.64582</v>
      </c>
      <c r="E23" s="322"/>
      <c r="F23" s="322">
        <v>2289.56351</v>
      </c>
      <c r="G23" s="322">
        <v>3802.1978338647509</v>
      </c>
      <c r="H23" s="322">
        <v>-1512.634323864751</v>
      </c>
      <c r="I23" s="323">
        <v>0.60216843258594177</v>
      </c>
      <c r="J23" s="324" t="s">
        <v>1</v>
      </c>
    </row>
    <row r="24" spans="1:10" ht="14.4" customHeight="1" x14ac:dyDescent="0.3">
      <c r="A24" s="320" t="s">
        <v>348</v>
      </c>
      <c r="B24" s="321" t="s">
        <v>195</v>
      </c>
      <c r="C24" s="322">
        <v>831.72631999999896</v>
      </c>
      <c r="D24" s="322">
        <v>824.86302000000001</v>
      </c>
      <c r="E24" s="322"/>
      <c r="F24" s="322">
        <v>1145.1545900000001</v>
      </c>
      <c r="G24" s="322">
        <v>844.54929622243594</v>
      </c>
      <c r="H24" s="322">
        <v>300.60529377756416</v>
      </c>
      <c r="I24" s="323">
        <v>1.3559357578321767</v>
      </c>
      <c r="J24" s="324" t="s">
        <v>1</v>
      </c>
    </row>
    <row r="25" spans="1:10" ht="14.4" customHeight="1" x14ac:dyDescent="0.3">
      <c r="A25" s="320" t="s">
        <v>348</v>
      </c>
      <c r="B25" s="321" t="s">
        <v>196</v>
      </c>
      <c r="C25" s="322">
        <v>1357.8452800000009</v>
      </c>
      <c r="D25" s="322">
        <v>7713.3536400000094</v>
      </c>
      <c r="E25" s="322"/>
      <c r="F25" s="322">
        <v>4645.3335999999999</v>
      </c>
      <c r="G25" s="322">
        <v>0</v>
      </c>
      <c r="H25" s="322">
        <v>4645.3335999999999</v>
      </c>
      <c r="I25" s="323" t="s">
        <v>345</v>
      </c>
      <c r="J25" s="324" t="s">
        <v>1</v>
      </c>
    </row>
    <row r="26" spans="1:10" ht="14.4" customHeight="1" x14ac:dyDescent="0.3">
      <c r="A26" s="320" t="s">
        <v>348</v>
      </c>
      <c r="B26" s="321" t="s">
        <v>197</v>
      </c>
      <c r="C26" s="322">
        <v>83.897779999999003</v>
      </c>
      <c r="D26" s="322">
        <v>31.874049999999997</v>
      </c>
      <c r="E26" s="322"/>
      <c r="F26" s="322">
        <v>61.807950000000005</v>
      </c>
      <c r="G26" s="322">
        <v>78.83333085027401</v>
      </c>
      <c r="H26" s="322">
        <v>-17.025380850274004</v>
      </c>
      <c r="I26" s="323">
        <v>0.78403321708415641</v>
      </c>
      <c r="J26" s="324" t="s">
        <v>1</v>
      </c>
    </row>
    <row r="27" spans="1:10" ht="14.4" customHeight="1" x14ac:dyDescent="0.3">
      <c r="A27" s="320" t="s">
        <v>348</v>
      </c>
      <c r="B27" s="321" t="s">
        <v>198</v>
      </c>
      <c r="C27" s="322">
        <v>3167.5331299999989</v>
      </c>
      <c r="D27" s="322">
        <v>3199.9833600000015</v>
      </c>
      <c r="E27" s="322"/>
      <c r="F27" s="322">
        <v>3198.8974000000007</v>
      </c>
      <c r="G27" s="322">
        <v>3399.916559577533</v>
      </c>
      <c r="H27" s="322">
        <v>-201.01915957753226</v>
      </c>
      <c r="I27" s="323">
        <v>0.94087526677345557</v>
      </c>
      <c r="J27" s="324" t="s">
        <v>1</v>
      </c>
    </row>
    <row r="28" spans="1:10" ht="14.4" customHeight="1" x14ac:dyDescent="0.3">
      <c r="A28" s="320" t="s">
        <v>348</v>
      </c>
      <c r="B28" s="321" t="s">
        <v>199</v>
      </c>
      <c r="C28" s="322">
        <v>77.920529999999999</v>
      </c>
      <c r="D28" s="322">
        <v>48.986069999999998</v>
      </c>
      <c r="E28" s="322"/>
      <c r="F28" s="322">
        <v>73.548670000000016</v>
      </c>
      <c r="G28" s="322">
        <v>96.683293988759488</v>
      </c>
      <c r="H28" s="322">
        <v>-23.134623988759472</v>
      </c>
      <c r="I28" s="323">
        <v>0.76071746178353072</v>
      </c>
      <c r="J28" s="324" t="s">
        <v>1</v>
      </c>
    </row>
    <row r="29" spans="1:10" ht="14.4" customHeight="1" x14ac:dyDescent="0.3">
      <c r="A29" s="320" t="s">
        <v>348</v>
      </c>
      <c r="B29" s="321" t="s">
        <v>200</v>
      </c>
      <c r="C29" s="322">
        <v>8.5153400000000001</v>
      </c>
      <c r="D29" s="322">
        <v>0</v>
      </c>
      <c r="E29" s="322"/>
      <c r="F29" s="322">
        <v>22.653739999999999</v>
      </c>
      <c r="G29" s="322">
        <v>39.416665425137005</v>
      </c>
      <c r="H29" s="322">
        <v>-16.762925425137006</v>
      </c>
      <c r="I29" s="323">
        <v>0.5747249229650242</v>
      </c>
      <c r="J29" s="324" t="s">
        <v>1</v>
      </c>
    </row>
    <row r="30" spans="1:10" ht="14.4" customHeight="1" x14ac:dyDescent="0.3">
      <c r="A30" s="320" t="s">
        <v>348</v>
      </c>
      <c r="B30" s="321" t="s">
        <v>201</v>
      </c>
      <c r="C30" s="322">
        <v>296.46449999999999</v>
      </c>
      <c r="D30" s="322">
        <v>535.06786999999997</v>
      </c>
      <c r="E30" s="322"/>
      <c r="F30" s="322">
        <v>461.69673</v>
      </c>
      <c r="G30" s="322">
        <v>481.20019353127702</v>
      </c>
      <c r="H30" s="322">
        <v>-19.503463531277021</v>
      </c>
      <c r="I30" s="323">
        <v>0.95946912783190863</v>
      </c>
      <c r="J30" s="324" t="s">
        <v>1</v>
      </c>
    </row>
    <row r="31" spans="1:10" ht="14.4" customHeight="1" x14ac:dyDescent="0.3">
      <c r="A31" s="320" t="s">
        <v>348</v>
      </c>
      <c r="B31" s="321" t="s">
        <v>202</v>
      </c>
      <c r="C31" s="322">
        <v>9.5909999999999993</v>
      </c>
      <c r="D31" s="322">
        <v>5.8685</v>
      </c>
      <c r="E31" s="322"/>
      <c r="F31" s="322">
        <v>3.4605999999999999</v>
      </c>
      <c r="G31" s="322">
        <v>6.4166664645563332</v>
      </c>
      <c r="H31" s="322">
        <v>-2.9560664645563333</v>
      </c>
      <c r="I31" s="323">
        <v>0.53931430270145353</v>
      </c>
      <c r="J31" s="324" t="s">
        <v>1</v>
      </c>
    </row>
    <row r="32" spans="1:10" ht="14.4" customHeight="1" x14ac:dyDescent="0.3">
      <c r="A32" s="320" t="s">
        <v>348</v>
      </c>
      <c r="B32" s="321" t="s">
        <v>203</v>
      </c>
      <c r="C32" s="322" t="s">
        <v>345</v>
      </c>
      <c r="D32" s="322" t="s">
        <v>345</v>
      </c>
      <c r="E32" s="322"/>
      <c r="F32" s="322">
        <v>164.85288</v>
      </c>
      <c r="G32" s="322">
        <v>0</v>
      </c>
      <c r="H32" s="322">
        <v>164.85288</v>
      </c>
      <c r="I32" s="323" t="s">
        <v>345</v>
      </c>
      <c r="J32" s="324" t="s">
        <v>1</v>
      </c>
    </row>
    <row r="33" spans="1:10" ht="14.4" customHeight="1" x14ac:dyDescent="0.3">
      <c r="A33" s="320" t="s">
        <v>348</v>
      </c>
      <c r="B33" s="321" t="s">
        <v>205</v>
      </c>
      <c r="C33" s="322">
        <v>64.263630000000006</v>
      </c>
      <c r="D33" s="322">
        <v>39.921849999999999</v>
      </c>
      <c r="E33" s="322"/>
      <c r="F33" s="322">
        <v>19.19455</v>
      </c>
      <c r="G33" s="322">
        <v>39.637069411140665</v>
      </c>
      <c r="H33" s="322">
        <v>-20.442519411140665</v>
      </c>
      <c r="I33" s="323">
        <v>0.48425754691654999</v>
      </c>
      <c r="J33" s="324" t="s">
        <v>1</v>
      </c>
    </row>
    <row r="34" spans="1:10" ht="14.4" customHeight="1" x14ac:dyDescent="0.3">
      <c r="A34" s="320" t="s">
        <v>348</v>
      </c>
      <c r="B34" s="321" t="s">
        <v>350</v>
      </c>
      <c r="C34" s="322">
        <v>6930.0111999999972</v>
      </c>
      <c r="D34" s="322">
        <v>13468.979070000014</v>
      </c>
      <c r="E34" s="322"/>
      <c r="F34" s="322">
        <v>12086.853910000002</v>
      </c>
      <c r="G34" s="322">
        <v>8791.0562921103829</v>
      </c>
      <c r="H34" s="322">
        <v>3295.7976178896188</v>
      </c>
      <c r="I34" s="323">
        <v>1.3749034824003419</v>
      </c>
      <c r="J34" s="324" t="s">
        <v>351</v>
      </c>
    </row>
    <row r="35" spans="1:10" ht="14.4" customHeight="1" x14ac:dyDescent="0.3">
      <c r="A35" s="320" t="s">
        <v>345</v>
      </c>
      <c r="B35" s="321" t="s">
        <v>345</v>
      </c>
      <c r="C35" s="322" t="s">
        <v>345</v>
      </c>
      <c r="D35" s="322" t="s">
        <v>345</v>
      </c>
      <c r="E35" s="322"/>
      <c r="F35" s="322" t="s">
        <v>345</v>
      </c>
      <c r="G35" s="322" t="s">
        <v>345</v>
      </c>
      <c r="H35" s="322" t="s">
        <v>345</v>
      </c>
      <c r="I35" s="323" t="s">
        <v>345</v>
      </c>
      <c r="J35" s="324" t="s">
        <v>352</v>
      </c>
    </row>
    <row r="36" spans="1:10" ht="14.4" customHeight="1" x14ac:dyDescent="0.3">
      <c r="A36" s="320" t="s">
        <v>353</v>
      </c>
      <c r="B36" s="321" t="s">
        <v>354</v>
      </c>
      <c r="C36" s="322" t="s">
        <v>345</v>
      </c>
      <c r="D36" s="322" t="s">
        <v>345</v>
      </c>
      <c r="E36" s="322"/>
      <c r="F36" s="322" t="s">
        <v>345</v>
      </c>
      <c r="G36" s="322" t="s">
        <v>345</v>
      </c>
      <c r="H36" s="322" t="s">
        <v>345</v>
      </c>
      <c r="I36" s="323" t="s">
        <v>345</v>
      </c>
      <c r="J36" s="324" t="s">
        <v>0</v>
      </c>
    </row>
    <row r="37" spans="1:10" ht="14.4" customHeight="1" x14ac:dyDescent="0.3">
      <c r="A37" s="320" t="s">
        <v>353</v>
      </c>
      <c r="B37" s="321" t="s">
        <v>193</v>
      </c>
      <c r="C37" s="322">
        <v>1.3793800000000001</v>
      </c>
      <c r="D37" s="322">
        <v>0.90059999999999996</v>
      </c>
      <c r="E37" s="322"/>
      <c r="F37" s="322">
        <v>0</v>
      </c>
      <c r="G37" s="322">
        <v>4.2112836900374164</v>
      </c>
      <c r="H37" s="322">
        <v>-4.2112836900374164</v>
      </c>
      <c r="I37" s="323">
        <v>0</v>
      </c>
      <c r="J37" s="324" t="s">
        <v>1</v>
      </c>
    </row>
    <row r="38" spans="1:10" ht="14.4" customHeight="1" x14ac:dyDescent="0.3">
      <c r="A38" s="320" t="s">
        <v>353</v>
      </c>
      <c r="B38" s="321" t="s">
        <v>194</v>
      </c>
      <c r="C38" s="322">
        <v>348.95918</v>
      </c>
      <c r="D38" s="322">
        <v>371.04684000000003</v>
      </c>
      <c r="E38" s="322"/>
      <c r="F38" s="322">
        <v>927.77462999999898</v>
      </c>
      <c r="G38" s="322">
        <v>1230.3020076237001</v>
      </c>
      <c r="H38" s="322">
        <v>-302.52737762370111</v>
      </c>
      <c r="I38" s="323">
        <v>0.75410315861548027</v>
      </c>
      <c r="J38" s="324" t="s">
        <v>1</v>
      </c>
    </row>
    <row r="39" spans="1:10" ht="14.4" customHeight="1" x14ac:dyDescent="0.3">
      <c r="A39" s="320" t="s">
        <v>353</v>
      </c>
      <c r="B39" s="321" t="s">
        <v>195</v>
      </c>
      <c r="C39" s="322">
        <v>797.50703999999905</v>
      </c>
      <c r="D39" s="322">
        <v>794.09365000000003</v>
      </c>
      <c r="E39" s="322"/>
      <c r="F39" s="322">
        <v>809.207979999999</v>
      </c>
      <c r="G39" s="322">
        <v>867.7839831765483</v>
      </c>
      <c r="H39" s="322">
        <v>-58.576003176549307</v>
      </c>
      <c r="I39" s="323">
        <v>0.93249932666176882</v>
      </c>
      <c r="J39" s="324" t="s">
        <v>1</v>
      </c>
    </row>
    <row r="40" spans="1:10" ht="14.4" customHeight="1" x14ac:dyDescent="0.3">
      <c r="A40" s="320" t="s">
        <v>353</v>
      </c>
      <c r="B40" s="321" t="s">
        <v>197</v>
      </c>
      <c r="C40" s="322">
        <v>0</v>
      </c>
      <c r="D40" s="322" t="s">
        <v>345</v>
      </c>
      <c r="E40" s="322"/>
      <c r="F40" s="322" t="s">
        <v>345</v>
      </c>
      <c r="G40" s="322" t="s">
        <v>345</v>
      </c>
      <c r="H40" s="322" t="s">
        <v>345</v>
      </c>
      <c r="I40" s="323" t="s">
        <v>345</v>
      </c>
      <c r="J40" s="324" t="s">
        <v>1</v>
      </c>
    </row>
    <row r="41" spans="1:10" ht="14.4" customHeight="1" x14ac:dyDescent="0.3">
      <c r="A41" s="320" t="s">
        <v>353</v>
      </c>
      <c r="B41" s="321" t="s">
        <v>198</v>
      </c>
      <c r="C41" s="322">
        <v>301.86815000000001</v>
      </c>
      <c r="D41" s="322">
        <v>351.29014000000001</v>
      </c>
      <c r="E41" s="322"/>
      <c r="F41" s="322">
        <v>373.21960000000001</v>
      </c>
      <c r="G41" s="322">
        <v>384.96708345233691</v>
      </c>
      <c r="H41" s="322">
        <v>-11.747483452336894</v>
      </c>
      <c r="I41" s="323">
        <v>0.96948444696365488</v>
      </c>
      <c r="J41" s="324" t="s">
        <v>1</v>
      </c>
    </row>
    <row r="42" spans="1:10" ht="14.4" customHeight="1" x14ac:dyDescent="0.3">
      <c r="A42" s="320" t="s">
        <v>353</v>
      </c>
      <c r="B42" s="321" t="s">
        <v>199</v>
      </c>
      <c r="C42" s="322">
        <v>7.1505999999999998</v>
      </c>
      <c r="D42" s="322">
        <v>3.8097000000000003</v>
      </c>
      <c r="E42" s="322"/>
      <c r="F42" s="322">
        <v>1.9361299999999999</v>
      </c>
      <c r="G42" s="322">
        <v>6.9000360819499997</v>
      </c>
      <c r="H42" s="322">
        <v>-4.9639060819500003</v>
      </c>
      <c r="I42" s="323">
        <v>0.28059708340725598</v>
      </c>
      <c r="J42" s="324" t="s">
        <v>1</v>
      </c>
    </row>
    <row r="43" spans="1:10" ht="14.4" customHeight="1" x14ac:dyDescent="0.3">
      <c r="A43" s="320" t="s">
        <v>353</v>
      </c>
      <c r="B43" s="321" t="s">
        <v>200</v>
      </c>
      <c r="C43" s="322">
        <v>0</v>
      </c>
      <c r="D43" s="322">
        <v>0</v>
      </c>
      <c r="E43" s="322"/>
      <c r="F43" s="322" t="s">
        <v>345</v>
      </c>
      <c r="G43" s="322" t="s">
        <v>345</v>
      </c>
      <c r="H43" s="322" t="s">
        <v>345</v>
      </c>
      <c r="I43" s="323" t="s">
        <v>345</v>
      </c>
      <c r="J43" s="324" t="s">
        <v>1</v>
      </c>
    </row>
    <row r="44" spans="1:10" ht="14.4" customHeight="1" x14ac:dyDescent="0.3">
      <c r="A44" s="320" t="s">
        <v>353</v>
      </c>
      <c r="B44" s="321" t="s">
        <v>201</v>
      </c>
      <c r="C44" s="322">
        <v>185.60536999999999</v>
      </c>
      <c r="D44" s="322">
        <v>207.00871999999998</v>
      </c>
      <c r="E44" s="322"/>
      <c r="F44" s="322">
        <v>147.75486999999998</v>
      </c>
      <c r="G44" s="322">
        <v>258.549783168391</v>
      </c>
      <c r="H44" s="322">
        <v>-110.79491316839102</v>
      </c>
      <c r="I44" s="323">
        <v>0.57147551310754208</v>
      </c>
      <c r="J44" s="324" t="s">
        <v>1</v>
      </c>
    </row>
    <row r="45" spans="1:10" ht="14.4" customHeight="1" x14ac:dyDescent="0.3">
      <c r="A45" s="320" t="s">
        <v>353</v>
      </c>
      <c r="B45" s="321" t="s">
        <v>202</v>
      </c>
      <c r="C45" s="322">
        <v>9.5909999999999993</v>
      </c>
      <c r="D45" s="322">
        <v>0</v>
      </c>
      <c r="E45" s="322"/>
      <c r="F45" s="322" t="s">
        <v>345</v>
      </c>
      <c r="G45" s="322" t="s">
        <v>345</v>
      </c>
      <c r="H45" s="322" t="s">
        <v>345</v>
      </c>
      <c r="I45" s="323" t="s">
        <v>345</v>
      </c>
      <c r="J45" s="324" t="s">
        <v>1</v>
      </c>
    </row>
    <row r="46" spans="1:10" ht="14.4" customHeight="1" x14ac:dyDescent="0.3">
      <c r="A46" s="320" t="s">
        <v>353</v>
      </c>
      <c r="B46" s="321" t="s">
        <v>203</v>
      </c>
      <c r="C46" s="322" t="s">
        <v>345</v>
      </c>
      <c r="D46" s="322" t="s">
        <v>345</v>
      </c>
      <c r="E46" s="322"/>
      <c r="F46" s="322">
        <v>4.1326299999999918</v>
      </c>
      <c r="G46" s="322">
        <v>0</v>
      </c>
      <c r="H46" s="322">
        <v>4.1326299999999918</v>
      </c>
      <c r="I46" s="323" t="s">
        <v>345</v>
      </c>
      <c r="J46" s="324" t="s">
        <v>1</v>
      </c>
    </row>
    <row r="47" spans="1:10" ht="14.4" customHeight="1" x14ac:dyDescent="0.3">
      <c r="A47" s="320" t="s">
        <v>353</v>
      </c>
      <c r="B47" s="321" t="s">
        <v>205</v>
      </c>
      <c r="C47" s="322">
        <v>636.83348999999998</v>
      </c>
      <c r="D47" s="322">
        <v>430.54565000000002</v>
      </c>
      <c r="E47" s="322"/>
      <c r="F47" s="322">
        <v>508.60457000000002</v>
      </c>
      <c r="G47" s="322">
        <v>572.68102665905724</v>
      </c>
      <c r="H47" s="322">
        <v>-64.076456659057214</v>
      </c>
      <c r="I47" s="323">
        <v>0.88811143782277813</v>
      </c>
      <c r="J47" s="324" t="s">
        <v>1</v>
      </c>
    </row>
    <row r="48" spans="1:10" ht="14.4" customHeight="1" x14ac:dyDescent="0.3">
      <c r="A48" s="320" t="s">
        <v>353</v>
      </c>
      <c r="B48" s="321" t="s">
        <v>355</v>
      </c>
      <c r="C48" s="322">
        <v>2288.894209999999</v>
      </c>
      <c r="D48" s="322">
        <v>2158.6953000000003</v>
      </c>
      <c r="E48" s="322"/>
      <c r="F48" s="322">
        <v>2772.6304099999984</v>
      </c>
      <c r="G48" s="322">
        <v>3325.395203852021</v>
      </c>
      <c r="H48" s="322">
        <v>-552.76479385202265</v>
      </c>
      <c r="I48" s="323">
        <v>0.83377470647346841</v>
      </c>
      <c r="J48" s="324" t="s">
        <v>351</v>
      </c>
    </row>
    <row r="49" spans="1:10" ht="14.4" customHeight="1" x14ac:dyDescent="0.3">
      <c r="A49" s="320" t="s">
        <v>345</v>
      </c>
      <c r="B49" s="321" t="s">
        <v>345</v>
      </c>
      <c r="C49" s="322" t="s">
        <v>345</v>
      </c>
      <c r="D49" s="322" t="s">
        <v>345</v>
      </c>
      <c r="E49" s="322"/>
      <c r="F49" s="322" t="s">
        <v>345</v>
      </c>
      <c r="G49" s="322" t="s">
        <v>345</v>
      </c>
      <c r="H49" s="322" t="s">
        <v>345</v>
      </c>
      <c r="I49" s="323" t="s">
        <v>345</v>
      </c>
      <c r="J49" s="324" t="s">
        <v>352</v>
      </c>
    </row>
    <row r="50" spans="1:10" ht="14.4" customHeight="1" x14ac:dyDescent="0.3">
      <c r="A50" s="320" t="s">
        <v>343</v>
      </c>
      <c r="B50" s="321" t="s">
        <v>346</v>
      </c>
      <c r="C50" s="322">
        <v>9218.9054099999958</v>
      </c>
      <c r="D50" s="322">
        <v>15627.674370000015</v>
      </c>
      <c r="E50" s="322"/>
      <c r="F50" s="322">
        <v>14859.484320000001</v>
      </c>
      <c r="G50" s="322">
        <v>12116.451495962405</v>
      </c>
      <c r="H50" s="322">
        <v>2743.0328240375966</v>
      </c>
      <c r="I50" s="323">
        <v>1.226389122669427</v>
      </c>
      <c r="J50" s="324" t="s">
        <v>347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80" hidden="1" customWidth="1" outlineLevel="1"/>
    <col min="2" max="2" width="28.33203125" style="80" hidden="1" customWidth="1" outlineLevel="1"/>
    <col min="3" max="3" width="5.33203125" style="140" bestFit="1" customWidth="1" collapsed="1"/>
    <col min="4" max="4" width="18.77734375" style="144" customWidth="1"/>
    <col min="5" max="5" width="9" style="140" bestFit="1" customWidth="1"/>
    <col min="6" max="6" width="18.77734375" style="144" customWidth="1"/>
    <col min="7" max="7" width="12.44140625" style="140" hidden="1" customWidth="1" outlineLevel="1"/>
    <col min="8" max="8" width="25.77734375" style="140" customWidth="1" collapsed="1"/>
    <col min="9" max="9" width="7.77734375" style="138" customWidth="1"/>
    <col min="10" max="10" width="10" style="138" customWidth="1"/>
    <col min="11" max="11" width="11.109375" style="138" customWidth="1"/>
    <col min="12" max="16384" width="8.88671875" style="80"/>
  </cols>
  <sheetData>
    <row r="1" spans="1:11" ht="18.600000000000001" customHeight="1" thickBot="1" x14ac:dyDescent="0.4">
      <c r="A1" s="271" t="s">
        <v>1419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151" t="s">
        <v>180</v>
      </c>
      <c r="B2" s="40"/>
      <c r="C2" s="142"/>
      <c r="D2" s="142"/>
      <c r="E2" s="142"/>
      <c r="F2" s="142"/>
      <c r="G2" s="142"/>
      <c r="H2" s="142"/>
      <c r="I2" s="143"/>
      <c r="J2" s="143"/>
      <c r="K2" s="143"/>
    </row>
    <row r="3" spans="1:11" ht="14.4" customHeight="1" thickBot="1" x14ac:dyDescent="0.35">
      <c r="A3" s="40"/>
      <c r="B3" s="40"/>
      <c r="C3" s="267"/>
      <c r="D3" s="268"/>
      <c r="E3" s="268"/>
      <c r="F3" s="268"/>
      <c r="G3" s="268"/>
      <c r="H3" s="85" t="s">
        <v>51</v>
      </c>
      <c r="I3" s="55">
        <f>IF(J3&lt;&gt;0,K3/J3,0)</f>
        <v>36.553569311183999</v>
      </c>
      <c r="J3" s="55">
        <f>SUBTOTAL(9,J5:J1048576)</f>
        <v>666927</v>
      </c>
      <c r="K3" s="56">
        <f>SUBTOTAL(9,K5:K1048576)</f>
        <v>24378562.320000011</v>
      </c>
    </row>
    <row r="4" spans="1:11" s="139" customFormat="1" ht="14.4" customHeight="1" thickBot="1" x14ac:dyDescent="0.35">
      <c r="A4" s="325" t="s">
        <v>4</v>
      </c>
      <c r="B4" s="326" t="s">
        <v>5</v>
      </c>
      <c r="C4" s="326" t="s">
        <v>0</v>
      </c>
      <c r="D4" s="326" t="s">
        <v>6</v>
      </c>
      <c r="E4" s="326" t="s">
        <v>7</v>
      </c>
      <c r="F4" s="326" t="s">
        <v>1</v>
      </c>
      <c r="G4" s="326" t="s">
        <v>31</v>
      </c>
      <c r="H4" s="327" t="s">
        <v>11</v>
      </c>
      <c r="I4" s="328" t="s">
        <v>64</v>
      </c>
      <c r="J4" s="328" t="s">
        <v>13</v>
      </c>
      <c r="K4" s="329" t="s">
        <v>75</v>
      </c>
    </row>
    <row r="5" spans="1:11" ht="14.4" customHeight="1" x14ac:dyDescent="0.3">
      <c r="A5" s="332" t="s">
        <v>343</v>
      </c>
      <c r="B5" s="333" t="s">
        <v>515</v>
      </c>
      <c r="C5" s="334" t="s">
        <v>348</v>
      </c>
      <c r="D5" s="335" t="s">
        <v>516</v>
      </c>
      <c r="E5" s="334" t="s">
        <v>1395</v>
      </c>
      <c r="F5" s="335" t="s">
        <v>1396</v>
      </c>
      <c r="G5" s="334" t="s">
        <v>527</v>
      </c>
      <c r="H5" s="334" t="s">
        <v>528</v>
      </c>
      <c r="I5" s="336">
        <v>183.09</v>
      </c>
      <c r="J5" s="336">
        <v>2</v>
      </c>
      <c r="K5" s="337">
        <v>366.18</v>
      </c>
    </row>
    <row r="6" spans="1:11" ht="14.4" customHeight="1" x14ac:dyDescent="0.3">
      <c r="A6" s="338" t="s">
        <v>343</v>
      </c>
      <c r="B6" s="339" t="s">
        <v>515</v>
      </c>
      <c r="C6" s="340" t="s">
        <v>348</v>
      </c>
      <c r="D6" s="341" t="s">
        <v>516</v>
      </c>
      <c r="E6" s="340" t="s">
        <v>1395</v>
      </c>
      <c r="F6" s="341" t="s">
        <v>1396</v>
      </c>
      <c r="G6" s="340" t="s">
        <v>529</v>
      </c>
      <c r="H6" s="340" t="s">
        <v>530</v>
      </c>
      <c r="I6" s="342">
        <v>129.28</v>
      </c>
      <c r="J6" s="342">
        <v>2</v>
      </c>
      <c r="K6" s="343">
        <v>258.56</v>
      </c>
    </row>
    <row r="7" spans="1:11" ht="14.4" customHeight="1" x14ac:dyDescent="0.3">
      <c r="A7" s="338" t="s">
        <v>343</v>
      </c>
      <c r="B7" s="339" t="s">
        <v>515</v>
      </c>
      <c r="C7" s="340" t="s">
        <v>348</v>
      </c>
      <c r="D7" s="341" t="s">
        <v>516</v>
      </c>
      <c r="E7" s="340" t="s">
        <v>1395</v>
      </c>
      <c r="F7" s="341" t="s">
        <v>1396</v>
      </c>
      <c r="G7" s="340" t="s">
        <v>531</v>
      </c>
      <c r="H7" s="340" t="s">
        <v>532</v>
      </c>
      <c r="I7" s="342">
        <v>2.4883333333333333</v>
      </c>
      <c r="J7" s="342">
        <v>760</v>
      </c>
      <c r="K7" s="343">
        <v>1893.8</v>
      </c>
    </row>
    <row r="8" spans="1:11" ht="14.4" customHeight="1" x14ac:dyDescent="0.3">
      <c r="A8" s="338" t="s">
        <v>343</v>
      </c>
      <c r="B8" s="339" t="s">
        <v>515</v>
      </c>
      <c r="C8" s="340" t="s">
        <v>348</v>
      </c>
      <c r="D8" s="341" t="s">
        <v>516</v>
      </c>
      <c r="E8" s="340" t="s">
        <v>1395</v>
      </c>
      <c r="F8" s="341" t="s">
        <v>1396</v>
      </c>
      <c r="G8" s="340" t="s">
        <v>533</v>
      </c>
      <c r="H8" s="340" t="s">
        <v>534</v>
      </c>
      <c r="I8" s="342">
        <v>3.2072727272727279</v>
      </c>
      <c r="J8" s="342">
        <v>1200</v>
      </c>
      <c r="K8" s="343">
        <v>3868.2</v>
      </c>
    </row>
    <row r="9" spans="1:11" ht="14.4" customHeight="1" x14ac:dyDescent="0.3">
      <c r="A9" s="338" t="s">
        <v>343</v>
      </c>
      <c r="B9" s="339" t="s">
        <v>515</v>
      </c>
      <c r="C9" s="340" t="s">
        <v>348</v>
      </c>
      <c r="D9" s="341" t="s">
        <v>516</v>
      </c>
      <c r="E9" s="340" t="s">
        <v>1395</v>
      </c>
      <c r="F9" s="341" t="s">
        <v>1396</v>
      </c>
      <c r="G9" s="340" t="s">
        <v>535</v>
      </c>
      <c r="H9" s="340" t="s">
        <v>536</v>
      </c>
      <c r="I9" s="342">
        <v>3.9208333333333329</v>
      </c>
      <c r="J9" s="342">
        <v>1300</v>
      </c>
      <c r="K9" s="343">
        <v>5111.9999999999991</v>
      </c>
    </row>
    <row r="10" spans="1:11" ht="14.4" customHeight="1" x14ac:dyDescent="0.3">
      <c r="A10" s="338" t="s">
        <v>343</v>
      </c>
      <c r="B10" s="339" t="s">
        <v>515</v>
      </c>
      <c r="C10" s="340" t="s">
        <v>348</v>
      </c>
      <c r="D10" s="341" t="s">
        <v>516</v>
      </c>
      <c r="E10" s="340" t="s">
        <v>1395</v>
      </c>
      <c r="F10" s="341" t="s">
        <v>1396</v>
      </c>
      <c r="G10" s="340" t="s">
        <v>537</v>
      </c>
      <c r="H10" s="340" t="s">
        <v>538</v>
      </c>
      <c r="I10" s="342">
        <v>1.84</v>
      </c>
      <c r="J10" s="342">
        <v>1350</v>
      </c>
      <c r="K10" s="343">
        <v>2484</v>
      </c>
    </row>
    <row r="11" spans="1:11" ht="14.4" customHeight="1" x14ac:dyDescent="0.3">
      <c r="A11" s="338" t="s">
        <v>343</v>
      </c>
      <c r="B11" s="339" t="s">
        <v>515</v>
      </c>
      <c r="C11" s="340" t="s">
        <v>348</v>
      </c>
      <c r="D11" s="341" t="s">
        <v>516</v>
      </c>
      <c r="E11" s="340" t="s">
        <v>1395</v>
      </c>
      <c r="F11" s="341" t="s">
        <v>1396</v>
      </c>
      <c r="G11" s="340" t="s">
        <v>539</v>
      </c>
      <c r="H11" s="340" t="s">
        <v>540</v>
      </c>
      <c r="I11" s="342">
        <v>16.889000000000003</v>
      </c>
      <c r="J11" s="342">
        <v>717</v>
      </c>
      <c r="K11" s="343">
        <v>12171.33</v>
      </c>
    </row>
    <row r="12" spans="1:11" ht="14.4" customHeight="1" x14ac:dyDescent="0.3">
      <c r="A12" s="338" t="s">
        <v>343</v>
      </c>
      <c r="B12" s="339" t="s">
        <v>515</v>
      </c>
      <c r="C12" s="340" t="s">
        <v>348</v>
      </c>
      <c r="D12" s="341" t="s">
        <v>516</v>
      </c>
      <c r="E12" s="340" t="s">
        <v>1395</v>
      </c>
      <c r="F12" s="341" t="s">
        <v>1396</v>
      </c>
      <c r="G12" s="340" t="s">
        <v>541</v>
      </c>
      <c r="H12" s="340" t="s">
        <v>542</v>
      </c>
      <c r="I12" s="342">
        <v>11.202857142857141</v>
      </c>
      <c r="J12" s="342">
        <v>260</v>
      </c>
      <c r="K12" s="343">
        <v>2918.7</v>
      </c>
    </row>
    <row r="13" spans="1:11" ht="14.4" customHeight="1" x14ac:dyDescent="0.3">
      <c r="A13" s="338" t="s">
        <v>343</v>
      </c>
      <c r="B13" s="339" t="s">
        <v>515</v>
      </c>
      <c r="C13" s="340" t="s">
        <v>348</v>
      </c>
      <c r="D13" s="341" t="s">
        <v>516</v>
      </c>
      <c r="E13" s="340" t="s">
        <v>1395</v>
      </c>
      <c r="F13" s="341" t="s">
        <v>1396</v>
      </c>
      <c r="G13" s="340" t="s">
        <v>543</v>
      </c>
      <c r="H13" s="340" t="s">
        <v>544</v>
      </c>
      <c r="I13" s="342">
        <v>17.55</v>
      </c>
      <c r="J13" s="342">
        <v>60</v>
      </c>
      <c r="K13" s="343">
        <v>1053</v>
      </c>
    </row>
    <row r="14" spans="1:11" ht="14.4" customHeight="1" x14ac:dyDescent="0.3">
      <c r="A14" s="338" t="s">
        <v>343</v>
      </c>
      <c r="B14" s="339" t="s">
        <v>515</v>
      </c>
      <c r="C14" s="340" t="s">
        <v>348</v>
      </c>
      <c r="D14" s="341" t="s">
        <v>516</v>
      </c>
      <c r="E14" s="340" t="s">
        <v>1395</v>
      </c>
      <c r="F14" s="341" t="s">
        <v>1396</v>
      </c>
      <c r="G14" s="340" t="s">
        <v>545</v>
      </c>
      <c r="H14" s="340" t="s">
        <v>546</v>
      </c>
      <c r="I14" s="342">
        <v>8.1999999999999993</v>
      </c>
      <c r="J14" s="342">
        <v>4</v>
      </c>
      <c r="K14" s="343">
        <v>32.799999999999997</v>
      </c>
    </row>
    <row r="15" spans="1:11" ht="14.4" customHeight="1" x14ac:dyDescent="0.3">
      <c r="A15" s="338" t="s">
        <v>343</v>
      </c>
      <c r="B15" s="339" t="s">
        <v>515</v>
      </c>
      <c r="C15" s="340" t="s">
        <v>348</v>
      </c>
      <c r="D15" s="341" t="s">
        <v>516</v>
      </c>
      <c r="E15" s="340" t="s">
        <v>1395</v>
      </c>
      <c r="F15" s="341" t="s">
        <v>1396</v>
      </c>
      <c r="G15" s="340" t="s">
        <v>547</v>
      </c>
      <c r="H15" s="340" t="s">
        <v>548</v>
      </c>
      <c r="I15" s="342">
        <v>28.734285714285715</v>
      </c>
      <c r="J15" s="342">
        <v>102</v>
      </c>
      <c r="K15" s="343">
        <v>2930.93</v>
      </c>
    </row>
    <row r="16" spans="1:11" ht="14.4" customHeight="1" x14ac:dyDescent="0.3">
      <c r="A16" s="338" t="s">
        <v>343</v>
      </c>
      <c r="B16" s="339" t="s">
        <v>515</v>
      </c>
      <c r="C16" s="340" t="s">
        <v>348</v>
      </c>
      <c r="D16" s="341" t="s">
        <v>516</v>
      </c>
      <c r="E16" s="340" t="s">
        <v>1395</v>
      </c>
      <c r="F16" s="341" t="s">
        <v>1396</v>
      </c>
      <c r="G16" s="340" t="s">
        <v>549</v>
      </c>
      <c r="H16" s="340" t="s">
        <v>550</v>
      </c>
      <c r="I16" s="342">
        <v>14.8</v>
      </c>
      <c r="J16" s="342">
        <v>1</v>
      </c>
      <c r="K16" s="343">
        <v>14.8</v>
      </c>
    </row>
    <row r="17" spans="1:11" ht="14.4" customHeight="1" x14ac:dyDescent="0.3">
      <c r="A17" s="338" t="s">
        <v>343</v>
      </c>
      <c r="B17" s="339" t="s">
        <v>515</v>
      </c>
      <c r="C17" s="340" t="s">
        <v>348</v>
      </c>
      <c r="D17" s="341" t="s">
        <v>516</v>
      </c>
      <c r="E17" s="340" t="s">
        <v>1395</v>
      </c>
      <c r="F17" s="341" t="s">
        <v>1396</v>
      </c>
      <c r="G17" s="340" t="s">
        <v>551</v>
      </c>
      <c r="H17" s="340" t="s">
        <v>552</v>
      </c>
      <c r="I17" s="342">
        <v>39.65</v>
      </c>
      <c r="J17" s="342">
        <v>12</v>
      </c>
      <c r="K17" s="343">
        <v>475.8</v>
      </c>
    </row>
    <row r="18" spans="1:11" ht="14.4" customHeight="1" x14ac:dyDescent="0.3">
      <c r="A18" s="338" t="s">
        <v>343</v>
      </c>
      <c r="B18" s="339" t="s">
        <v>515</v>
      </c>
      <c r="C18" s="340" t="s">
        <v>348</v>
      </c>
      <c r="D18" s="341" t="s">
        <v>516</v>
      </c>
      <c r="E18" s="340" t="s">
        <v>1395</v>
      </c>
      <c r="F18" s="341" t="s">
        <v>1396</v>
      </c>
      <c r="G18" s="340" t="s">
        <v>551</v>
      </c>
      <c r="H18" s="340" t="s">
        <v>553</v>
      </c>
      <c r="I18" s="342">
        <v>45.19</v>
      </c>
      <c r="J18" s="342">
        <v>92</v>
      </c>
      <c r="K18" s="343">
        <v>4179.7700000000004</v>
      </c>
    </row>
    <row r="19" spans="1:11" ht="14.4" customHeight="1" x14ac:dyDescent="0.3">
      <c r="A19" s="338" t="s">
        <v>343</v>
      </c>
      <c r="B19" s="339" t="s">
        <v>515</v>
      </c>
      <c r="C19" s="340" t="s">
        <v>348</v>
      </c>
      <c r="D19" s="341" t="s">
        <v>516</v>
      </c>
      <c r="E19" s="340" t="s">
        <v>1395</v>
      </c>
      <c r="F19" s="341" t="s">
        <v>1396</v>
      </c>
      <c r="G19" s="340" t="s">
        <v>554</v>
      </c>
      <c r="H19" s="340" t="s">
        <v>555</v>
      </c>
      <c r="I19" s="342">
        <v>6.2433333333333332</v>
      </c>
      <c r="J19" s="342">
        <v>430</v>
      </c>
      <c r="K19" s="343">
        <v>2684.2</v>
      </c>
    </row>
    <row r="20" spans="1:11" ht="14.4" customHeight="1" x14ac:dyDescent="0.3">
      <c r="A20" s="338" t="s">
        <v>343</v>
      </c>
      <c r="B20" s="339" t="s">
        <v>515</v>
      </c>
      <c r="C20" s="340" t="s">
        <v>348</v>
      </c>
      <c r="D20" s="341" t="s">
        <v>516</v>
      </c>
      <c r="E20" s="340" t="s">
        <v>1395</v>
      </c>
      <c r="F20" s="341" t="s">
        <v>1396</v>
      </c>
      <c r="G20" s="340" t="s">
        <v>554</v>
      </c>
      <c r="H20" s="340" t="s">
        <v>556</v>
      </c>
      <c r="I20" s="342">
        <v>6.245000000000001</v>
      </c>
      <c r="J20" s="342">
        <v>800</v>
      </c>
      <c r="K20" s="343">
        <v>4995.1000000000004</v>
      </c>
    </row>
    <row r="21" spans="1:11" ht="14.4" customHeight="1" x14ac:dyDescent="0.3">
      <c r="A21" s="338" t="s">
        <v>343</v>
      </c>
      <c r="B21" s="339" t="s">
        <v>515</v>
      </c>
      <c r="C21" s="340" t="s">
        <v>348</v>
      </c>
      <c r="D21" s="341" t="s">
        <v>516</v>
      </c>
      <c r="E21" s="340" t="s">
        <v>1395</v>
      </c>
      <c r="F21" s="341" t="s">
        <v>1396</v>
      </c>
      <c r="G21" s="340" t="s">
        <v>557</v>
      </c>
      <c r="H21" s="340" t="s">
        <v>558</v>
      </c>
      <c r="I21" s="342">
        <v>65.2</v>
      </c>
      <c r="J21" s="342">
        <v>300</v>
      </c>
      <c r="K21" s="343">
        <v>19560</v>
      </c>
    </row>
    <row r="22" spans="1:11" ht="14.4" customHeight="1" x14ac:dyDescent="0.3">
      <c r="A22" s="338" t="s">
        <v>343</v>
      </c>
      <c r="B22" s="339" t="s">
        <v>515</v>
      </c>
      <c r="C22" s="340" t="s">
        <v>348</v>
      </c>
      <c r="D22" s="341" t="s">
        <v>516</v>
      </c>
      <c r="E22" s="340" t="s">
        <v>1395</v>
      </c>
      <c r="F22" s="341" t="s">
        <v>1396</v>
      </c>
      <c r="G22" s="340" t="s">
        <v>559</v>
      </c>
      <c r="H22" s="340" t="s">
        <v>560</v>
      </c>
      <c r="I22" s="342">
        <v>0.14000000000000001</v>
      </c>
      <c r="J22" s="342">
        <v>800</v>
      </c>
      <c r="K22" s="343">
        <v>112</v>
      </c>
    </row>
    <row r="23" spans="1:11" ht="14.4" customHeight="1" x14ac:dyDescent="0.3">
      <c r="A23" s="338" t="s">
        <v>343</v>
      </c>
      <c r="B23" s="339" t="s">
        <v>515</v>
      </c>
      <c r="C23" s="340" t="s">
        <v>348</v>
      </c>
      <c r="D23" s="341" t="s">
        <v>516</v>
      </c>
      <c r="E23" s="340" t="s">
        <v>1395</v>
      </c>
      <c r="F23" s="341" t="s">
        <v>1396</v>
      </c>
      <c r="G23" s="340" t="s">
        <v>561</v>
      </c>
      <c r="H23" s="340" t="s">
        <v>562</v>
      </c>
      <c r="I23" s="342">
        <v>15.53</v>
      </c>
      <c r="J23" s="342">
        <v>190</v>
      </c>
      <c r="K23" s="343">
        <v>2950.69</v>
      </c>
    </row>
    <row r="24" spans="1:11" ht="14.4" customHeight="1" x14ac:dyDescent="0.3">
      <c r="A24" s="338" t="s">
        <v>343</v>
      </c>
      <c r="B24" s="339" t="s">
        <v>515</v>
      </c>
      <c r="C24" s="340" t="s">
        <v>348</v>
      </c>
      <c r="D24" s="341" t="s">
        <v>516</v>
      </c>
      <c r="E24" s="340" t="s">
        <v>1395</v>
      </c>
      <c r="F24" s="341" t="s">
        <v>1396</v>
      </c>
      <c r="G24" s="340" t="s">
        <v>563</v>
      </c>
      <c r="H24" s="340" t="s">
        <v>564</v>
      </c>
      <c r="I24" s="342">
        <v>26.45</v>
      </c>
      <c r="J24" s="342">
        <v>1800</v>
      </c>
      <c r="K24" s="343">
        <v>47610</v>
      </c>
    </row>
    <row r="25" spans="1:11" ht="14.4" customHeight="1" x14ac:dyDescent="0.3">
      <c r="A25" s="338" t="s">
        <v>343</v>
      </c>
      <c r="B25" s="339" t="s">
        <v>515</v>
      </c>
      <c r="C25" s="340" t="s">
        <v>348</v>
      </c>
      <c r="D25" s="341" t="s">
        <v>516</v>
      </c>
      <c r="E25" s="340" t="s">
        <v>1395</v>
      </c>
      <c r="F25" s="341" t="s">
        <v>1396</v>
      </c>
      <c r="G25" s="340" t="s">
        <v>565</v>
      </c>
      <c r="H25" s="340" t="s">
        <v>566</v>
      </c>
      <c r="I25" s="342">
        <v>0.43600000000000005</v>
      </c>
      <c r="J25" s="342">
        <v>5500</v>
      </c>
      <c r="K25" s="343">
        <v>2400</v>
      </c>
    </row>
    <row r="26" spans="1:11" ht="14.4" customHeight="1" x14ac:dyDescent="0.3">
      <c r="A26" s="338" t="s">
        <v>343</v>
      </c>
      <c r="B26" s="339" t="s">
        <v>515</v>
      </c>
      <c r="C26" s="340" t="s">
        <v>348</v>
      </c>
      <c r="D26" s="341" t="s">
        <v>516</v>
      </c>
      <c r="E26" s="340" t="s">
        <v>1395</v>
      </c>
      <c r="F26" s="341" t="s">
        <v>1396</v>
      </c>
      <c r="G26" s="340" t="s">
        <v>567</v>
      </c>
      <c r="H26" s="340" t="s">
        <v>568</v>
      </c>
      <c r="I26" s="342">
        <v>61.212499999999999</v>
      </c>
      <c r="J26" s="342">
        <v>31</v>
      </c>
      <c r="K26" s="343">
        <v>1897.61</v>
      </c>
    </row>
    <row r="27" spans="1:11" ht="14.4" customHeight="1" x14ac:dyDescent="0.3">
      <c r="A27" s="338" t="s">
        <v>343</v>
      </c>
      <c r="B27" s="339" t="s">
        <v>515</v>
      </c>
      <c r="C27" s="340" t="s">
        <v>348</v>
      </c>
      <c r="D27" s="341" t="s">
        <v>516</v>
      </c>
      <c r="E27" s="340" t="s">
        <v>1395</v>
      </c>
      <c r="F27" s="341" t="s">
        <v>1396</v>
      </c>
      <c r="G27" s="340" t="s">
        <v>569</v>
      </c>
      <c r="H27" s="340" t="s">
        <v>570</v>
      </c>
      <c r="I27" s="342">
        <v>54.86</v>
      </c>
      <c r="J27" s="342">
        <v>30</v>
      </c>
      <c r="K27" s="343">
        <v>1645.8</v>
      </c>
    </row>
    <row r="28" spans="1:11" ht="14.4" customHeight="1" x14ac:dyDescent="0.3">
      <c r="A28" s="338" t="s">
        <v>343</v>
      </c>
      <c r="B28" s="339" t="s">
        <v>515</v>
      </c>
      <c r="C28" s="340" t="s">
        <v>348</v>
      </c>
      <c r="D28" s="341" t="s">
        <v>516</v>
      </c>
      <c r="E28" s="340" t="s">
        <v>1395</v>
      </c>
      <c r="F28" s="341" t="s">
        <v>1396</v>
      </c>
      <c r="G28" s="340" t="s">
        <v>571</v>
      </c>
      <c r="H28" s="340" t="s">
        <v>572</v>
      </c>
      <c r="I28" s="342">
        <v>30.176000000000005</v>
      </c>
      <c r="J28" s="342">
        <v>335</v>
      </c>
      <c r="K28" s="343">
        <v>10108.549999999999</v>
      </c>
    </row>
    <row r="29" spans="1:11" ht="14.4" customHeight="1" x14ac:dyDescent="0.3">
      <c r="A29" s="338" t="s">
        <v>343</v>
      </c>
      <c r="B29" s="339" t="s">
        <v>515</v>
      </c>
      <c r="C29" s="340" t="s">
        <v>348</v>
      </c>
      <c r="D29" s="341" t="s">
        <v>516</v>
      </c>
      <c r="E29" s="340" t="s">
        <v>1395</v>
      </c>
      <c r="F29" s="341" t="s">
        <v>1396</v>
      </c>
      <c r="G29" s="340" t="s">
        <v>573</v>
      </c>
      <c r="H29" s="340" t="s">
        <v>574</v>
      </c>
      <c r="I29" s="342">
        <v>13.045</v>
      </c>
      <c r="J29" s="342">
        <v>402</v>
      </c>
      <c r="K29" s="343">
        <v>5243.08</v>
      </c>
    </row>
    <row r="30" spans="1:11" ht="14.4" customHeight="1" x14ac:dyDescent="0.3">
      <c r="A30" s="338" t="s">
        <v>343</v>
      </c>
      <c r="B30" s="339" t="s">
        <v>515</v>
      </c>
      <c r="C30" s="340" t="s">
        <v>348</v>
      </c>
      <c r="D30" s="341" t="s">
        <v>516</v>
      </c>
      <c r="E30" s="340" t="s">
        <v>1395</v>
      </c>
      <c r="F30" s="341" t="s">
        <v>1396</v>
      </c>
      <c r="G30" s="340" t="s">
        <v>573</v>
      </c>
      <c r="H30" s="340" t="s">
        <v>575</v>
      </c>
      <c r="I30" s="342">
        <v>13.04</v>
      </c>
      <c r="J30" s="342">
        <v>770</v>
      </c>
      <c r="K30" s="343">
        <v>10040.799999999999</v>
      </c>
    </row>
    <row r="31" spans="1:11" ht="14.4" customHeight="1" x14ac:dyDescent="0.3">
      <c r="A31" s="338" t="s">
        <v>343</v>
      </c>
      <c r="B31" s="339" t="s">
        <v>515</v>
      </c>
      <c r="C31" s="340" t="s">
        <v>348</v>
      </c>
      <c r="D31" s="341" t="s">
        <v>516</v>
      </c>
      <c r="E31" s="340" t="s">
        <v>1395</v>
      </c>
      <c r="F31" s="341" t="s">
        <v>1396</v>
      </c>
      <c r="G31" s="340" t="s">
        <v>576</v>
      </c>
      <c r="H31" s="340" t="s">
        <v>577</v>
      </c>
      <c r="I31" s="342">
        <v>0.67</v>
      </c>
      <c r="J31" s="342">
        <v>1100</v>
      </c>
      <c r="K31" s="343">
        <v>737</v>
      </c>
    </row>
    <row r="32" spans="1:11" ht="14.4" customHeight="1" x14ac:dyDescent="0.3">
      <c r="A32" s="338" t="s">
        <v>343</v>
      </c>
      <c r="B32" s="339" t="s">
        <v>515</v>
      </c>
      <c r="C32" s="340" t="s">
        <v>348</v>
      </c>
      <c r="D32" s="341" t="s">
        <v>516</v>
      </c>
      <c r="E32" s="340" t="s">
        <v>1395</v>
      </c>
      <c r="F32" s="341" t="s">
        <v>1396</v>
      </c>
      <c r="G32" s="340" t="s">
        <v>578</v>
      </c>
      <c r="H32" s="340" t="s">
        <v>579</v>
      </c>
      <c r="I32" s="342">
        <v>4.410000000000001</v>
      </c>
      <c r="J32" s="342">
        <v>1240</v>
      </c>
      <c r="K32" s="343">
        <v>5505.4000000000005</v>
      </c>
    </row>
    <row r="33" spans="1:11" ht="14.4" customHeight="1" x14ac:dyDescent="0.3">
      <c r="A33" s="338" t="s">
        <v>343</v>
      </c>
      <c r="B33" s="339" t="s">
        <v>515</v>
      </c>
      <c r="C33" s="340" t="s">
        <v>348</v>
      </c>
      <c r="D33" s="341" t="s">
        <v>516</v>
      </c>
      <c r="E33" s="340" t="s">
        <v>1395</v>
      </c>
      <c r="F33" s="341" t="s">
        <v>1396</v>
      </c>
      <c r="G33" s="340" t="s">
        <v>580</v>
      </c>
      <c r="H33" s="340" t="s">
        <v>581</v>
      </c>
      <c r="I33" s="342">
        <v>3.44</v>
      </c>
      <c r="J33" s="342">
        <v>58500</v>
      </c>
      <c r="K33" s="343">
        <v>200987.87</v>
      </c>
    </row>
    <row r="34" spans="1:11" ht="14.4" customHeight="1" x14ac:dyDescent="0.3">
      <c r="A34" s="338" t="s">
        <v>343</v>
      </c>
      <c r="B34" s="339" t="s">
        <v>515</v>
      </c>
      <c r="C34" s="340" t="s">
        <v>348</v>
      </c>
      <c r="D34" s="341" t="s">
        <v>516</v>
      </c>
      <c r="E34" s="340" t="s">
        <v>1395</v>
      </c>
      <c r="F34" s="341" t="s">
        <v>1396</v>
      </c>
      <c r="G34" s="340" t="s">
        <v>582</v>
      </c>
      <c r="H34" s="340" t="s">
        <v>583</v>
      </c>
      <c r="I34" s="342">
        <v>2.13</v>
      </c>
      <c r="J34" s="342">
        <v>1200</v>
      </c>
      <c r="K34" s="343">
        <v>2553</v>
      </c>
    </row>
    <row r="35" spans="1:11" ht="14.4" customHeight="1" x14ac:dyDescent="0.3">
      <c r="A35" s="338" t="s">
        <v>343</v>
      </c>
      <c r="B35" s="339" t="s">
        <v>515</v>
      </c>
      <c r="C35" s="340" t="s">
        <v>348</v>
      </c>
      <c r="D35" s="341" t="s">
        <v>516</v>
      </c>
      <c r="E35" s="340" t="s">
        <v>1395</v>
      </c>
      <c r="F35" s="341" t="s">
        <v>1396</v>
      </c>
      <c r="G35" s="340" t="s">
        <v>584</v>
      </c>
      <c r="H35" s="340" t="s">
        <v>585</v>
      </c>
      <c r="I35" s="342">
        <v>8.58</v>
      </c>
      <c r="J35" s="342">
        <v>732</v>
      </c>
      <c r="K35" s="343">
        <v>6280.5599999999995</v>
      </c>
    </row>
    <row r="36" spans="1:11" ht="14.4" customHeight="1" x14ac:dyDescent="0.3">
      <c r="A36" s="338" t="s">
        <v>343</v>
      </c>
      <c r="B36" s="339" t="s">
        <v>515</v>
      </c>
      <c r="C36" s="340" t="s">
        <v>348</v>
      </c>
      <c r="D36" s="341" t="s">
        <v>516</v>
      </c>
      <c r="E36" s="340" t="s">
        <v>1395</v>
      </c>
      <c r="F36" s="341" t="s">
        <v>1396</v>
      </c>
      <c r="G36" s="340" t="s">
        <v>586</v>
      </c>
      <c r="H36" s="340" t="s">
        <v>587</v>
      </c>
      <c r="I36" s="342">
        <v>354.86500000000001</v>
      </c>
      <c r="J36" s="342">
        <v>144</v>
      </c>
      <c r="K36" s="343">
        <v>50852.86</v>
      </c>
    </row>
    <row r="37" spans="1:11" ht="14.4" customHeight="1" x14ac:dyDescent="0.3">
      <c r="A37" s="338" t="s">
        <v>343</v>
      </c>
      <c r="B37" s="339" t="s">
        <v>515</v>
      </c>
      <c r="C37" s="340" t="s">
        <v>348</v>
      </c>
      <c r="D37" s="341" t="s">
        <v>516</v>
      </c>
      <c r="E37" s="340" t="s">
        <v>1395</v>
      </c>
      <c r="F37" s="341" t="s">
        <v>1396</v>
      </c>
      <c r="G37" s="340" t="s">
        <v>588</v>
      </c>
      <c r="H37" s="340" t="s">
        <v>589</v>
      </c>
      <c r="I37" s="342">
        <v>13.02</v>
      </c>
      <c r="J37" s="342">
        <v>1</v>
      </c>
      <c r="K37" s="343">
        <v>13.02</v>
      </c>
    </row>
    <row r="38" spans="1:11" ht="14.4" customHeight="1" x14ac:dyDescent="0.3">
      <c r="A38" s="338" t="s">
        <v>343</v>
      </c>
      <c r="B38" s="339" t="s">
        <v>515</v>
      </c>
      <c r="C38" s="340" t="s">
        <v>348</v>
      </c>
      <c r="D38" s="341" t="s">
        <v>516</v>
      </c>
      <c r="E38" s="340" t="s">
        <v>1395</v>
      </c>
      <c r="F38" s="341" t="s">
        <v>1396</v>
      </c>
      <c r="G38" s="340" t="s">
        <v>590</v>
      </c>
      <c r="H38" s="340" t="s">
        <v>591</v>
      </c>
      <c r="I38" s="342">
        <v>67.069999999999993</v>
      </c>
      <c r="J38" s="342">
        <v>408</v>
      </c>
      <c r="K38" s="343">
        <v>27493.31</v>
      </c>
    </row>
    <row r="39" spans="1:11" ht="14.4" customHeight="1" x14ac:dyDescent="0.3">
      <c r="A39" s="338" t="s">
        <v>343</v>
      </c>
      <c r="B39" s="339" t="s">
        <v>515</v>
      </c>
      <c r="C39" s="340" t="s">
        <v>348</v>
      </c>
      <c r="D39" s="341" t="s">
        <v>516</v>
      </c>
      <c r="E39" s="340" t="s">
        <v>1395</v>
      </c>
      <c r="F39" s="341" t="s">
        <v>1396</v>
      </c>
      <c r="G39" s="340" t="s">
        <v>592</v>
      </c>
      <c r="H39" s="340" t="s">
        <v>593</v>
      </c>
      <c r="I39" s="342">
        <v>11.26</v>
      </c>
      <c r="J39" s="342">
        <v>120</v>
      </c>
      <c r="K39" s="343">
        <v>1351.2</v>
      </c>
    </row>
    <row r="40" spans="1:11" ht="14.4" customHeight="1" x14ac:dyDescent="0.3">
      <c r="A40" s="338" t="s">
        <v>343</v>
      </c>
      <c r="B40" s="339" t="s">
        <v>515</v>
      </c>
      <c r="C40" s="340" t="s">
        <v>348</v>
      </c>
      <c r="D40" s="341" t="s">
        <v>516</v>
      </c>
      <c r="E40" s="340" t="s">
        <v>1395</v>
      </c>
      <c r="F40" s="341" t="s">
        <v>1396</v>
      </c>
      <c r="G40" s="340" t="s">
        <v>594</v>
      </c>
      <c r="H40" s="340" t="s">
        <v>595</v>
      </c>
      <c r="I40" s="342">
        <v>9.73</v>
      </c>
      <c r="J40" s="342">
        <v>120</v>
      </c>
      <c r="K40" s="343">
        <v>1167.5999999999999</v>
      </c>
    </row>
    <row r="41" spans="1:11" ht="14.4" customHeight="1" x14ac:dyDescent="0.3">
      <c r="A41" s="338" t="s">
        <v>343</v>
      </c>
      <c r="B41" s="339" t="s">
        <v>515</v>
      </c>
      <c r="C41" s="340" t="s">
        <v>348</v>
      </c>
      <c r="D41" s="341" t="s">
        <v>516</v>
      </c>
      <c r="E41" s="340" t="s">
        <v>1395</v>
      </c>
      <c r="F41" s="341" t="s">
        <v>1396</v>
      </c>
      <c r="G41" s="340" t="s">
        <v>596</v>
      </c>
      <c r="H41" s="340" t="s">
        <v>597</v>
      </c>
      <c r="I41" s="342">
        <v>1.17</v>
      </c>
      <c r="J41" s="342">
        <v>4</v>
      </c>
      <c r="K41" s="343">
        <v>4.68</v>
      </c>
    </row>
    <row r="42" spans="1:11" ht="14.4" customHeight="1" x14ac:dyDescent="0.3">
      <c r="A42" s="338" t="s">
        <v>343</v>
      </c>
      <c r="B42" s="339" t="s">
        <v>515</v>
      </c>
      <c r="C42" s="340" t="s">
        <v>348</v>
      </c>
      <c r="D42" s="341" t="s">
        <v>516</v>
      </c>
      <c r="E42" s="340" t="s">
        <v>1395</v>
      </c>
      <c r="F42" s="341" t="s">
        <v>1396</v>
      </c>
      <c r="G42" s="340" t="s">
        <v>598</v>
      </c>
      <c r="H42" s="340" t="s">
        <v>599</v>
      </c>
      <c r="I42" s="342">
        <v>46</v>
      </c>
      <c r="J42" s="342">
        <v>4</v>
      </c>
      <c r="K42" s="343">
        <v>184</v>
      </c>
    </row>
    <row r="43" spans="1:11" ht="14.4" customHeight="1" x14ac:dyDescent="0.3">
      <c r="A43" s="338" t="s">
        <v>343</v>
      </c>
      <c r="B43" s="339" t="s">
        <v>515</v>
      </c>
      <c r="C43" s="340" t="s">
        <v>348</v>
      </c>
      <c r="D43" s="341" t="s">
        <v>516</v>
      </c>
      <c r="E43" s="340" t="s">
        <v>1395</v>
      </c>
      <c r="F43" s="341" t="s">
        <v>1396</v>
      </c>
      <c r="G43" s="340" t="s">
        <v>600</v>
      </c>
      <c r="H43" s="340" t="s">
        <v>601</v>
      </c>
      <c r="I43" s="342">
        <v>21.65</v>
      </c>
      <c r="J43" s="342">
        <v>48</v>
      </c>
      <c r="K43" s="343">
        <v>1039.2</v>
      </c>
    </row>
    <row r="44" spans="1:11" ht="14.4" customHeight="1" x14ac:dyDescent="0.3">
      <c r="A44" s="338" t="s">
        <v>343</v>
      </c>
      <c r="B44" s="339" t="s">
        <v>515</v>
      </c>
      <c r="C44" s="340" t="s">
        <v>348</v>
      </c>
      <c r="D44" s="341" t="s">
        <v>516</v>
      </c>
      <c r="E44" s="340" t="s">
        <v>1395</v>
      </c>
      <c r="F44" s="341" t="s">
        <v>1396</v>
      </c>
      <c r="G44" s="340" t="s">
        <v>602</v>
      </c>
      <c r="H44" s="340" t="s">
        <v>603</v>
      </c>
      <c r="I44" s="342">
        <v>98.375</v>
      </c>
      <c r="J44" s="342">
        <v>69</v>
      </c>
      <c r="K44" s="343">
        <v>6787.8200000000006</v>
      </c>
    </row>
    <row r="45" spans="1:11" ht="14.4" customHeight="1" x14ac:dyDescent="0.3">
      <c r="A45" s="338" t="s">
        <v>343</v>
      </c>
      <c r="B45" s="339" t="s">
        <v>515</v>
      </c>
      <c r="C45" s="340" t="s">
        <v>348</v>
      </c>
      <c r="D45" s="341" t="s">
        <v>516</v>
      </c>
      <c r="E45" s="340" t="s">
        <v>1395</v>
      </c>
      <c r="F45" s="341" t="s">
        <v>1396</v>
      </c>
      <c r="G45" s="340" t="s">
        <v>604</v>
      </c>
      <c r="H45" s="340" t="s">
        <v>605</v>
      </c>
      <c r="I45" s="342">
        <v>26.17</v>
      </c>
      <c r="J45" s="342">
        <v>16</v>
      </c>
      <c r="K45" s="343">
        <v>418.72</v>
      </c>
    </row>
    <row r="46" spans="1:11" ht="14.4" customHeight="1" x14ac:dyDescent="0.3">
      <c r="A46" s="338" t="s">
        <v>343</v>
      </c>
      <c r="B46" s="339" t="s">
        <v>515</v>
      </c>
      <c r="C46" s="340" t="s">
        <v>348</v>
      </c>
      <c r="D46" s="341" t="s">
        <v>516</v>
      </c>
      <c r="E46" s="340" t="s">
        <v>1395</v>
      </c>
      <c r="F46" s="341" t="s">
        <v>1396</v>
      </c>
      <c r="G46" s="340" t="s">
        <v>606</v>
      </c>
      <c r="H46" s="340" t="s">
        <v>607</v>
      </c>
      <c r="I46" s="342">
        <v>0.97</v>
      </c>
      <c r="J46" s="342">
        <v>150</v>
      </c>
      <c r="K46" s="343">
        <v>145.5</v>
      </c>
    </row>
    <row r="47" spans="1:11" ht="14.4" customHeight="1" x14ac:dyDescent="0.3">
      <c r="A47" s="338" t="s">
        <v>343</v>
      </c>
      <c r="B47" s="339" t="s">
        <v>515</v>
      </c>
      <c r="C47" s="340" t="s">
        <v>348</v>
      </c>
      <c r="D47" s="341" t="s">
        <v>516</v>
      </c>
      <c r="E47" s="340" t="s">
        <v>1395</v>
      </c>
      <c r="F47" s="341" t="s">
        <v>1396</v>
      </c>
      <c r="G47" s="340" t="s">
        <v>606</v>
      </c>
      <c r="H47" s="340" t="s">
        <v>608</v>
      </c>
      <c r="I47" s="342">
        <v>0.97</v>
      </c>
      <c r="J47" s="342">
        <v>800</v>
      </c>
      <c r="K47" s="343">
        <v>776</v>
      </c>
    </row>
    <row r="48" spans="1:11" ht="14.4" customHeight="1" x14ac:dyDescent="0.3">
      <c r="A48" s="338" t="s">
        <v>343</v>
      </c>
      <c r="B48" s="339" t="s">
        <v>515</v>
      </c>
      <c r="C48" s="340" t="s">
        <v>348</v>
      </c>
      <c r="D48" s="341" t="s">
        <v>516</v>
      </c>
      <c r="E48" s="340" t="s">
        <v>1395</v>
      </c>
      <c r="F48" s="341" t="s">
        <v>1396</v>
      </c>
      <c r="G48" s="340" t="s">
        <v>609</v>
      </c>
      <c r="H48" s="340" t="s">
        <v>610</v>
      </c>
      <c r="I48" s="342">
        <v>0.59</v>
      </c>
      <c r="J48" s="342">
        <v>200</v>
      </c>
      <c r="K48" s="343">
        <v>118</v>
      </c>
    </row>
    <row r="49" spans="1:11" ht="14.4" customHeight="1" x14ac:dyDescent="0.3">
      <c r="A49" s="338" t="s">
        <v>343</v>
      </c>
      <c r="B49" s="339" t="s">
        <v>515</v>
      </c>
      <c r="C49" s="340" t="s">
        <v>348</v>
      </c>
      <c r="D49" s="341" t="s">
        <v>516</v>
      </c>
      <c r="E49" s="340" t="s">
        <v>1395</v>
      </c>
      <c r="F49" s="341" t="s">
        <v>1396</v>
      </c>
      <c r="G49" s="340" t="s">
        <v>611</v>
      </c>
      <c r="H49" s="340" t="s">
        <v>612</v>
      </c>
      <c r="I49" s="342">
        <v>1.62</v>
      </c>
      <c r="J49" s="342">
        <v>6250</v>
      </c>
      <c r="K49" s="343">
        <v>10131.5</v>
      </c>
    </row>
    <row r="50" spans="1:11" ht="14.4" customHeight="1" x14ac:dyDescent="0.3">
      <c r="A50" s="338" t="s">
        <v>343</v>
      </c>
      <c r="B50" s="339" t="s">
        <v>515</v>
      </c>
      <c r="C50" s="340" t="s">
        <v>348</v>
      </c>
      <c r="D50" s="341" t="s">
        <v>516</v>
      </c>
      <c r="E50" s="340" t="s">
        <v>1395</v>
      </c>
      <c r="F50" s="341" t="s">
        <v>1396</v>
      </c>
      <c r="G50" s="340" t="s">
        <v>613</v>
      </c>
      <c r="H50" s="340" t="s">
        <v>614</v>
      </c>
      <c r="I50" s="342">
        <v>223.72727272727272</v>
      </c>
      <c r="J50" s="342">
        <v>86</v>
      </c>
      <c r="K50" s="343">
        <v>19236.68</v>
      </c>
    </row>
    <row r="51" spans="1:11" ht="14.4" customHeight="1" x14ac:dyDescent="0.3">
      <c r="A51" s="338" t="s">
        <v>343</v>
      </c>
      <c r="B51" s="339" t="s">
        <v>515</v>
      </c>
      <c r="C51" s="340" t="s">
        <v>348</v>
      </c>
      <c r="D51" s="341" t="s">
        <v>516</v>
      </c>
      <c r="E51" s="340" t="s">
        <v>1395</v>
      </c>
      <c r="F51" s="341" t="s">
        <v>1396</v>
      </c>
      <c r="G51" s="340" t="s">
        <v>615</v>
      </c>
      <c r="H51" s="340" t="s">
        <v>616</v>
      </c>
      <c r="I51" s="342">
        <v>1.59</v>
      </c>
      <c r="J51" s="342">
        <v>810</v>
      </c>
      <c r="K51" s="343">
        <v>1289.6500000000001</v>
      </c>
    </row>
    <row r="52" spans="1:11" ht="14.4" customHeight="1" x14ac:dyDescent="0.3">
      <c r="A52" s="338" t="s">
        <v>343</v>
      </c>
      <c r="B52" s="339" t="s">
        <v>515</v>
      </c>
      <c r="C52" s="340" t="s">
        <v>348</v>
      </c>
      <c r="D52" s="341" t="s">
        <v>516</v>
      </c>
      <c r="E52" s="340" t="s">
        <v>1395</v>
      </c>
      <c r="F52" s="341" t="s">
        <v>1396</v>
      </c>
      <c r="G52" s="340" t="s">
        <v>617</v>
      </c>
      <c r="H52" s="340" t="s">
        <v>618</v>
      </c>
      <c r="I52" s="342">
        <v>13.16</v>
      </c>
      <c r="J52" s="342">
        <v>120</v>
      </c>
      <c r="K52" s="343">
        <v>1579.2</v>
      </c>
    </row>
    <row r="53" spans="1:11" ht="14.4" customHeight="1" x14ac:dyDescent="0.3">
      <c r="A53" s="338" t="s">
        <v>343</v>
      </c>
      <c r="B53" s="339" t="s">
        <v>515</v>
      </c>
      <c r="C53" s="340" t="s">
        <v>348</v>
      </c>
      <c r="D53" s="341" t="s">
        <v>516</v>
      </c>
      <c r="E53" s="340" t="s">
        <v>1395</v>
      </c>
      <c r="F53" s="341" t="s">
        <v>1396</v>
      </c>
      <c r="G53" s="340" t="s">
        <v>619</v>
      </c>
      <c r="H53" s="340" t="s">
        <v>620</v>
      </c>
      <c r="I53" s="342">
        <v>7.51</v>
      </c>
      <c r="J53" s="342">
        <v>48</v>
      </c>
      <c r="K53" s="343">
        <v>360.48</v>
      </c>
    </row>
    <row r="54" spans="1:11" ht="14.4" customHeight="1" x14ac:dyDescent="0.3">
      <c r="A54" s="338" t="s">
        <v>343</v>
      </c>
      <c r="B54" s="339" t="s">
        <v>515</v>
      </c>
      <c r="C54" s="340" t="s">
        <v>348</v>
      </c>
      <c r="D54" s="341" t="s">
        <v>516</v>
      </c>
      <c r="E54" s="340" t="s">
        <v>1395</v>
      </c>
      <c r="F54" s="341" t="s">
        <v>1396</v>
      </c>
      <c r="G54" s="340" t="s">
        <v>621</v>
      </c>
      <c r="H54" s="340" t="s">
        <v>622</v>
      </c>
      <c r="I54" s="342">
        <v>0.85499999999999998</v>
      </c>
      <c r="J54" s="342">
        <v>2600</v>
      </c>
      <c r="K54" s="343">
        <v>2224</v>
      </c>
    </row>
    <row r="55" spans="1:11" ht="14.4" customHeight="1" x14ac:dyDescent="0.3">
      <c r="A55" s="338" t="s">
        <v>343</v>
      </c>
      <c r="B55" s="339" t="s">
        <v>515</v>
      </c>
      <c r="C55" s="340" t="s">
        <v>348</v>
      </c>
      <c r="D55" s="341" t="s">
        <v>516</v>
      </c>
      <c r="E55" s="340" t="s">
        <v>1395</v>
      </c>
      <c r="F55" s="341" t="s">
        <v>1396</v>
      </c>
      <c r="G55" s="340" t="s">
        <v>623</v>
      </c>
      <c r="H55" s="340" t="s">
        <v>624</v>
      </c>
      <c r="I55" s="342">
        <v>1.52</v>
      </c>
      <c r="J55" s="342">
        <v>1000</v>
      </c>
      <c r="K55" s="343">
        <v>1520</v>
      </c>
    </row>
    <row r="56" spans="1:11" ht="14.4" customHeight="1" x14ac:dyDescent="0.3">
      <c r="A56" s="338" t="s">
        <v>343</v>
      </c>
      <c r="B56" s="339" t="s">
        <v>515</v>
      </c>
      <c r="C56" s="340" t="s">
        <v>348</v>
      </c>
      <c r="D56" s="341" t="s">
        <v>516</v>
      </c>
      <c r="E56" s="340" t="s">
        <v>1395</v>
      </c>
      <c r="F56" s="341" t="s">
        <v>1396</v>
      </c>
      <c r="G56" s="340" t="s">
        <v>625</v>
      </c>
      <c r="H56" s="340" t="s">
        <v>626</v>
      </c>
      <c r="I56" s="342">
        <v>2.06</v>
      </c>
      <c r="J56" s="342">
        <v>300</v>
      </c>
      <c r="K56" s="343">
        <v>618</v>
      </c>
    </row>
    <row r="57" spans="1:11" ht="14.4" customHeight="1" x14ac:dyDescent="0.3">
      <c r="A57" s="338" t="s">
        <v>343</v>
      </c>
      <c r="B57" s="339" t="s">
        <v>515</v>
      </c>
      <c r="C57" s="340" t="s">
        <v>348</v>
      </c>
      <c r="D57" s="341" t="s">
        <v>516</v>
      </c>
      <c r="E57" s="340" t="s">
        <v>1395</v>
      </c>
      <c r="F57" s="341" t="s">
        <v>1396</v>
      </c>
      <c r="G57" s="340" t="s">
        <v>627</v>
      </c>
      <c r="H57" s="340" t="s">
        <v>628</v>
      </c>
      <c r="I57" s="342">
        <v>111.248</v>
      </c>
      <c r="J57" s="342">
        <v>130</v>
      </c>
      <c r="K57" s="343">
        <v>14443.61</v>
      </c>
    </row>
    <row r="58" spans="1:11" ht="14.4" customHeight="1" x14ac:dyDescent="0.3">
      <c r="A58" s="338" t="s">
        <v>343</v>
      </c>
      <c r="B58" s="339" t="s">
        <v>515</v>
      </c>
      <c r="C58" s="340" t="s">
        <v>348</v>
      </c>
      <c r="D58" s="341" t="s">
        <v>516</v>
      </c>
      <c r="E58" s="340" t="s">
        <v>1395</v>
      </c>
      <c r="F58" s="341" t="s">
        <v>1396</v>
      </c>
      <c r="G58" s="340" t="s">
        <v>629</v>
      </c>
      <c r="H58" s="340" t="s">
        <v>630</v>
      </c>
      <c r="I58" s="342">
        <v>64.493333333333339</v>
      </c>
      <c r="J58" s="342">
        <v>130</v>
      </c>
      <c r="K58" s="343">
        <v>8382.39</v>
      </c>
    </row>
    <row r="59" spans="1:11" ht="14.4" customHeight="1" x14ac:dyDescent="0.3">
      <c r="A59" s="338" t="s">
        <v>343</v>
      </c>
      <c r="B59" s="339" t="s">
        <v>515</v>
      </c>
      <c r="C59" s="340" t="s">
        <v>348</v>
      </c>
      <c r="D59" s="341" t="s">
        <v>516</v>
      </c>
      <c r="E59" s="340" t="s">
        <v>1395</v>
      </c>
      <c r="F59" s="341" t="s">
        <v>1396</v>
      </c>
      <c r="G59" s="340" t="s">
        <v>631</v>
      </c>
      <c r="H59" s="340" t="s">
        <v>632</v>
      </c>
      <c r="I59" s="342">
        <v>15.49</v>
      </c>
      <c r="J59" s="342">
        <v>60</v>
      </c>
      <c r="K59" s="343">
        <v>929.4</v>
      </c>
    </row>
    <row r="60" spans="1:11" ht="14.4" customHeight="1" x14ac:dyDescent="0.3">
      <c r="A60" s="338" t="s">
        <v>343</v>
      </c>
      <c r="B60" s="339" t="s">
        <v>515</v>
      </c>
      <c r="C60" s="340" t="s">
        <v>348</v>
      </c>
      <c r="D60" s="341" t="s">
        <v>516</v>
      </c>
      <c r="E60" s="340" t="s">
        <v>1395</v>
      </c>
      <c r="F60" s="341" t="s">
        <v>1396</v>
      </c>
      <c r="G60" s="340" t="s">
        <v>633</v>
      </c>
      <c r="H60" s="340" t="s">
        <v>634</v>
      </c>
      <c r="I60" s="342">
        <v>3.01</v>
      </c>
      <c r="J60" s="342">
        <v>50</v>
      </c>
      <c r="K60" s="343">
        <v>150.49</v>
      </c>
    </row>
    <row r="61" spans="1:11" ht="14.4" customHeight="1" x14ac:dyDescent="0.3">
      <c r="A61" s="338" t="s">
        <v>343</v>
      </c>
      <c r="B61" s="339" t="s">
        <v>515</v>
      </c>
      <c r="C61" s="340" t="s">
        <v>348</v>
      </c>
      <c r="D61" s="341" t="s">
        <v>516</v>
      </c>
      <c r="E61" s="340" t="s">
        <v>1395</v>
      </c>
      <c r="F61" s="341" t="s">
        <v>1396</v>
      </c>
      <c r="G61" s="340" t="s">
        <v>635</v>
      </c>
      <c r="H61" s="340" t="s">
        <v>636</v>
      </c>
      <c r="I61" s="342">
        <v>96.59999999999998</v>
      </c>
      <c r="J61" s="342">
        <v>70</v>
      </c>
      <c r="K61" s="343">
        <v>6762</v>
      </c>
    </row>
    <row r="62" spans="1:11" ht="14.4" customHeight="1" x14ac:dyDescent="0.3">
      <c r="A62" s="338" t="s">
        <v>343</v>
      </c>
      <c r="B62" s="339" t="s">
        <v>515</v>
      </c>
      <c r="C62" s="340" t="s">
        <v>348</v>
      </c>
      <c r="D62" s="341" t="s">
        <v>516</v>
      </c>
      <c r="E62" s="340" t="s">
        <v>1395</v>
      </c>
      <c r="F62" s="341" t="s">
        <v>1396</v>
      </c>
      <c r="G62" s="340" t="s">
        <v>637</v>
      </c>
      <c r="H62" s="340" t="s">
        <v>638</v>
      </c>
      <c r="I62" s="342">
        <v>13.87</v>
      </c>
      <c r="J62" s="342">
        <v>48</v>
      </c>
      <c r="K62" s="343">
        <v>665.76</v>
      </c>
    </row>
    <row r="63" spans="1:11" ht="14.4" customHeight="1" x14ac:dyDescent="0.3">
      <c r="A63" s="338" t="s">
        <v>343</v>
      </c>
      <c r="B63" s="339" t="s">
        <v>515</v>
      </c>
      <c r="C63" s="340" t="s">
        <v>348</v>
      </c>
      <c r="D63" s="341" t="s">
        <v>516</v>
      </c>
      <c r="E63" s="340" t="s">
        <v>1395</v>
      </c>
      <c r="F63" s="341" t="s">
        <v>1396</v>
      </c>
      <c r="G63" s="340" t="s">
        <v>637</v>
      </c>
      <c r="H63" s="340" t="s">
        <v>639</v>
      </c>
      <c r="I63" s="342">
        <v>13.87</v>
      </c>
      <c r="J63" s="342">
        <v>4</v>
      </c>
      <c r="K63" s="343">
        <v>55.48</v>
      </c>
    </row>
    <row r="64" spans="1:11" ht="14.4" customHeight="1" x14ac:dyDescent="0.3">
      <c r="A64" s="338" t="s">
        <v>343</v>
      </c>
      <c r="B64" s="339" t="s">
        <v>515</v>
      </c>
      <c r="C64" s="340" t="s">
        <v>348</v>
      </c>
      <c r="D64" s="341" t="s">
        <v>516</v>
      </c>
      <c r="E64" s="340" t="s">
        <v>1395</v>
      </c>
      <c r="F64" s="341" t="s">
        <v>1396</v>
      </c>
      <c r="G64" s="340" t="s">
        <v>640</v>
      </c>
      <c r="H64" s="340" t="s">
        <v>641</v>
      </c>
      <c r="I64" s="342">
        <v>7.13</v>
      </c>
      <c r="J64" s="342">
        <v>30</v>
      </c>
      <c r="K64" s="343">
        <v>213.9</v>
      </c>
    </row>
    <row r="65" spans="1:11" ht="14.4" customHeight="1" x14ac:dyDescent="0.3">
      <c r="A65" s="338" t="s">
        <v>343</v>
      </c>
      <c r="B65" s="339" t="s">
        <v>515</v>
      </c>
      <c r="C65" s="340" t="s">
        <v>348</v>
      </c>
      <c r="D65" s="341" t="s">
        <v>516</v>
      </c>
      <c r="E65" s="340" t="s">
        <v>1395</v>
      </c>
      <c r="F65" s="341" t="s">
        <v>1396</v>
      </c>
      <c r="G65" s="340" t="s">
        <v>642</v>
      </c>
      <c r="H65" s="340" t="s">
        <v>643</v>
      </c>
      <c r="I65" s="342">
        <v>11.31</v>
      </c>
      <c r="J65" s="342">
        <v>4</v>
      </c>
      <c r="K65" s="343">
        <v>45.24</v>
      </c>
    </row>
    <row r="66" spans="1:11" ht="14.4" customHeight="1" x14ac:dyDescent="0.3">
      <c r="A66" s="338" t="s">
        <v>343</v>
      </c>
      <c r="B66" s="339" t="s">
        <v>515</v>
      </c>
      <c r="C66" s="340" t="s">
        <v>348</v>
      </c>
      <c r="D66" s="341" t="s">
        <v>516</v>
      </c>
      <c r="E66" s="340" t="s">
        <v>1395</v>
      </c>
      <c r="F66" s="341" t="s">
        <v>1396</v>
      </c>
      <c r="G66" s="340" t="s">
        <v>644</v>
      </c>
      <c r="H66" s="340" t="s">
        <v>645</v>
      </c>
      <c r="I66" s="342">
        <v>664.6</v>
      </c>
      <c r="J66" s="342">
        <v>24</v>
      </c>
      <c r="K66" s="343">
        <v>15950.5</v>
      </c>
    </row>
    <row r="67" spans="1:11" ht="14.4" customHeight="1" x14ac:dyDescent="0.3">
      <c r="A67" s="338" t="s">
        <v>343</v>
      </c>
      <c r="B67" s="339" t="s">
        <v>515</v>
      </c>
      <c r="C67" s="340" t="s">
        <v>348</v>
      </c>
      <c r="D67" s="341" t="s">
        <v>516</v>
      </c>
      <c r="E67" s="340" t="s">
        <v>1395</v>
      </c>
      <c r="F67" s="341" t="s">
        <v>1396</v>
      </c>
      <c r="G67" s="340" t="s">
        <v>646</v>
      </c>
      <c r="H67" s="340" t="s">
        <v>647</v>
      </c>
      <c r="I67" s="342">
        <v>7.17</v>
      </c>
      <c r="J67" s="342">
        <v>2000</v>
      </c>
      <c r="K67" s="343">
        <v>14340</v>
      </c>
    </row>
    <row r="68" spans="1:11" ht="14.4" customHeight="1" x14ac:dyDescent="0.3">
      <c r="A68" s="338" t="s">
        <v>343</v>
      </c>
      <c r="B68" s="339" t="s">
        <v>515</v>
      </c>
      <c r="C68" s="340" t="s">
        <v>348</v>
      </c>
      <c r="D68" s="341" t="s">
        <v>516</v>
      </c>
      <c r="E68" s="340" t="s">
        <v>1395</v>
      </c>
      <c r="F68" s="341" t="s">
        <v>1396</v>
      </c>
      <c r="G68" s="340" t="s">
        <v>648</v>
      </c>
      <c r="H68" s="340" t="s">
        <v>649</v>
      </c>
      <c r="I68" s="342">
        <v>1</v>
      </c>
      <c r="J68" s="342">
        <v>500</v>
      </c>
      <c r="K68" s="343">
        <v>501.57</v>
      </c>
    </row>
    <row r="69" spans="1:11" ht="14.4" customHeight="1" x14ac:dyDescent="0.3">
      <c r="A69" s="338" t="s">
        <v>343</v>
      </c>
      <c r="B69" s="339" t="s">
        <v>515</v>
      </c>
      <c r="C69" s="340" t="s">
        <v>348</v>
      </c>
      <c r="D69" s="341" t="s">
        <v>516</v>
      </c>
      <c r="E69" s="340" t="s">
        <v>1395</v>
      </c>
      <c r="F69" s="341" t="s">
        <v>1396</v>
      </c>
      <c r="G69" s="340" t="s">
        <v>650</v>
      </c>
      <c r="H69" s="340" t="s">
        <v>651</v>
      </c>
      <c r="I69" s="342">
        <v>5.1711111111111121</v>
      </c>
      <c r="J69" s="342">
        <v>560</v>
      </c>
      <c r="K69" s="343">
        <v>2897.55</v>
      </c>
    </row>
    <row r="70" spans="1:11" ht="14.4" customHeight="1" x14ac:dyDescent="0.3">
      <c r="A70" s="338" t="s">
        <v>343</v>
      </c>
      <c r="B70" s="339" t="s">
        <v>515</v>
      </c>
      <c r="C70" s="340" t="s">
        <v>348</v>
      </c>
      <c r="D70" s="341" t="s">
        <v>516</v>
      </c>
      <c r="E70" s="340" t="s">
        <v>1395</v>
      </c>
      <c r="F70" s="341" t="s">
        <v>1396</v>
      </c>
      <c r="G70" s="340" t="s">
        <v>652</v>
      </c>
      <c r="H70" s="340" t="s">
        <v>653</v>
      </c>
      <c r="I70" s="342">
        <v>9.7780000000000005</v>
      </c>
      <c r="J70" s="342">
        <v>640</v>
      </c>
      <c r="K70" s="343">
        <v>6256.6</v>
      </c>
    </row>
    <row r="71" spans="1:11" ht="14.4" customHeight="1" x14ac:dyDescent="0.3">
      <c r="A71" s="338" t="s">
        <v>343</v>
      </c>
      <c r="B71" s="339" t="s">
        <v>515</v>
      </c>
      <c r="C71" s="340" t="s">
        <v>348</v>
      </c>
      <c r="D71" s="341" t="s">
        <v>516</v>
      </c>
      <c r="E71" s="340" t="s">
        <v>1395</v>
      </c>
      <c r="F71" s="341" t="s">
        <v>1396</v>
      </c>
      <c r="G71" s="340" t="s">
        <v>654</v>
      </c>
      <c r="H71" s="340" t="s">
        <v>655</v>
      </c>
      <c r="I71" s="342">
        <v>0.31</v>
      </c>
      <c r="J71" s="342">
        <v>25</v>
      </c>
      <c r="K71" s="343">
        <v>7.75</v>
      </c>
    </row>
    <row r="72" spans="1:11" ht="14.4" customHeight="1" x14ac:dyDescent="0.3">
      <c r="A72" s="338" t="s">
        <v>343</v>
      </c>
      <c r="B72" s="339" t="s">
        <v>515</v>
      </c>
      <c r="C72" s="340" t="s">
        <v>348</v>
      </c>
      <c r="D72" s="341" t="s">
        <v>516</v>
      </c>
      <c r="E72" s="340" t="s">
        <v>1395</v>
      </c>
      <c r="F72" s="341" t="s">
        <v>1396</v>
      </c>
      <c r="G72" s="340" t="s">
        <v>656</v>
      </c>
      <c r="H72" s="340" t="s">
        <v>657</v>
      </c>
      <c r="I72" s="342">
        <v>11.74</v>
      </c>
      <c r="J72" s="342">
        <v>1</v>
      </c>
      <c r="K72" s="343">
        <v>11.74</v>
      </c>
    </row>
    <row r="73" spans="1:11" ht="14.4" customHeight="1" x14ac:dyDescent="0.3">
      <c r="A73" s="338" t="s">
        <v>343</v>
      </c>
      <c r="B73" s="339" t="s">
        <v>515</v>
      </c>
      <c r="C73" s="340" t="s">
        <v>348</v>
      </c>
      <c r="D73" s="341" t="s">
        <v>516</v>
      </c>
      <c r="E73" s="340" t="s">
        <v>1395</v>
      </c>
      <c r="F73" s="341" t="s">
        <v>1396</v>
      </c>
      <c r="G73" s="340" t="s">
        <v>658</v>
      </c>
      <c r="H73" s="340" t="s">
        <v>659</v>
      </c>
      <c r="I73" s="342">
        <v>14.08</v>
      </c>
      <c r="J73" s="342">
        <v>1</v>
      </c>
      <c r="K73" s="343">
        <v>14.08</v>
      </c>
    </row>
    <row r="74" spans="1:11" ht="14.4" customHeight="1" x14ac:dyDescent="0.3">
      <c r="A74" s="338" t="s">
        <v>343</v>
      </c>
      <c r="B74" s="339" t="s">
        <v>515</v>
      </c>
      <c r="C74" s="340" t="s">
        <v>348</v>
      </c>
      <c r="D74" s="341" t="s">
        <v>516</v>
      </c>
      <c r="E74" s="340" t="s">
        <v>1395</v>
      </c>
      <c r="F74" s="341" t="s">
        <v>1396</v>
      </c>
      <c r="G74" s="340" t="s">
        <v>660</v>
      </c>
      <c r="H74" s="340" t="s">
        <v>661</v>
      </c>
      <c r="I74" s="342">
        <v>7.1</v>
      </c>
      <c r="J74" s="342">
        <v>2</v>
      </c>
      <c r="K74" s="343">
        <v>14.2</v>
      </c>
    </row>
    <row r="75" spans="1:11" ht="14.4" customHeight="1" x14ac:dyDescent="0.3">
      <c r="A75" s="338" t="s">
        <v>343</v>
      </c>
      <c r="B75" s="339" t="s">
        <v>515</v>
      </c>
      <c r="C75" s="340" t="s">
        <v>348</v>
      </c>
      <c r="D75" s="341" t="s">
        <v>516</v>
      </c>
      <c r="E75" s="340" t="s">
        <v>1395</v>
      </c>
      <c r="F75" s="341" t="s">
        <v>1396</v>
      </c>
      <c r="G75" s="340" t="s">
        <v>662</v>
      </c>
      <c r="H75" s="340" t="s">
        <v>663</v>
      </c>
      <c r="I75" s="342">
        <v>3.5180000000000007</v>
      </c>
      <c r="J75" s="342">
        <v>270</v>
      </c>
      <c r="K75" s="343">
        <v>952.05000000000007</v>
      </c>
    </row>
    <row r="76" spans="1:11" ht="14.4" customHeight="1" x14ac:dyDescent="0.3">
      <c r="A76" s="338" t="s">
        <v>343</v>
      </c>
      <c r="B76" s="339" t="s">
        <v>515</v>
      </c>
      <c r="C76" s="340" t="s">
        <v>348</v>
      </c>
      <c r="D76" s="341" t="s">
        <v>516</v>
      </c>
      <c r="E76" s="340" t="s">
        <v>1395</v>
      </c>
      <c r="F76" s="341" t="s">
        <v>1396</v>
      </c>
      <c r="G76" s="340" t="s">
        <v>664</v>
      </c>
      <c r="H76" s="340" t="s">
        <v>665</v>
      </c>
      <c r="I76" s="342">
        <v>8.2799999999999994</v>
      </c>
      <c r="J76" s="342">
        <v>1</v>
      </c>
      <c r="K76" s="343">
        <v>8.2799999999999994</v>
      </c>
    </row>
    <row r="77" spans="1:11" ht="14.4" customHeight="1" x14ac:dyDescent="0.3">
      <c r="A77" s="338" t="s">
        <v>343</v>
      </c>
      <c r="B77" s="339" t="s">
        <v>515</v>
      </c>
      <c r="C77" s="340" t="s">
        <v>348</v>
      </c>
      <c r="D77" s="341" t="s">
        <v>516</v>
      </c>
      <c r="E77" s="340" t="s">
        <v>1395</v>
      </c>
      <c r="F77" s="341" t="s">
        <v>1396</v>
      </c>
      <c r="G77" s="340" t="s">
        <v>666</v>
      </c>
      <c r="H77" s="340" t="s">
        <v>667</v>
      </c>
      <c r="I77" s="342">
        <v>5.92</v>
      </c>
      <c r="J77" s="342">
        <v>2</v>
      </c>
      <c r="K77" s="343">
        <v>11.84</v>
      </c>
    </row>
    <row r="78" spans="1:11" ht="14.4" customHeight="1" x14ac:dyDescent="0.3">
      <c r="A78" s="338" t="s">
        <v>343</v>
      </c>
      <c r="B78" s="339" t="s">
        <v>515</v>
      </c>
      <c r="C78" s="340" t="s">
        <v>348</v>
      </c>
      <c r="D78" s="341" t="s">
        <v>516</v>
      </c>
      <c r="E78" s="340" t="s">
        <v>1395</v>
      </c>
      <c r="F78" s="341" t="s">
        <v>1396</v>
      </c>
      <c r="G78" s="340" t="s">
        <v>668</v>
      </c>
      <c r="H78" s="340" t="s">
        <v>669</v>
      </c>
      <c r="I78" s="342">
        <v>2.68</v>
      </c>
      <c r="J78" s="342">
        <v>15</v>
      </c>
      <c r="K78" s="343">
        <v>40.200000000000003</v>
      </c>
    </row>
    <row r="79" spans="1:11" ht="14.4" customHeight="1" x14ac:dyDescent="0.3">
      <c r="A79" s="338" t="s">
        <v>343</v>
      </c>
      <c r="B79" s="339" t="s">
        <v>515</v>
      </c>
      <c r="C79" s="340" t="s">
        <v>348</v>
      </c>
      <c r="D79" s="341" t="s">
        <v>516</v>
      </c>
      <c r="E79" s="340" t="s">
        <v>1395</v>
      </c>
      <c r="F79" s="341" t="s">
        <v>1396</v>
      </c>
      <c r="G79" s="340" t="s">
        <v>670</v>
      </c>
      <c r="H79" s="340" t="s">
        <v>671</v>
      </c>
      <c r="I79" s="342">
        <v>0.61</v>
      </c>
      <c r="J79" s="342">
        <v>4800</v>
      </c>
      <c r="K79" s="343">
        <v>2947.68</v>
      </c>
    </row>
    <row r="80" spans="1:11" ht="14.4" customHeight="1" x14ac:dyDescent="0.3">
      <c r="A80" s="338" t="s">
        <v>343</v>
      </c>
      <c r="B80" s="339" t="s">
        <v>515</v>
      </c>
      <c r="C80" s="340" t="s">
        <v>348</v>
      </c>
      <c r="D80" s="341" t="s">
        <v>516</v>
      </c>
      <c r="E80" s="340" t="s">
        <v>1395</v>
      </c>
      <c r="F80" s="341" t="s">
        <v>1396</v>
      </c>
      <c r="G80" s="340" t="s">
        <v>672</v>
      </c>
      <c r="H80" s="340" t="s">
        <v>673</v>
      </c>
      <c r="I80" s="342">
        <v>167.83</v>
      </c>
      <c r="J80" s="342">
        <v>240</v>
      </c>
      <c r="K80" s="343">
        <v>40279.25</v>
      </c>
    </row>
    <row r="81" spans="1:11" ht="14.4" customHeight="1" x14ac:dyDescent="0.3">
      <c r="A81" s="338" t="s">
        <v>343</v>
      </c>
      <c r="B81" s="339" t="s">
        <v>515</v>
      </c>
      <c r="C81" s="340" t="s">
        <v>348</v>
      </c>
      <c r="D81" s="341" t="s">
        <v>516</v>
      </c>
      <c r="E81" s="340" t="s">
        <v>1395</v>
      </c>
      <c r="F81" s="341" t="s">
        <v>1396</v>
      </c>
      <c r="G81" s="340" t="s">
        <v>674</v>
      </c>
      <c r="H81" s="340" t="s">
        <v>675</v>
      </c>
      <c r="I81" s="342">
        <v>2.6200000000000006</v>
      </c>
      <c r="J81" s="342">
        <v>900</v>
      </c>
      <c r="K81" s="343">
        <v>2359.5</v>
      </c>
    </row>
    <row r="82" spans="1:11" ht="14.4" customHeight="1" x14ac:dyDescent="0.3">
      <c r="A82" s="338" t="s">
        <v>343</v>
      </c>
      <c r="B82" s="339" t="s">
        <v>515</v>
      </c>
      <c r="C82" s="340" t="s">
        <v>348</v>
      </c>
      <c r="D82" s="341" t="s">
        <v>516</v>
      </c>
      <c r="E82" s="340" t="s">
        <v>1395</v>
      </c>
      <c r="F82" s="341" t="s">
        <v>1396</v>
      </c>
      <c r="G82" s="340" t="s">
        <v>676</v>
      </c>
      <c r="H82" s="340" t="s">
        <v>677</v>
      </c>
      <c r="I82" s="342">
        <v>138</v>
      </c>
      <c r="J82" s="342">
        <v>180</v>
      </c>
      <c r="K82" s="343">
        <v>24840</v>
      </c>
    </row>
    <row r="83" spans="1:11" ht="14.4" customHeight="1" x14ac:dyDescent="0.3">
      <c r="A83" s="338" t="s">
        <v>343</v>
      </c>
      <c r="B83" s="339" t="s">
        <v>515</v>
      </c>
      <c r="C83" s="340" t="s">
        <v>348</v>
      </c>
      <c r="D83" s="341" t="s">
        <v>516</v>
      </c>
      <c r="E83" s="340" t="s">
        <v>1395</v>
      </c>
      <c r="F83" s="341" t="s">
        <v>1396</v>
      </c>
      <c r="G83" s="340" t="s">
        <v>678</v>
      </c>
      <c r="H83" s="340" t="s">
        <v>679</v>
      </c>
      <c r="I83" s="342">
        <v>15.755000000000003</v>
      </c>
      <c r="J83" s="342">
        <v>530</v>
      </c>
      <c r="K83" s="343">
        <v>8350.66</v>
      </c>
    </row>
    <row r="84" spans="1:11" ht="14.4" customHeight="1" x14ac:dyDescent="0.3">
      <c r="A84" s="338" t="s">
        <v>343</v>
      </c>
      <c r="B84" s="339" t="s">
        <v>515</v>
      </c>
      <c r="C84" s="340" t="s">
        <v>348</v>
      </c>
      <c r="D84" s="341" t="s">
        <v>516</v>
      </c>
      <c r="E84" s="340" t="s">
        <v>1395</v>
      </c>
      <c r="F84" s="341" t="s">
        <v>1396</v>
      </c>
      <c r="G84" s="340" t="s">
        <v>680</v>
      </c>
      <c r="H84" s="340" t="s">
        <v>681</v>
      </c>
      <c r="I84" s="342">
        <v>269.39</v>
      </c>
      <c r="J84" s="342">
        <v>192</v>
      </c>
      <c r="K84" s="343">
        <v>51722.400000000001</v>
      </c>
    </row>
    <row r="85" spans="1:11" ht="14.4" customHeight="1" x14ac:dyDescent="0.3">
      <c r="A85" s="338" t="s">
        <v>343</v>
      </c>
      <c r="B85" s="339" t="s">
        <v>515</v>
      </c>
      <c r="C85" s="340" t="s">
        <v>348</v>
      </c>
      <c r="D85" s="341" t="s">
        <v>516</v>
      </c>
      <c r="E85" s="340" t="s">
        <v>1395</v>
      </c>
      <c r="F85" s="341" t="s">
        <v>1396</v>
      </c>
      <c r="G85" s="340" t="s">
        <v>682</v>
      </c>
      <c r="H85" s="340" t="s">
        <v>683</v>
      </c>
      <c r="I85" s="342">
        <v>21.06</v>
      </c>
      <c r="J85" s="342">
        <v>90</v>
      </c>
      <c r="K85" s="343">
        <v>1895.6999999999998</v>
      </c>
    </row>
    <row r="86" spans="1:11" ht="14.4" customHeight="1" x14ac:dyDescent="0.3">
      <c r="A86" s="338" t="s">
        <v>343</v>
      </c>
      <c r="B86" s="339" t="s">
        <v>515</v>
      </c>
      <c r="C86" s="340" t="s">
        <v>348</v>
      </c>
      <c r="D86" s="341" t="s">
        <v>516</v>
      </c>
      <c r="E86" s="340" t="s">
        <v>1395</v>
      </c>
      <c r="F86" s="341" t="s">
        <v>1396</v>
      </c>
      <c r="G86" s="340" t="s">
        <v>682</v>
      </c>
      <c r="H86" s="340" t="s">
        <v>684</v>
      </c>
      <c r="I86" s="342">
        <v>21.06</v>
      </c>
      <c r="J86" s="342">
        <v>50</v>
      </c>
      <c r="K86" s="343">
        <v>1053.2</v>
      </c>
    </row>
    <row r="87" spans="1:11" ht="14.4" customHeight="1" x14ac:dyDescent="0.3">
      <c r="A87" s="338" t="s">
        <v>343</v>
      </c>
      <c r="B87" s="339" t="s">
        <v>515</v>
      </c>
      <c r="C87" s="340" t="s">
        <v>348</v>
      </c>
      <c r="D87" s="341" t="s">
        <v>516</v>
      </c>
      <c r="E87" s="340" t="s">
        <v>1395</v>
      </c>
      <c r="F87" s="341" t="s">
        <v>1396</v>
      </c>
      <c r="G87" s="340" t="s">
        <v>685</v>
      </c>
      <c r="H87" s="340" t="s">
        <v>686</v>
      </c>
      <c r="I87" s="342">
        <v>69</v>
      </c>
      <c r="J87" s="342">
        <v>700</v>
      </c>
      <c r="K87" s="343">
        <v>48300</v>
      </c>
    </row>
    <row r="88" spans="1:11" ht="14.4" customHeight="1" x14ac:dyDescent="0.3">
      <c r="A88" s="338" t="s">
        <v>343</v>
      </c>
      <c r="B88" s="339" t="s">
        <v>515</v>
      </c>
      <c r="C88" s="340" t="s">
        <v>348</v>
      </c>
      <c r="D88" s="341" t="s">
        <v>516</v>
      </c>
      <c r="E88" s="340" t="s">
        <v>1395</v>
      </c>
      <c r="F88" s="341" t="s">
        <v>1396</v>
      </c>
      <c r="G88" s="340" t="s">
        <v>687</v>
      </c>
      <c r="H88" s="340" t="s">
        <v>688</v>
      </c>
      <c r="I88" s="342">
        <v>113.28</v>
      </c>
      <c r="J88" s="342">
        <v>100</v>
      </c>
      <c r="K88" s="343">
        <v>11327.5</v>
      </c>
    </row>
    <row r="89" spans="1:11" ht="14.4" customHeight="1" x14ac:dyDescent="0.3">
      <c r="A89" s="338" t="s">
        <v>343</v>
      </c>
      <c r="B89" s="339" t="s">
        <v>515</v>
      </c>
      <c r="C89" s="340" t="s">
        <v>348</v>
      </c>
      <c r="D89" s="341" t="s">
        <v>516</v>
      </c>
      <c r="E89" s="340" t="s">
        <v>1395</v>
      </c>
      <c r="F89" s="341" t="s">
        <v>1396</v>
      </c>
      <c r="G89" s="340" t="s">
        <v>689</v>
      </c>
      <c r="H89" s="340" t="s">
        <v>690</v>
      </c>
      <c r="I89" s="342">
        <v>38.4</v>
      </c>
      <c r="J89" s="342">
        <v>140</v>
      </c>
      <c r="K89" s="343">
        <v>5376.0599999999995</v>
      </c>
    </row>
    <row r="90" spans="1:11" ht="14.4" customHeight="1" x14ac:dyDescent="0.3">
      <c r="A90" s="338" t="s">
        <v>343</v>
      </c>
      <c r="B90" s="339" t="s">
        <v>515</v>
      </c>
      <c r="C90" s="340" t="s">
        <v>348</v>
      </c>
      <c r="D90" s="341" t="s">
        <v>516</v>
      </c>
      <c r="E90" s="340" t="s">
        <v>1395</v>
      </c>
      <c r="F90" s="341" t="s">
        <v>1396</v>
      </c>
      <c r="G90" s="340" t="s">
        <v>691</v>
      </c>
      <c r="H90" s="340" t="s">
        <v>692</v>
      </c>
      <c r="I90" s="342">
        <v>517.5</v>
      </c>
      <c r="J90" s="342">
        <v>120</v>
      </c>
      <c r="K90" s="343">
        <v>62100</v>
      </c>
    </row>
    <row r="91" spans="1:11" ht="14.4" customHeight="1" x14ac:dyDescent="0.3">
      <c r="A91" s="338" t="s">
        <v>343</v>
      </c>
      <c r="B91" s="339" t="s">
        <v>515</v>
      </c>
      <c r="C91" s="340" t="s">
        <v>348</v>
      </c>
      <c r="D91" s="341" t="s">
        <v>516</v>
      </c>
      <c r="E91" s="340" t="s">
        <v>1395</v>
      </c>
      <c r="F91" s="341" t="s">
        <v>1396</v>
      </c>
      <c r="G91" s="340" t="s">
        <v>693</v>
      </c>
      <c r="H91" s="340" t="s">
        <v>694</v>
      </c>
      <c r="I91" s="342">
        <v>29.21</v>
      </c>
      <c r="J91" s="342">
        <v>1344</v>
      </c>
      <c r="K91" s="343">
        <v>39258.239999999998</v>
      </c>
    </row>
    <row r="92" spans="1:11" ht="14.4" customHeight="1" x14ac:dyDescent="0.3">
      <c r="A92" s="338" t="s">
        <v>343</v>
      </c>
      <c r="B92" s="339" t="s">
        <v>515</v>
      </c>
      <c r="C92" s="340" t="s">
        <v>348</v>
      </c>
      <c r="D92" s="341" t="s">
        <v>516</v>
      </c>
      <c r="E92" s="340" t="s">
        <v>1395</v>
      </c>
      <c r="F92" s="341" t="s">
        <v>1396</v>
      </c>
      <c r="G92" s="340" t="s">
        <v>695</v>
      </c>
      <c r="H92" s="340" t="s">
        <v>696</v>
      </c>
      <c r="I92" s="342">
        <v>16.21</v>
      </c>
      <c r="J92" s="342">
        <v>18900</v>
      </c>
      <c r="K92" s="343">
        <v>306463.5</v>
      </c>
    </row>
    <row r="93" spans="1:11" ht="14.4" customHeight="1" x14ac:dyDescent="0.3">
      <c r="A93" s="338" t="s">
        <v>343</v>
      </c>
      <c r="B93" s="339" t="s">
        <v>515</v>
      </c>
      <c r="C93" s="340" t="s">
        <v>348</v>
      </c>
      <c r="D93" s="341" t="s">
        <v>516</v>
      </c>
      <c r="E93" s="340" t="s">
        <v>1395</v>
      </c>
      <c r="F93" s="341" t="s">
        <v>1396</v>
      </c>
      <c r="G93" s="340" t="s">
        <v>695</v>
      </c>
      <c r="H93" s="340" t="s">
        <v>697</v>
      </c>
      <c r="I93" s="342">
        <v>16.210000000000004</v>
      </c>
      <c r="J93" s="342">
        <v>31500</v>
      </c>
      <c r="K93" s="343">
        <v>510772.5</v>
      </c>
    </row>
    <row r="94" spans="1:11" ht="14.4" customHeight="1" x14ac:dyDescent="0.3">
      <c r="A94" s="338" t="s">
        <v>343</v>
      </c>
      <c r="B94" s="339" t="s">
        <v>515</v>
      </c>
      <c r="C94" s="340" t="s">
        <v>348</v>
      </c>
      <c r="D94" s="341" t="s">
        <v>516</v>
      </c>
      <c r="E94" s="340" t="s">
        <v>1395</v>
      </c>
      <c r="F94" s="341" t="s">
        <v>1396</v>
      </c>
      <c r="G94" s="340" t="s">
        <v>698</v>
      </c>
      <c r="H94" s="340" t="s">
        <v>699</v>
      </c>
      <c r="I94" s="342">
        <v>29.097142857142853</v>
      </c>
      <c r="J94" s="342">
        <v>6816</v>
      </c>
      <c r="K94" s="343">
        <v>198311.52000000002</v>
      </c>
    </row>
    <row r="95" spans="1:11" ht="14.4" customHeight="1" x14ac:dyDescent="0.3">
      <c r="A95" s="338" t="s">
        <v>343</v>
      </c>
      <c r="B95" s="339" t="s">
        <v>515</v>
      </c>
      <c r="C95" s="340" t="s">
        <v>348</v>
      </c>
      <c r="D95" s="341" t="s">
        <v>516</v>
      </c>
      <c r="E95" s="340" t="s">
        <v>1395</v>
      </c>
      <c r="F95" s="341" t="s">
        <v>1396</v>
      </c>
      <c r="G95" s="340" t="s">
        <v>700</v>
      </c>
      <c r="H95" s="340" t="s">
        <v>701</v>
      </c>
      <c r="I95" s="342">
        <v>5.6310000000000011</v>
      </c>
      <c r="J95" s="342">
        <v>15750</v>
      </c>
      <c r="K95" s="343">
        <v>88724.25</v>
      </c>
    </row>
    <row r="96" spans="1:11" ht="14.4" customHeight="1" x14ac:dyDescent="0.3">
      <c r="A96" s="338" t="s">
        <v>343</v>
      </c>
      <c r="B96" s="339" t="s">
        <v>515</v>
      </c>
      <c r="C96" s="340" t="s">
        <v>348</v>
      </c>
      <c r="D96" s="341" t="s">
        <v>516</v>
      </c>
      <c r="E96" s="340" t="s">
        <v>1395</v>
      </c>
      <c r="F96" s="341" t="s">
        <v>1396</v>
      </c>
      <c r="G96" s="340" t="s">
        <v>700</v>
      </c>
      <c r="H96" s="340" t="s">
        <v>702</v>
      </c>
      <c r="I96" s="342">
        <v>5.63</v>
      </c>
      <c r="J96" s="342">
        <v>18900</v>
      </c>
      <c r="K96" s="343">
        <v>106501.5</v>
      </c>
    </row>
    <row r="97" spans="1:11" ht="14.4" customHeight="1" x14ac:dyDescent="0.3">
      <c r="A97" s="338" t="s">
        <v>343</v>
      </c>
      <c r="B97" s="339" t="s">
        <v>515</v>
      </c>
      <c r="C97" s="340" t="s">
        <v>348</v>
      </c>
      <c r="D97" s="341" t="s">
        <v>516</v>
      </c>
      <c r="E97" s="340" t="s">
        <v>1395</v>
      </c>
      <c r="F97" s="341" t="s">
        <v>1396</v>
      </c>
      <c r="G97" s="340" t="s">
        <v>703</v>
      </c>
      <c r="H97" s="340" t="s">
        <v>704</v>
      </c>
      <c r="I97" s="342">
        <v>0.85222222222222244</v>
      </c>
      <c r="J97" s="342">
        <v>33000</v>
      </c>
      <c r="K97" s="343">
        <v>28341</v>
      </c>
    </row>
    <row r="98" spans="1:11" ht="14.4" customHeight="1" x14ac:dyDescent="0.3">
      <c r="A98" s="338" t="s">
        <v>343</v>
      </c>
      <c r="B98" s="339" t="s">
        <v>515</v>
      </c>
      <c r="C98" s="340" t="s">
        <v>348</v>
      </c>
      <c r="D98" s="341" t="s">
        <v>516</v>
      </c>
      <c r="E98" s="340" t="s">
        <v>1395</v>
      </c>
      <c r="F98" s="341" t="s">
        <v>1396</v>
      </c>
      <c r="G98" s="340" t="s">
        <v>705</v>
      </c>
      <c r="H98" s="340" t="s">
        <v>706</v>
      </c>
      <c r="I98" s="342">
        <v>58.6</v>
      </c>
      <c r="J98" s="342">
        <v>35</v>
      </c>
      <c r="K98" s="343">
        <v>2051.14</v>
      </c>
    </row>
    <row r="99" spans="1:11" ht="14.4" customHeight="1" x14ac:dyDescent="0.3">
      <c r="A99" s="338" t="s">
        <v>343</v>
      </c>
      <c r="B99" s="339" t="s">
        <v>515</v>
      </c>
      <c r="C99" s="340" t="s">
        <v>348</v>
      </c>
      <c r="D99" s="341" t="s">
        <v>516</v>
      </c>
      <c r="E99" s="340" t="s">
        <v>1395</v>
      </c>
      <c r="F99" s="341" t="s">
        <v>1396</v>
      </c>
      <c r="G99" s="340" t="s">
        <v>707</v>
      </c>
      <c r="H99" s="340" t="s">
        <v>708</v>
      </c>
      <c r="I99" s="342">
        <v>2.4753846153846149</v>
      </c>
      <c r="J99" s="342">
        <v>19500</v>
      </c>
      <c r="K99" s="343">
        <v>48668.399999999994</v>
      </c>
    </row>
    <row r="100" spans="1:11" ht="14.4" customHeight="1" x14ac:dyDescent="0.3">
      <c r="A100" s="338" t="s">
        <v>343</v>
      </c>
      <c r="B100" s="339" t="s">
        <v>515</v>
      </c>
      <c r="C100" s="340" t="s">
        <v>348</v>
      </c>
      <c r="D100" s="341" t="s">
        <v>516</v>
      </c>
      <c r="E100" s="340" t="s">
        <v>1395</v>
      </c>
      <c r="F100" s="341" t="s">
        <v>1396</v>
      </c>
      <c r="G100" s="340" t="s">
        <v>709</v>
      </c>
      <c r="H100" s="340" t="s">
        <v>710</v>
      </c>
      <c r="I100" s="342">
        <v>0.50250000000000006</v>
      </c>
      <c r="J100" s="342">
        <v>54000</v>
      </c>
      <c r="K100" s="343">
        <v>27268.799999999999</v>
      </c>
    </row>
    <row r="101" spans="1:11" ht="14.4" customHeight="1" x14ac:dyDescent="0.3">
      <c r="A101" s="338" t="s">
        <v>343</v>
      </c>
      <c r="B101" s="339" t="s">
        <v>515</v>
      </c>
      <c r="C101" s="340" t="s">
        <v>348</v>
      </c>
      <c r="D101" s="341" t="s">
        <v>516</v>
      </c>
      <c r="E101" s="340" t="s">
        <v>1395</v>
      </c>
      <c r="F101" s="341" t="s">
        <v>1396</v>
      </c>
      <c r="G101" s="340" t="s">
        <v>711</v>
      </c>
      <c r="H101" s="340" t="s">
        <v>712</v>
      </c>
      <c r="I101" s="342">
        <v>53.78</v>
      </c>
      <c r="J101" s="342">
        <v>24</v>
      </c>
      <c r="K101" s="343">
        <v>1290.6300000000001</v>
      </c>
    </row>
    <row r="102" spans="1:11" ht="14.4" customHeight="1" x14ac:dyDescent="0.3">
      <c r="A102" s="338" t="s">
        <v>343</v>
      </c>
      <c r="B102" s="339" t="s">
        <v>515</v>
      </c>
      <c r="C102" s="340" t="s">
        <v>348</v>
      </c>
      <c r="D102" s="341" t="s">
        <v>516</v>
      </c>
      <c r="E102" s="340" t="s">
        <v>1395</v>
      </c>
      <c r="F102" s="341" t="s">
        <v>1396</v>
      </c>
      <c r="G102" s="340" t="s">
        <v>713</v>
      </c>
      <c r="H102" s="340" t="s">
        <v>714</v>
      </c>
      <c r="I102" s="342">
        <v>3031.17</v>
      </c>
      <c r="J102" s="342">
        <v>35</v>
      </c>
      <c r="K102" s="343">
        <v>106090.95000000001</v>
      </c>
    </row>
    <row r="103" spans="1:11" ht="14.4" customHeight="1" x14ac:dyDescent="0.3">
      <c r="A103" s="338" t="s">
        <v>343</v>
      </c>
      <c r="B103" s="339" t="s">
        <v>515</v>
      </c>
      <c r="C103" s="340" t="s">
        <v>348</v>
      </c>
      <c r="D103" s="341" t="s">
        <v>516</v>
      </c>
      <c r="E103" s="340" t="s">
        <v>1395</v>
      </c>
      <c r="F103" s="341" t="s">
        <v>1396</v>
      </c>
      <c r="G103" s="340" t="s">
        <v>715</v>
      </c>
      <c r="H103" s="340" t="s">
        <v>716</v>
      </c>
      <c r="I103" s="342">
        <v>79.930000000000007</v>
      </c>
      <c r="J103" s="342">
        <v>10</v>
      </c>
      <c r="K103" s="343">
        <v>799.3</v>
      </c>
    </row>
    <row r="104" spans="1:11" ht="14.4" customHeight="1" x14ac:dyDescent="0.3">
      <c r="A104" s="338" t="s">
        <v>343</v>
      </c>
      <c r="B104" s="339" t="s">
        <v>515</v>
      </c>
      <c r="C104" s="340" t="s">
        <v>348</v>
      </c>
      <c r="D104" s="341" t="s">
        <v>516</v>
      </c>
      <c r="E104" s="340" t="s">
        <v>1395</v>
      </c>
      <c r="F104" s="341" t="s">
        <v>1396</v>
      </c>
      <c r="G104" s="340" t="s">
        <v>717</v>
      </c>
      <c r="H104" s="340" t="s">
        <v>718</v>
      </c>
      <c r="I104" s="342">
        <v>13.23</v>
      </c>
      <c r="J104" s="342">
        <v>100</v>
      </c>
      <c r="K104" s="343">
        <v>1323</v>
      </c>
    </row>
    <row r="105" spans="1:11" ht="14.4" customHeight="1" x14ac:dyDescent="0.3">
      <c r="A105" s="338" t="s">
        <v>343</v>
      </c>
      <c r="B105" s="339" t="s">
        <v>515</v>
      </c>
      <c r="C105" s="340" t="s">
        <v>348</v>
      </c>
      <c r="D105" s="341" t="s">
        <v>516</v>
      </c>
      <c r="E105" s="340" t="s">
        <v>1395</v>
      </c>
      <c r="F105" s="341" t="s">
        <v>1396</v>
      </c>
      <c r="G105" s="340" t="s">
        <v>719</v>
      </c>
      <c r="H105" s="340" t="s">
        <v>720</v>
      </c>
      <c r="I105" s="342">
        <v>109.25</v>
      </c>
      <c r="J105" s="342">
        <v>1</v>
      </c>
      <c r="K105" s="343">
        <v>109.25</v>
      </c>
    </row>
    <row r="106" spans="1:11" ht="14.4" customHeight="1" x14ac:dyDescent="0.3">
      <c r="A106" s="338" t="s">
        <v>343</v>
      </c>
      <c r="B106" s="339" t="s">
        <v>515</v>
      </c>
      <c r="C106" s="340" t="s">
        <v>348</v>
      </c>
      <c r="D106" s="341" t="s">
        <v>516</v>
      </c>
      <c r="E106" s="340" t="s">
        <v>1397</v>
      </c>
      <c r="F106" s="341" t="s">
        <v>1398</v>
      </c>
      <c r="G106" s="340" t="s">
        <v>721</v>
      </c>
      <c r="H106" s="340" t="s">
        <v>722</v>
      </c>
      <c r="I106" s="342">
        <v>1719.25</v>
      </c>
      <c r="J106" s="342">
        <v>2</v>
      </c>
      <c r="K106" s="343">
        <v>3438.5</v>
      </c>
    </row>
    <row r="107" spans="1:11" ht="14.4" customHeight="1" x14ac:dyDescent="0.3">
      <c r="A107" s="338" t="s">
        <v>343</v>
      </c>
      <c r="B107" s="339" t="s">
        <v>515</v>
      </c>
      <c r="C107" s="340" t="s">
        <v>348</v>
      </c>
      <c r="D107" s="341" t="s">
        <v>516</v>
      </c>
      <c r="E107" s="340" t="s">
        <v>1397</v>
      </c>
      <c r="F107" s="341" t="s">
        <v>1398</v>
      </c>
      <c r="G107" s="340" t="s">
        <v>723</v>
      </c>
      <c r="H107" s="340" t="s">
        <v>724</v>
      </c>
      <c r="I107" s="342">
        <v>11.673636363636364</v>
      </c>
      <c r="J107" s="342">
        <v>460</v>
      </c>
      <c r="K107" s="343">
        <v>5370.06</v>
      </c>
    </row>
    <row r="108" spans="1:11" ht="14.4" customHeight="1" x14ac:dyDescent="0.3">
      <c r="A108" s="338" t="s">
        <v>343</v>
      </c>
      <c r="B108" s="339" t="s">
        <v>515</v>
      </c>
      <c r="C108" s="340" t="s">
        <v>348</v>
      </c>
      <c r="D108" s="341" t="s">
        <v>516</v>
      </c>
      <c r="E108" s="340" t="s">
        <v>1397</v>
      </c>
      <c r="F108" s="341" t="s">
        <v>1398</v>
      </c>
      <c r="G108" s="340" t="s">
        <v>725</v>
      </c>
      <c r="H108" s="340" t="s">
        <v>726</v>
      </c>
      <c r="I108" s="342">
        <v>16.446250000000003</v>
      </c>
      <c r="J108" s="342">
        <v>300</v>
      </c>
      <c r="K108" s="343">
        <v>4933.75</v>
      </c>
    </row>
    <row r="109" spans="1:11" ht="14.4" customHeight="1" x14ac:dyDescent="0.3">
      <c r="A109" s="338" t="s">
        <v>343</v>
      </c>
      <c r="B109" s="339" t="s">
        <v>515</v>
      </c>
      <c r="C109" s="340" t="s">
        <v>348</v>
      </c>
      <c r="D109" s="341" t="s">
        <v>516</v>
      </c>
      <c r="E109" s="340" t="s">
        <v>1397</v>
      </c>
      <c r="F109" s="341" t="s">
        <v>1398</v>
      </c>
      <c r="G109" s="340" t="s">
        <v>727</v>
      </c>
      <c r="H109" s="340" t="s">
        <v>728</v>
      </c>
      <c r="I109" s="342">
        <v>2.9038461538461533</v>
      </c>
      <c r="J109" s="342">
        <v>3300</v>
      </c>
      <c r="K109" s="343">
        <v>9584</v>
      </c>
    </row>
    <row r="110" spans="1:11" ht="14.4" customHeight="1" x14ac:dyDescent="0.3">
      <c r="A110" s="338" t="s">
        <v>343</v>
      </c>
      <c r="B110" s="339" t="s">
        <v>515</v>
      </c>
      <c r="C110" s="340" t="s">
        <v>348</v>
      </c>
      <c r="D110" s="341" t="s">
        <v>516</v>
      </c>
      <c r="E110" s="340" t="s">
        <v>1397</v>
      </c>
      <c r="F110" s="341" t="s">
        <v>1398</v>
      </c>
      <c r="G110" s="340" t="s">
        <v>729</v>
      </c>
      <c r="H110" s="340" t="s">
        <v>730</v>
      </c>
      <c r="I110" s="342">
        <v>2.75</v>
      </c>
      <c r="J110" s="342">
        <v>200</v>
      </c>
      <c r="K110" s="343">
        <v>550</v>
      </c>
    </row>
    <row r="111" spans="1:11" ht="14.4" customHeight="1" x14ac:dyDescent="0.3">
      <c r="A111" s="338" t="s">
        <v>343</v>
      </c>
      <c r="B111" s="339" t="s">
        <v>515</v>
      </c>
      <c r="C111" s="340" t="s">
        <v>348</v>
      </c>
      <c r="D111" s="341" t="s">
        <v>516</v>
      </c>
      <c r="E111" s="340" t="s">
        <v>1397</v>
      </c>
      <c r="F111" s="341" t="s">
        <v>1398</v>
      </c>
      <c r="G111" s="340" t="s">
        <v>731</v>
      </c>
      <c r="H111" s="340" t="s">
        <v>732</v>
      </c>
      <c r="I111" s="342">
        <v>7.43</v>
      </c>
      <c r="J111" s="342">
        <v>150</v>
      </c>
      <c r="K111" s="343">
        <v>1114.5</v>
      </c>
    </row>
    <row r="112" spans="1:11" ht="14.4" customHeight="1" x14ac:dyDescent="0.3">
      <c r="A112" s="338" t="s">
        <v>343</v>
      </c>
      <c r="B112" s="339" t="s">
        <v>515</v>
      </c>
      <c r="C112" s="340" t="s">
        <v>348</v>
      </c>
      <c r="D112" s="341" t="s">
        <v>516</v>
      </c>
      <c r="E112" s="340" t="s">
        <v>1397</v>
      </c>
      <c r="F112" s="341" t="s">
        <v>1398</v>
      </c>
      <c r="G112" s="340" t="s">
        <v>733</v>
      </c>
      <c r="H112" s="340" t="s">
        <v>734</v>
      </c>
      <c r="I112" s="342">
        <v>9.0150000000000006</v>
      </c>
      <c r="J112" s="342">
        <v>600</v>
      </c>
      <c r="K112" s="343">
        <v>5517.6</v>
      </c>
    </row>
    <row r="113" spans="1:11" ht="14.4" customHeight="1" x14ac:dyDescent="0.3">
      <c r="A113" s="338" t="s">
        <v>343</v>
      </c>
      <c r="B113" s="339" t="s">
        <v>515</v>
      </c>
      <c r="C113" s="340" t="s">
        <v>348</v>
      </c>
      <c r="D113" s="341" t="s">
        <v>516</v>
      </c>
      <c r="E113" s="340" t="s">
        <v>1397</v>
      </c>
      <c r="F113" s="341" t="s">
        <v>1398</v>
      </c>
      <c r="G113" s="340" t="s">
        <v>735</v>
      </c>
      <c r="H113" s="340" t="s">
        <v>736</v>
      </c>
      <c r="I113" s="342">
        <v>9.9942857142857147</v>
      </c>
      <c r="J113" s="342">
        <v>1260</v>
      </c>
      <c r="K113" s="343">
        <v>12668.5</v>
      </c>
    </row>
    <row r="114" spans="1:11" ht="14.4" customHeight="1" x14ac:dyDescent="0.3">
      <c r="A114" s="338" t="s">
        <v>343</v>
      </c>
      <c r="B114" s="339" t="s">
        <v>515</v>
      </c>
      <c r="C114" s="340" t="s">
        <v>348</v>
      </c>
      <c r="D114" s="341" t="s">
        <v>516</v>
      </c>
      <c r="E114" s="340" t="s">
        <v>1397</v>
      </c>
      <c r="F114" s="341" t="s">
        <v>1398</v>
      </c>
      <c r="G114" s="340" t="s">
        <v>737</v>
      </c>
      <c r="H114" s="340" t="s">
        <v>738</v>
      </c>
      <c r="I114" s="342">
        <v>9.3766666666666669</v>
      </c>
      <c r="J114" s="342">
        <v>740</v>
      </c>
      <c r="K114" s="343">
        <v>7167.1399999999994</v>
      </c>
    </row>
    <row r="115" spans="1:11" ht="14.4" customHeight="1" x14ac:dyDescent="0.3">
      <c r="A115" s="338" t="s">
        <v>343</v>
      </c>
      <c r="B115" s="339" t="s">
        <v>515</v>
      </c>
      <c r="C115" s="340" t="s">
        <v>348</v>
      </c>
      <c r="D115" s="341" t="s">
        <v>516</v>
      </c>
      <c r="E115" s="340" t="s">
        <v>1397</v>
      </c>
      <c r="F115" s="341" t="s">
        <v>1398</v>
      </c>
      <c r="G115" s="340" t="s">
        <v>739</v>
      </c>
      <c r="H115" s="340" t="s">
        <v>740</v>
      </c>
      <c r="I115" s="342">
        <v>1.0911111111111111</v>
      </c>
      <c r="J115" s="342">
        <v>2700</v>
      </c>
      <c r="K115" s="343">
        <v>2946</v>
      </c>
    </row>
    <row r="116" spans="1:11" ht="14.4" customHeight="1" x14ac:dyDescent="0.3">
      <c r="A116" s="338" t="s">
        <v>343</v>
      </c>
      <c r="B116" s="339" t="s">
        <v>515</v>
      </c>
      <c r="C116" s="340" t="s">
        <v>348</v>
      </c>
      <c r="D116" s="341" t="s">
        <v>516</v>
      </c>
      <c r="E116" s="340" t="s">
        <v>1397</v>
      </c>
      <c r="F116" s="341" t="s">
        <v>1398</v>
      </c>
      <c r="G116" s="340" t="s">
        <v>741</v>
      </c>
      <c r="H116" s="340" t="s">
        <v>742</v>
      </c>
      <c r="I116" s="342">
        <v>1.6718181818181819</v>
      </c>
      <c r="J116" s="342">
        <v>4800</v>
      </c>
      <c r="K116" s="343">
        <v>8026</v>
      </c>
    </row>
    <row r="117" spans="1:11" ht="14.4" customHeight="1" x14ac:dyDescent="0.3">
      <c r="A117" s="338" t="s">
        <v>343</v>
      </c>
      <c r="B117" s="339" t="s">
        <v>515</v>
      </c>
      <c r="C117" s="340" t="s">
        <v>348</v>
      </c>
      <c r="D117" s="341" t="s">
        <v>516</v>
      </c>
      <c r="E117" s="340" t="s">
        <v>1397</v>
      </c>
      <c r="F117" s="341" t="s">
        <v>1398</v>
      </c>
      <c r="G117" s="340" t="s">
        <v>743</v>
      </c>
      <c r="H117" s="340" t="s">
        <v>744</v>
      </c>
      <c r="I117" s="342">
        <v>0.47749999999999998</v>
      </c>
      <c r="J117" s="342">
        <v>700</v>
      </c>
      <c r="K117" s="343">
        <v>335</v>
      </c>
    </row>
    <row r="118" spans="1:11" ht="14.4" customHeight="1" x14ac:dyDescent="0.3">
      <c r="A118" s="338" t="s">
        <v>343</v>
      </c>
      <c r="B118" s="339" t="s">
        <v>515</v>
      </c>
      <c r="C118" s="340" t="s">
        <v>348</v>
      </c>
      <c r="D118" s="341" t="s">
        <v>516</v>
      </c>
      <c r="E118" s="340" t="s">
        <v>1397</v>
      </c>
      <c r="F118" s="341" t="s">
        <v>1398</v>
      </c>
      <c r="G118" s="340" t="s">
        <v>745</v>
      </c>
      <c r="H118" s="340" t="s">
        <v>746</v>
      </c>
      <c r="I118" s="342">
        <v>0.67</v>
      </c>
      <c r="J118" s="342">
        <v>1000</v>
      </c>
      <c r="K118" s="343">
        <v>670</v>
      </c>
    </row>
    <row r="119" spans="1:11" ht="14.4" customHeight="1" x14ac:dyDescent="0.3">
      <c r="A119" s="338" t="s">
        <v>343</v>
      </c>
      <c r="B119" s="339" t="s">
        <v>515</v>
      </c>
      <c r="C119" s="340" t="s">
        <v>348</v>
      </c>
      <c r="D119" s="341" t="s">
        <v>516</v>
      </c>
      <c r="E119" s="340" t="s">
        <v>1397</v>
      </c>
      <c r="F119" s="341" t="s">
        <v>1398</v>
      </c>
      <c r="G119" s="340" t="s">
        <v>747</v>
      </c>
      <c r="H119" s="340" t="s">
        <v>748</v>
      </c>
      <c r="I119" s="342">
        <v>3.13</v>
      </c>
      <c r="J119" s="342">
        <v>200</v>
      </c>
      <c r="K119" s="343">
        <v>626</v>
      </c>
    </row>
    <row r="120" spans="1:11" ht="14.4" customHeight="1" x14ac:dyDescent="0.3">
      <c r="A120" s="338" t="s">
        <v>343</v>
      </c>
      <c r="B120" s="339" t="s">
        <v>515</v>
      </c>
      <c r="C120" s="340" t="s">
        <v>348</v>
      </c>
      <c r="D120" s="341" t="s">
        <v>516</v>
      </c>
      <c r="E120" s="340" t="s">
        <v>1397</v>
      </c>
      <c r="F120" s="341" t="s">
        <v>1398</v>
      </c>
      <c r="G120" s="340" t="s">
        <v>749</v>
      </c>
      <c r="H120" s="340" t="s">
        <v>750</v>
      </c>
      <c r="I120" s="342">
        <v>68.510000000000005</v>
      </c>
      <c r="J120" s="342">
        <v>100</v>
      </c>
      <c r="K120" s="343">
        <v>6851.02</v>
      </c>
    </row>
    <row r="121" spans="1:11" ht="14.4" customHeight="1" x14ac:dyDescent="0.3">
      <c r="A121" s="338" t="s">
        <v>343</v>
      </c>
      <c r="B121" s="339" t="s">
        <v>515</v>
      </c>
      <c r="C121" s="340" t="s">
        <v>348</v>
      </c>
      <c r="D121" s="341" t="s">
        <v>516</v>
      </c>
      <c r="E121" s="340" t="s">
        <v>1397</v>
      </c>
      <c r="F121" s="341" t="s">
        <v>1398</v>
      </c>
      <c r="G121" s="340" t="s">
        <v>751</v>
      </c>
      <c r="H121" s="340" t="s">
        <v>752</v>
      </c>
      <c r="I121" s="342">
        <v>62.56</v>
      </c>
      <c r="J121" s="342">
        <v>300</v>
      </c>
      <c r="K121" s="343">
        <v>18766.95</v>
      </c>
    </row>
    <row r="122" spans="1:11" ht="14.4" customHeight="1" x14ac:dyDescent="0.3">
      <c r="A122" s="338" t="s">
        <v>343</v>
      </c>
      <c r="B122" s="339" t="s">
        <v>515</v>
      </c>
      <c r="C122" s="340" t="s">
        <v>348</v>
      </c>
      <c r="D122" s="341" t="s">
        <v>516</v>
      </c>
      <c r="E122" s="340" t="s">
        <v>1397</v>
      </c>
      <c r="F122" s="341" t="s">
        <v>1398</v>
      </c>
      <c r="G122" s="340" t="s">
        <v>753</v>
      </c>
      <c r="H122" s="340" t="s">
        <v>754</v>
      </c>
      <c r="I122" s="342">
        <v>6.2308333333333339</v>
      </c>
      <c r="J122" s="342">
        <v>880</v>
      </c>
      <c r="K122" s="343">
        <v>5483.9000000000005</v>
      </c>
    </row>
    <row r="123" spans="1:11" ht="14.4" customHeight="1" x14ac:dyDescent="0.3">
      <c r="A123" s="338" t="s">
        <v>343</v>
      </c>
      <c r="B123" s="339" t="s">
        <v>515</v>
      </c>
      <c r="C123" s="340" t="s">
        <v>348</v>
      </c>
      <c r="D123" s="341" t="s">
        <v>516</v>
      </c>
      <c r="E123" s="340" t="s">
        <v>1397</v>
      </c>
      <c r="F123" s="341" t="s">
        <v>1398</v>
      </c>
      <c r="G123" s="340" t="s">
        <v>755</v>
      </c>
      <c r="H123" s="340" t="s">
        <v>756</v>
      </c>
      <c r="I123" s="342">
        <v>80.575000000000003</v>
      </c>
      <c r="J123" s="342">
        <v>2160</v>
      </c>
      <c r="K123" s="343">
        <v>174041.74000000002</v>
      </c>
    </row>
    <row r="124" spans="1:11" ht="14.4" customHeight="1" x14ac:dyDescent="0.3">
      <c r="A124" s="338" t="s">
        <v>343</v>
      </c>
      <c r="B124" s="339" t="s">
        <v>515</v>
      </c>
      <c r="C124" s="340" t="s">
        <v>348</v>
      </c>
      <c r="D124" s="341" t="s">
        <v>516</v>
      </c>
      <c r="E124" s="340" t="s">
        <v>1397</v>
      </c>
      <c r="F124" s="341" t="s">
        <v>1398</v>
      </c>
      <c r="G124" s="340" t="s">
        <v>757</v>
      </c>
      <c r="H124" s="340" t="s">
        <v>758</v>
      </c>
      <c r="I124" s="342">
        <v>5.9700000000000015</v>
      </c>
      <c r="J124" s="342">
        <v>2850</v>
      </c>
      <c r="K124" s="343">
        <v>17044.5</v>
      </c>
    </row>
    <row r="125" spans="1:11" ht="14.4" customHeight="1" x14ac:dyDescent="0.3">
      <c r="A125" s="338" t="s">
        <v>343</v>
      </c>
      <c r="B125" s="339" t="s">
        <v>515</v>
      </c>
      <c r="C125" s="340" t="s">
        <v>348</v>
      </c>
      <c r="D125" s="341" t="s">
        <v>516</v>
      </c>
      <c r="E125" s="340" t="s">
        <v>1397</v>
      </c>
      <c r="F125" s="341" t="s">
        <v>1398</v>
      </c>
      <c r="G125" s="340" t="s">
        <v>759</v>
      </c>
      <c r="H125" s="340" t="s">
        <v>760</v>
      </c>
      <c r="I125" s="342">
        <v>9.1349999999999998</v>
      </c>
      <c r="J125" s="342">
        <v>200</v>
      </c>
      <c r="K125" s="343">
        <v>1826.51</v>
      </c>
    </row>
    <row r="126" spans="1:11" ht="14.4" customHeight="1" x14ac:dyDescent="0.3">
      <c r="A126" s="338" t="s">
        <v>343</v>
      </c>
      <c r="B126" s="339" t="s">
        <v>515</v>
      </c>
      <c r="C126" s="340" t="s">
        <v>348</v>
      </c>
      <c r="D126" s="341" t="s">
        <v>516</v>
      </c>
      <c r="E126" s="340" t="s">
        <v>1397</v>
      </c>
      <c r="F126" s="341" t="s">
        <v>1398</v>
      </c>
      <c r="G126" s="340" t="s">
        <v>761</v>
      </c>
      <c r="H126" s="340" t="s">
        <v>762</v>
      </c>
      <c r="I126" s="342">
        <v>217.79714285714286</v>
      </c>
      <c r="J126" s="342">
        <v>31</v>
      </c>
      <c r="K126" s="343">
        <v>6751.7</v>
      </c>
    </row>
    <row r="127" spans="1:11" ht="14.4" customHeight="1" x14ac:dyDescent="0.3">
      <c r="A127" s="338" t="s">
        <v>343</v>
      </c>
      <c r="B127" s="339" t="s">
        <v>515</v>
      </c>
      <c r="C127" s="340" t="s">
        <v>348</v>
      </c>
      <c r="D127" s="341" t="s">
        <v>516</v>
      </c>
      <c r="E127" s="340" t="s">
        <v>1397</v>
      </c>
      <c r="F127" s="341" t="s">
        <v>1398</v>
      </c>
      <c r="G127" s="340" t="s">
        <v>763</v>
      </c>
      <c r="H127" s="340" t="s">
        <v>764</v>
      </c>
      <c r="I127" s="342">
        <v>64.13</v>
      </c>
      <c r="J127" s="342">
        <v>24</v>
      </c>
      <c r="K127" s="343">
        <v>1539.12</v>
      </c>
    </row>
    <row r="128" spans="1:11" ht="14.4" customHeight="1" x14ac:dyDescent="0.3">
      <c r="A128" s="338" t="s">
        <v>343</v>
      </c>
      <c r="B128" s="339" t="s">
        <v>515</v>
      </c>
      <c r="C128" s="340" t="s">
        <v>348</v>
      </c>
      <c r="D128" s="341" t="s">
        <v>516</v>
      </c>
      <c r="E128" s="340" t="s">
        <v>1397</v>
      </c>
      <c r="F128" s="341" t="s">
        <v>1398</v>
      </c>
      <c r="G128" s="340" t="s">
        <v>765</v>
      </c>
      <c r="H128" s="340" t="s">
        <v>766</v>
      </c>
      <c r="I128" s="342">
        <v>9.6800000000000033</v>
      </c>
      <c r="J128" s="342">
        <v>1700</v>
      </c>
      <c r="K128" s="343">
        <v>16456</v>
      </c>
    </row>
    <row r="129" spans="1:11" ht="14.4" customHeight="1" x14ac:dyDescent="0.3">
      <c r="A129" s="338" t="s">
        <v>343</v>
      </c>
      <c r="B129" s="339" t="s">
        <v>515</v>
      </c>
      <c r="C129" s="340" t="s">
        <v>348</v>
      </c>
      <c r="D129" s="341" t="s">
        <v>516</v>
      </c>
      <c r="E129" s="340" t="s">
        <v>1397</v>
      </c>
      <c r="F129" s="341" t="s">
        <v>1398</v>
      </c>
      <c r="G129" s="340" t="s">
        <v>767</v>
      </c>
      <c r="H129" s="340" t="s">
        <v>768</v>
      </c>
      <c r="I129" s="342">
        <v>4.2350000000000003</v>
      </c>
      <c r="J129" s="342">
        <v>2500</v>
      </c>
      <c r="K129" s="343">
        <v>10588</v>
      </c>
    </row>
    <row r="130" spans="1:11" ht="14.4" customHeight="1" x14ac:dyDescent="0.3">
      <c r="A130" s="338" t="s">
        <v>343</v>
      </c>
      <c r="B130" s="339" t="s">
        <v>515</v>
      </c>
      <c r="C130" s="340" t="s">
        <v>348</v>
      </c>
      <c r="D130" s="341" t="s">
        <v>516</v>
      </c>
      <c r="E130" s="340" t="s">
        <v>1397</v>
      </c>
      <c r="F130" s="341" t="s">
        <v>1398</v>
      </c>
      <c r="G130" s="340" t="s">
        <v>767</v>
      </c>
      <c r="H130" s="340" t="s">
        <v>769</v>
      </c>
      <c r="I130" s="342">
        <v>4.1360000000000001</v>
      </c>
      <c r="J130" s="342">
        <v>2500</v>
      </c>
      <c r="K130" s="343">
        <v>10340</v>
      </c>
    </row>
    <row r="131" spans="1:11" ht="14.4" customHeight="1" x14ac:dyDescent="0.3">
      <c r="A131" s="338" t="s">
        <v>343</v>
      </c>
      <c r="B131" s="339" t="s">
        <v>515</v>
      </c>
      <c r="C131" s="340" t="s">
        <v>348</v>
      </c>
      <c r="D131" s="341" t="s">
        <v>516</v>
      </c>
      <c r="E131" s="340" t="s">
        <v>1397</v>
      </c>
      <c r="F131" s="341" t="s">
        <v>1398</v>
      </c>
      <c r="G131" s="340" t="s">
        <v>770</v>
      </c>
      <c r="H131" s="340" t="s">
        <v>771</v>
      </c>
      <c r="I131" s="342">
        <v>7.14</v>
      </c>
      <c r="J131" s="342">
        <v>100</v>
      </c>
      <c r="K131" s="343">
        <v>713.92</v>
      </c>
    </row>
    <row r="132" spans="1:11" ht="14.4" customHeight="1" x14ac:dyDescent="0.3">
      <c r="A132" s="338" t="s">
        <v>343</v>
      </c>
      <c r="B132" s="339" t="s">
        <v>515</v>
      </c>
      <c r="C132" s="340" t="s">
        <v>348</v>
      </c>
      <c r="D132" s="341" t="s">
        <v>516</v>
      </c>
      <c r="E132" s="340" t="s">
        <v>1397</v>
      </c>
      <c r="F132" s="341" t="s">
        <v>1398</v>
      </c>
      <c r="G132" s="340" t="s">
        <v>772</v>
      </c>
      <c r="H132" s="340" t="s">
        <v>773</v>
      </c>
      <c r="I132" s="342">
        <v>1063.58</v>
      </c>
      <c r="J132" s="342">
        <v>1</v>
      </c>
      <c r="K132" s="343">
        <v>1063.58</v>
      </c>
    </row>
    <row r="133" spans="1:11" ht="14.4" customHeight="1" x14ac:dyDescent="0.3">
      <c r="A133" s="338" t="s">
        <v>343</v>
      </c>
      <c r="B133" s="339" t="s">
        <v>515</v>
      </c>
      <c r="C133" s="340" t="s">
        <v>348</v>
      </c>
      <c r="D133" s="341" t="s">
        <v>516</v>
      </c>
      <c r="E133" s="340" t="s">
        <v>1397</v>
      </c>
      <c r="F133" s="341" t="s">
        <v>1398</v>
      </c>
      <c r="G133" s="340" t="s">
        <v>774</v>
      </c>
      <c r="H133" s="340" t="s">
        <v>775</v>
      </c>
      <c r="I133" s="342">
        <v>2.17</v>
      </c>
      <c r="J133" s="342">
        <v>100</v>
      </c>
      <c r="K133" s="343">
        <v>217</v>
      </c>
    </row>
    <row r="134" spans="1:11" ht="14.4" customHeight="1" x14ac:dyDescent="0.3">
      <c r="A134" s="338" t="s">
        <v>343</v>
      </c>
      <c r="B134" s="339" t="s">
        <v>515</v>
      </c>
      <c r="C134" s="340" t="s">
        <v>348</v>
      </c>
      <c r="D134" s="341" t="s">
        <v>516</v>
      </c>
      <c r="E134" s="340" t="s">
        <v>1397</v>
      </c>
      <c r="F134" s="341" t="s">
        <v>1398</v>
      </c>
      <c r="G134" s="340" t="s">
        <v>776</v>
      </c>
      <c r="H134" s="340" t="s">
        <v>777</v>
      </c>
      <c r="I134" s="342">
        <v>2.9049999999999998</v>
      </c>
      <c r="J134" s="342">
        <v>2400</v>
      </c>
      <c r="K134" s="343">
        <v>6971.8</v>
      </c>
    </row>
    <row r="135" spans="1:11" ht="14.4" customHeight="1" x14ac:dyDescent="0.3">
      <c r="A135" s="338" t="s">
        <v>343</v>
      </c>
      <c r="B135" s="339" t="s">
        <v>515</v>
      </c>
      <c r="C135" s="340" t="s">
        <v>348</v>
      </c>
      <c r="D135" s="341" t="s">
        <v>516</v>
      </c>
      <c r="E135" s="340" t="s">
        <v>1397</v>
      </c>
      <c r="F135" s="341" t="s">
        <v>1398</v>
      </c>
      <c r="G135" s="340" t="s">
        <v>778</v>
      </c>
      <c r="H135" s="340" t="s">
        <v>779</v>
      </c>
      <c r="I135" s="342">
        <v>2.9014285714285712</v>
      </c>
      <c r="J135" s="342">
        <v>1500</v>
      </c>
      <c r="K135" s="343">
        <v>4352</v>
      </c>
    </row>
    <row r="136" spans="1:11" ht="14.4" customHeight="1" x14ac:dyDescent="0.3">
      <c r="A136" s="338" t="s">
        <v>343</v>
      </c>
      <c r="B136" s="339" t="s">
        <v>515</v>
      </c>
      <c r="C136" s="340" t="s">
        <v>348</v>
      </c>
      <c r="D136" s="341" t="s">
        <v>516</v>
      </c>
      <c r="E136" s="340" t="s">
        <v>1397</v>
      </c>
      <c r="F136" s="341" t="s">
        <v>1398</v>
      </c>
      <c r="G136" s="340" t="s">
        <v>780</v>
      </c>
      <c r="H136" s="340" t="s">
        <v>781</v>
      </c>
      <c r="I136" s="342">
        <v>2.903571428571428</v>
      </c>
      <c r="J136" s="342">
        <v>3000</v>
      </c>
      <c r="K136" s="343">
        <v>8710</v>
      </c>
    </row>
    <row r="137" spans="1:11" ht="14.4" customHeight="1" x14ac:dyDescent="0.3">
      <c r="A137" s="338" t="s">
        <v>343</v>
      </c>
      <c r="B137" s="339" t="s">
        <v>515</v>
      </c>
      <c r="C137" s="340" t="s">
        <v>348</v>
      </c>
      <c r="D137" s="341" t="s">
        <v>516</v>
      </c>
      <c r="E137" s="340" t="s">
        <v>1397</v>
      </c>
      <c r="F137" s="341" t="s">
        <v>1398</v>
      </c>
      <c r="G137" s="340" t="s">
        <v>782</v>
      </c>
      <c r="H137" s="340" t="s">
        <v>783</v>
      </c>
      <c r="I137" s="342">
        <v>2.9027272727272724</v>
      </c>
      <c r="J137" s="342">
        <v>3600</v>
      </c>
      <c r="K137" s="343">
        <v>10452</v>
      </c>
    </row>
    <row r="138" spans="1:11" ht="14.4" customHeight="1" x14ac:dyDescent="0.3">
      <c r="A138" s="338" t="s">
        <v>343</v>
      </c>
      <c r="B138" s="339" t="s">
        <v>515</v>
      </c>
      <c r="C138" s="340" t="s">
        <v>348</v>
      </c>
      <c r="D138" s="341" t="s">
        <v>516</v>
      </c>
      <c r="E138" s="340" t="s">
        <v>1397</v>
      </c>
      <c r="F138" s="341" t="s">
        <v>1398</v>
      </c>
      <c r="G138" s="340" t="s">
        <v>784</v>
      </c>
      <c r="H138" s="340" t="s">
        <v>785</v>
      </c>
      <c r="I138" s="342">
        <v>2.9</v>
      </c>
      <c r="J138" s="342">
        <v>200</v>
      </c>
      <c r="K138" s="343">
        <v>580</v>
      </c>
    </row>
    <row r="139" spans="1:11" ht="14.4" customHeight="1" x14ac:dyDescent="0.3">
      <c r="A139" s="338" t="s">
        <v>343</v>
      </c>
      <c r="B139" s="339" t="s">
        <v>515</v>
      </c>
      <c r="C139" s="340" t="s">
        <v>348</v>
      </c>
      <c r="D139" s="341" t="s">
        <v>516</v>
      </c>
      <c r="E139" s="340" t="s">
        <v>1397</v>
      </c>
      <c r="F139" s="341" t="s">
        <v>1398</v>
      </c>
      <c r="G139" s="340" t="s">
        <v>786</v>
      </c>
      <c r="H139" s="340" t="s">
        <v>787</v>
      </c>
      <c r="I139" s="342">
        <v>37.15</v>
      </c>
      <c r="J139" s="342">
        <v>180</v>
      </c>
      <c r="K139" s="343">
        <v>6686.46</v>
      </c>
    </row>
    <row r="140" spans="1:11" ht="14.4" customHeight="1" x14ac:dyDescent="0.3">
      <c r="A140" s="338" t="s">
        <v>343</v>
      </c>
      <c r="B140" s="339" t="s">
        <v>515</v>
      </c>
      <c r="C140" s="340" t="s">
        <v>348</v>
      </c>
      <c r="D140" s="341" t="s">
        <v>516</v>
      </c>
      <c r="E140" s="340" t="s">
        <v>1397</v>
      </c>
      <c r="F140" s="341" t="s">
        <v>1398</v>
      </c>
      <c r="G140" s="340" t="s">
        <v>788</v>
      </c>
      <c r="H140" s="340" t="s">
        <v>789</v>
      </c>
      <c r="I140" s="342">
        <v>4.5200000000000005</v>
      </c>
      <c r="J140" s="342">
        <v>300</v>
      </c>
      <c r="K140" s="343">
        <v>1355.16</v>
      </c>
    </row>
    <row r="141" spans="1:11" ht="14.4" customHeight="1" x14ac:dyDescent="0.3">
      <c r="A141" s="338" t="s">
        <v>343</v>
      </c>
      <c r="B141" s="339" t="s">
        <v>515</v>
      </c>
      <c r="C141" s="340" t="s">
        <v>348</v>
      </c>
      <c r="D141" s="341" t="s">
        <v>516</v>
      </c>
      <c r="E141" s="340" t="s">
        <v>1397</v>
      </c>
      <c r="F141" s="341" t="s">
        <v>1398</v>
      </c>
      <c r="G141" s="340" t="s">
        <v>790</v>
      </c>
      <c r="H141" s="340" t="s">
        <v>791</v>
      </c>
      <c r="I141" s="342">
        <v>93.023636363636371</v>
      </c>
      <c r="J141" s="342">
        <v>270</v>
      </c>
      <c r="K141" s="343">
        <v>24980.280000000002</v>
      </c>
    </row>
    <row r="142" spans="1:11" ht="14.4" customHeight="1" x14ac:dyDescent="0.3">
      <c r="A142" s="338" t="s">
        <v>343</v>
      </c>
      <c r="B142" s="339" t="s">
        <v>515</v>
      </c>
      <c r="C142" s="340" t="s">
        <v>348</v>
      </c>
      <c r="D142" s="341" t="s">
        <v>516</v>
      </c>
      <c r="E142" s="340" t="s">
        <v>1397</v>
      </c>
      <c r="F142" s="341" t="s">
        <v>1398</v>
      </c>
      <c r="G142" s="340" t="s">
        <v>792</v>
      </c>
      <c r="H142" s="340" t="s">
        <v>793</v>
      </c>
      <c r="I142" s="342">
        <v>12.103749999999998</v>
      </c>
      <c r="J142" s="342">
        <v>650</v>
      </c>
      <c r="K142" s="343">
        <v>7867</v>
      </c>
    </row>
    <row r="143" spans="1:11" ht="14.4" customHeight="1" x14ac:dyDescent="0.3">
      <c r="A143" s="338" t="s">
        <v>343</v>
      </c>
      <c r="B143" s="339" t="s">
        <v>515</v>
      </c>
      <c r="C143" s="340" t="s">
        <v>348</v>
      </c>
      <c r="D143" s="341" t="s">
        <v>516</v>
      </c>
      <c r="E143" s="340" t="s">
        <v>1397</v>
      </c>
      <c r="F143" s="341" t="s">
        <v>1398</v>
      </c>
      <c r="G143" s="340" t="s">
        <v>794</v>
      </c>
      <c r="H143" s="340" t="s">
        <v>795</v>
      </c>
      <c r="I143" s="342">
        <v>13.200000000000001</v>
      </c>
      <c r="J143" s="342">
        <v>130</v>
      </c>
      <c r="K143" s="343">
        <v>1716</v>
      </c>
    </row>
    <row r="144" spans="1:11" ht="14.4" customHeight="1" x14ac:dyDescent="0.3">
      <c r="A144" s="338" t="s">
        <v>343</v>
      </c>
      <c r="B144" s="339" t="s">
        <v>515</v>
      </c>
      <c r="C144" s="340" t="s">
        <v>348</v>
      </c>
      <c r="D144" s="341" t="s">
        <v>516</v>
      </c>
      <c r="E144" s="340" t="s">
        <v>1397</v>
      </c>
      <c r="F144" s="341" t="s">
        <v>1398</v>
      </c>
      <c r="G144" s="340" t="s">
        <v>796</v>
      </c>
      <c r="H144" s="340" t="s">
        <v>797</v>
      </c>
      <c r="I144" s="342">
        <v>13.200000000000001</v>
      </c>
      <c r="J144" s="342">
        <v>144</v>
      </c>
      <c r="K144" s="343">
        <v>1900.8</v>
      </c>
    </row>
    <row r="145" spans="1:11" ht="14.4" customHeight="1" x14ac:dyDescent="0.3">
      <c r="A145" s="338" t="s">
        <v>343</v>
      </c>
      <c r="B145" s="339" t="s">
        <v>515</v>
      </c>
      <c r="C145" s="340" t="s">
        <v>348</v>
      </c>
      <c r="D145" s="341" t="s">
        <v>516</v>
      </c>
      <c r="E145" s="340" t="s">
        <v>1397</v>
      </c>
      <c r="F145" s="341" t="s">
        <v>1398</v>
      </c>
      <c r="G145" s="340" t="s">
        <v>798</v>
      </c>
      <c r="H145" s="340" t="s">
        <v>799</v>
      </c>
      <c r="I145" s="342">
        <v>13.2</v>
      </c>
      <c r="J145" s="342">
        <v>20</v>
      </c>
      <c r="K145" s="343">
        <v>264</v>
      </c>
    </row>
    <row r="146" spans="1:11" ht="14.4" customHeight="1" x14ac:dyDescent="0.3">
      <c r="A146" s="338" t="s">
        <v>343</v>
      </c>
      <c r="B146" s="339" t="s">
        <v>515</v>
      </c>
      <c r="C146" s="340" t="s">
        <v>348</v>
      </c>
      <c r="D146" s="341" t="s">
        <v>516</v>
      </c>
      <c r="E146" s="340" t="s">
        <v>1397</v>
      </c>
      <c r="F146" s="341" t="s">
        <v>1398</v>
      </c>
      <c r="G146" s="340" t="s">
        <v>800</v>
      </c>
      <c r="H146" s="340" t="s">
        <v>801</v>
      </c>
      <c r="I146" s="342">
        <v>21.234999999999999</v>
      </c>
      <c r="J146" s="342">
        <v>1290</v>
      </c>
      <c r="K146" s="343">
        <v>27394.399999999998</v>
      </c>
    </row>
    <row r="147" spans="1:11" ht="14.4" customHeight="1" x14ac:dyDescent="0.3">
      <c r="A147" s="338" t="s">
        <v>343</v>
      </c>
      <c r="B147" s="339" t="s">
        <v>515</v>
      </c>
      <c r="C147" s="340" t="s">
        <v>348</v>
      </c>
      <c r="D147" s="341" t="s">
        <v>516</v>
      </c>
      <c r="E147" s="340" t="s">
        <v>1397</v>
      </c>
      <c r="F147" s="341" t="s">
        <v>1398</v>
      </c>
      <c r="G147" s="340" t="s">
        <v>802</v>
      </c>
      <c r="H147" s="340" t="s">
        <v>803</v>
      </c>
      <c r="I147" s="342">
        <v>21.24</v>
      </c>
      <c r="J147" s="342">
        <v>150</v>
      </c>
      <c r="K147" s="343">
        <v>3186</v>
      </c>
    </row>
    <row r="148" spans="1:11" ht="14.4" customHeight="1" x14ac:dyDescent="0.3">
      <c r="A148" s="338" t="s">
        <v>343</v>
      </c>
      <c r="B148" s="339" t="s">
        <v>515</v>
      </c>
      <c r="C148" s="340" t="s">
        <v>348</v>
      </c>
      <c r="D148" s="341" t="s">
        <v>516</v>
      </c>
      <c r="E148" s="340" t="s">
        <v>1397</v>
      </c>
      <c r="F148" s="341" t="s">
        <v>1398</v>
      </c>
      <c r="G148" s="340" t="s">
        <v>804</v>
      </c>
      <c r="H148" s="340" t="s">
        <v>805</v>
      </c>
      <c r="I148" s="342">
        <v>13.203333333333333</v>
      </c>
      <c r="J148" s="342">
        <v>50</v>
      </c>
      <c r="K148" s="343">
        <v>660.2</v>
      </c>
    </row>
    <row r="149" spans="1:11" ht="14.4" customHeight="1" x14ac:dyDescent="0.3">
      <c r="A149" s="338" t="s">
        <v>343</v>
      </c>
      <c r="B149" s="339" t="s">
        <v>515</v>
      </c>
      <c r="C149" s="340" t="s">
        <v>348</v>
      </c>
      <c r="D149" s="341" t="s">
        <v>516</v>
      </c>
      <c r="E149" s="340" t="s">
        <v>1397</v>
      </c>
      <c r="F149" s="341" t="s">
        <v>1398</v>
      </c>
      <c r="G149" s="340" t="s">
        <v>806</v>
      </c>
      <c r="H149" s="340" t="s">
        <v>807</v>
      </c>
      <c r="I149" s="342">
        <v>6.6560000000000006</v>
      </c>
      <c r="J149" s="342">
        <v>200</v>
      </c>
      <c r="K149" s="343">
        <v>1331</v>
      </c>
    </row>
    <row r="150" spans="1:11" ht="14.4" customHeight="1" x14ac:dyDescent="0.3">
      <c r="A150" s="338" t="s">
        <v>343</v>
      </c>
      <c r="B150" s="339" t="s">
        <v>515</v>
      </c>
      <c r="C150" s="340" t="s">
        <v>348</v>
      </c>
      <c r="D150" s="341" t="s">
        <v>516</v>
      </c>
      <c r="E150" s="340" t="s">
        <v>1397</v>
      </c>
      <c r="F150" s="341" t="s">
        <v>1398</v>
      </c>
      <c r="G150" s="340" t="s">
        <v>808</v>
      </c>
      <c r="H150" s="340" t="s">
        <v>809</v>
      </c>
      <c r="I150" s="342">
        <v>6.653999999999999</v>
      </c>
      <c r="J150" s="342">
        <v>200</v>
      </c>
      <c r="K150" s="343">
        <v>1331</v>
      </c>
    </row>
    <row r="151" spans="1:11" ht="14.4" customHeight="1" x14ac:dyDescent="0.3">
      <c r="A151" s="338" t="s">
        <v>343</v>
      </c>
      <c r="B151" s="339" t="s">
        <v>515</v>
      </c>
      <c r="C151" s="340" t="s">
        <v>348</v>
      </c>
      <c r="D151" s="341" t="s">
        <v>516</v>
      </c>
      <c r="E151" s="340" t="s">
        <v>1397</v>
      </c>
      <c r="F151" s="341" t="s">
        <v>1398</v>
      </c>
      <c r="G151" s="340" t="s">
        <v>810</v>
      </c>
      <c r="H151" s="340" t="s">
        <v>811</v>
      </c>
      <c r="I151" s="342">
        <v>6.65</v>
      </c>
      <c r="J151" s="342">
        <v>50</v>
      </c>
      <c r="K151" s="343">
        <v>332.5</v>
      </c>
    </row>
    <row r="152" spans="1:11" ht="14.4" customHeight="1" x14ac:dyDescent="0.3">
      <c r="A152" s="338" t="s">
        <v>343</v>
      </c>
      <c r="B152" s="339" t="s">
        <v>515</v>
      </c>
      <c r="C152" s="340" t="s">
        <v>348</v>
      </c>
      <c r="D152" s="341" t="s">
        <v>516</v>
      </c>
      <c r="E152" s="340" t="s">
        <v>1397</v>
      </c>
      <c r="F152" s="341" t="s">
        <v>1398</v>
      </c>
      <c r="G152" s="340" t="s">
        <v>812</v>
      </c>
      <c r="H152" s="340" t="s">
        <v>813</v>
      </c>
      <c r="I152" s="342">
        <v>6.66</v>
      </c>
      <c r="J152" s="342">
        <v>50</v>
      </c>
      <c r="K152" s="343">
        <v>333</v>
      </c>
    </row>
    <row r="153" spans="1:11" ht="14.4" customHeight="1" x14ac:dyDescent="0.3">
      <c r="A153" s="338" t="s">
        <v>343</v>
      </c>
      <c r="B153" s="339" t="s">
        <v>515</v>
      </c>
      <c r="C153" s="340" t="s">
        <v>348</v>
      </c>
      <c r="D153" s="341" t="s">
        <v>516</v>
      </c>
      <c r="E153" s="340" t="s">
        <v>1397</v>
      </c>
      <c r="F153" s="341" t="s">
        <v>1398</v>
      </c>
      <c r="G153" s="340" t="s">
        <v>814</v>
      </c>
      <c r="H153" s="340" t="s">
        <v>815</v>
      </c>
      <c r="I153" s="342">
        <v>2.335</v>
      </c>
      <c r="J153" s="342">
        <v>825</v>
      </c>
      <c r="K153" s="343">
        <v>1926.46</v>
      </c>
    </row>
    <row r="154" spans="1:11" ht="14.4" customHeight="1" x14ac:dyDescent="0.3">
      <c r="A154" s="338" t="s">
        <v>343</v>
      </c>
      <c r="B154" s="339" t="s">
        <v>515</v>
      </c>
      <c r="C154" s="340" t="s">
        <v>348</v>
      </c>
      <c r="D154" s="341" t="s">
        <v>516</v>
      </c>
      <c r="E154" s="340" t="s">
        <v>1397</v>
      </c>
      <c r="F154" s="341" t="s">
        <v>1398</v>
      </c>
      <c r="G154" s="340" t="s">
        <v>816</v>
      </c>
      <c r="H154" s="340" t="s">
        <v>817</v>
      </c>
      <c r="I154" s="342">
        <v>20.440000000000001</v>
      </c>
      <c r="J154" s="342">
        <v>250</v>
      </c>
      <c r="K154" s="343">
        <v>5037.2299999999996</v>
      </c>
    </row>
    <row r="155" spans="1:11" ht="14.4" customHeight="1" x14ac:dyDescent="0.3">
      <c r="A155" s="338" t="s">
        <v>343</v>
      </c>
      <c r="B155" s="339" t="s">
        <v>515</v>
      </c>
      <c r="C155" s="340" t="s">
        <v>348</v>
      </c>
      <c r="D155" s="341" t="s">
        <v>516</v>
      </c>
      <c r="E155" s="340" t="s">
        <v>1397</v>
      </c>
      <c r="F155" s="341" t="s">
        <v>1398</v>
      </c>
      <c r="G155" s="340" t="s">
        <v>818</v>
      </c>
      <c r="H155" s="340" t="s">
        <v>819</v>
      </c>
      <c r="I155" s="342">
        <v>76.23</v>
      </c>
      <c r="J155" s="342">
        <v>40</v>
      </c>
      <c r="K155" s="343">
        <v>3049.2</v>
      </c>
    </row>
    <row r="156" spans="1:11" ht="14.4" customHeight="1" x14ac:dyDescent="0.3">
      <c r="A156" s="338" t="s">
        <v>343</v>
      </c>
      <c r="B156" s="339" t="s">
        <v>515</v>
      </c>
      <c r="C156" s="340" t="s">
        <v>348</v>
      </c>
      <c r="D156" s="341" t="s">
        <v>516</v>
      </c>
      <c r="E156" s="340" t="s">
        <v>1397</v>
      </c>
      <c r="F156" s="341" t="s">
        <v>1398</v>
      </c>
      <c r="G156" s="340" t="s">
        <v>820</v>
      </c>
      <c r="H156" s="340" t="s">
        <v>821</v>
      </c>
      <c r="I156" s="342">
        <v>30.857999999999997</v>
      </c>
      <c r="J156" s="342">
        <v>350</v>
      </c>
      <c r="K156" s="343">
        <v>10798.75</v>
      </c>
    </row>
    <row r="157" spans="1:11" ht="14.4" customHeight="1" x14ac:dyDescent="0.3">
      <c r="A157" s="338" t="s">
        <v>343</v>
      </c>
      <c r="B157" s="339" t="s">
        <v>515</v>
      </c>
      <c r="C157" s="340" t="s">
        <v>348</v>
      </c>
      <c r="D157" s="341" t="s">
        <v>516</v>
      </c>
      <c r="E157" s="340" t="s">
        <v>1397</v>
      </c>
      <c r="F157" s="341" t="s">
        <v>1398</v>
      </c>
      <c r="G157" s="340" t="s">
        <v>822</v>
      </c>
      <c r="H157" s="340" t="s">
        <v>823</v>
      </c>
      <c r="I157" s="342">
        <v>50.649999999999991</v>
      </c>
      <c r="J157" s="342">
        <v>3600</v>
      </c>
      <c r="K157" s="343">
        <v>182342.15999999997</v>
      </c>
    </row>
    <row r="158" spans="1:11" ht="14.4" customHeight="1" x14ac:dyDescent="0.3">
      <c r="A158" s="338" t="s">
        <v>343</v>
      </c>
      <c r="B158" s="339" t="s">
        <v>515</v>
      </c>
      <c r="C158" s="340" t="s">
        <v>348</v>
      </c>
      <c r="D158" s="341" t="s">
        <v>516</v>
      </c>
      <c r="E158" s="340" t="s">
        <v>1397</v>
      </c>
      <c r="F158" s="341" t="s">
        <v>1398</v>
      </c>
      <c r="G158" s="340" t="s">
        <v>824</v>
      </c>
      <c r="H158" s="340" t="s">
        <v>825</v>
      </c>
      <c r="I158" s="342">
        <v>496.35</v>
      </c>
      <c r="J158" s="342">
        <v>20</v>
      </c>
      <c r="K158" s="343">
        <v>9927.08</v>
      </c>
    </row>
    <row r="159" spans="1:11" ht="14.4" customHeight="1" x14ac:dyDescent="0.3">
      <c r="A159" s="338" t="s">
        <v>343</v>
      </c>
      <c r="B159" s="339" t="s">
        <v>515</v>
      </c>
      <c r="C159" s="340" t="s">
        <v>348</v>
      </c>
      <c r="D159" s="341" t="s">
        <v>516</v>
      </c>
      <c r="E159" s="340" t="s">
        <v>1397</v>
      </c>
      <c r="F159" s="341" t="s">
        <v>1398</v>
      </c>
      <c r="G159" s="340" t="s">
        <v>824</v>
      </c>
      <c r="H159" s="340" t="s">
        <v>826</v>
      </c>
      <c r="I159" s="342">
        <v>496.35</v>
      </c>
      <c r="J159" s="342">
        <v>30</v>
      </c>
      <c r="K159" s="343">
        <v>14890.62</v>
      </c>
    </row>
    <row r="160" spans="1:11" ht="14.4" customHeight="1" x14ac:dyDescent="0.3">
      <c r="A160" s="338" t="s">
        <v>343</v>
      </c>
      <c r="B160" s="339" t="s">
        <v>515</v>
      </c>
      <c r="C160" s="340" t="s">
        <v>348</v>
      </c>
      <c r="D160" s="341" t="s">
        <v>516</v>
      </c>
      <c r="E160" s="340" t="s">
        <v>1397</v>
      </c>
      <c r="F160" s="341" t="s">
        <v>1398</v>
      </c>
      <c r="G160" s="340" t="s">
        <v>827</v>
      </c>
      <c r="H160" s="340" t="s">
        <v>828</v>
      </c>
      <c r="I160" s="342">
        <v>839.98</v>
      </c>
      <c r="J160" s="342">
        <v>50</v>
      </c>
      <c r="K160" s="343">
        <v>41998.8</v>
      </c>
    </row>
    <row r="161" spans="1:11" ht="14.4" customHeight="1" x14ac:dyDescent="0.3">
      <c r="A161" s="338" t="s">
        <v>343</v>
      </c>
      <c r="B161" s="339" t="s">
        <v>515</v>
      </c>
      <c r="C161" s="340" t="s">
        <v>348</v>
      </c>
      <c r="D161" s="341" t="s">
        <v>516</v>
      </c>
      <c r="E161" s="340" t="s">
        <v>1397</v>
      </c>
      <c r="F161" s="341" t="s">
        <v>1398</v>
      </c>
      <c r="G161" s="340" t="s">
        <v>829</v>
      </c>
      <c r="H161" s="340" t="s">
        <v>830</v>
      </c>
      <c r="I161" s="342">
        <v>181.5</v>
      </c>
      <c r="J161" s="342">
        <v>20</v>
      </c>
      <c r="K161" s="343">
        <v>3630</v>
      </c>
    </row>
    <row r="162" spans="1:11" ht="14.4" customHeight="1" x14ac:dyDescent="0.3">
      <c r="A162" s="338" t="s">
        <v>343</v>
      </c>
      <c r="B162" s="339" t="s">
        <v>515</v>
      </c>
      <c r="C162" s="340" t="s">
        <v>348</v>
      </c>
      <c r="D162" s="341" t="s">
        <v>516</v>
      </c>
      <c r="E162" s="340" t="s">
        <v>1397</v>
      </c>
      <c r="F162" s="341" t="s">
        <v>1398</v>
      </c>
      <c r="G162" s="340" t="s">
        <v>831</v>
      </c>
      <c r="H162" s="340" t="s">
        <v>832</v>
      </c>
      <c r="I162" s="342">
        <v>267.41000000000003</v>
      </c>
      <c r="J162" s="342">
        <v>90</v>
      </c>
      <c r="K162" s="343">
        <v>24066.89</v>
      </c>
    </row>
    <row r="163" spans="1:11" ht="14.4" customHeight="1" x14ac:dyDescent="0.3">
      <c r="A163" s="338" t="s">
        <v>343</v>
      </c>
      <c r="B163" s="339" t="s">
        <v>515</v>
      </c>
      <c r="C163" s="340" t="s">
        <v>348</v>
      </c>
      <c r="D163" s="341" t="s">
        <v>516</v>
      </c>
      <c r="E163" s="340" t="s">
        <v>1397</v>
      </c>
      <c r="F163" s="341" t="s">
        <v>1398</v>
      </c>
      <c r="G163" s="340" t="s">
        <v>833</v>
      </c>
      <c r="H163" s="340" t="s">
        <v>834</v>
      </c>
      <c r="I163" s="342">
        <v>7.7200000000000006</v>
      </c>
      <c r="J163" s="342">
        <v>250</v>
      </c>
      <c r="K163" s="343">
        <v>1920.27</v>
      </c>
    </row>
    <row r="164" spans="1:11" ht="14.4" customHeight="1" x14ac:dyDescent="0.3">
      <c r="A164" s="338" t="s">
        <v>343</v>
      </c>
      <c r="B164" s="339" t="s">
        <v>515</v>
      </c>
      <c r="C164" s="340" t="s">
        <v>348</v>
      </c>
      <c r="D164" s="341" t="s">
        <v>516</v>
      </c>
      <c r="E164" s="340" t="s">
        <v>1397</v>
      </c>
      <c r="F164" s="341" t="s">
        <v>1398</v>
      </c>
      <c r="G164" s="340" t="s">
        <v>835</v>
      </c>
      <c r="H164" s="340" t="s">
        <v>836</v>
      </c>
      <c r="I164" s="342">
        <v>601.37</v>
      </c>
      <c r="J164" s="342">
        <v>1</v>
      </c>
      <c r="K164" s="343">
        <v>601.37</v>
      </c>
    </row>
    <row r="165" spans="1:11" ht="14.4" customHeight="1" x14ac:dyDescent="0.3">
      <c r="A165" s="338" t="s">
        <v>343</v>
      </c>
      <c r="B165" s="339" t="s">
        <v>515</v>
      </c>
      <c r="C165" s="340" t="s">
        <v>348</v>
      </c>
      <c r="D165" s="341" t="s">
        <v>516</v>
      </c>
      <c r="E165" s="340" t="s">
        <v>1397</v>
      </c>
      <c r="F165" s="341" t="s">
        <v>1398</v>
      </c>
      <c r="G165" s="340" t="s">
        <v>837</v>
      </c>
      <c r="H165" s="340" t="s">
        <v>838</v>
      </c>
      <c r="I165" s="342">
        <v>111.55</v>
      </c>
      <c r="J165" s="342">
        <v>90</v>
      </c>
      <c r="K165" s="343">
        <v>10039.5</v>
      </c>
    </row>
    <row r="166" spans="1:11" ht="14.4" customHeight="1" x14ac:dyDescent="0.3">
      <c r="A166" s="338" t="s">
        <v>343</v>
      </c>
      <c r="B166" s="339" t="s">
        <v>515</v>
      </c>
      <c r="C166" s="340" t="s">
        <v>348</v>
      </c>
      <c r="D166" s="341" t="s">
        <v>516</v>
      </c>
      <c r="E166" s="340" t="s">
        <v>1397</v>
      </c>
      <c r="F166" s="341" t="s">
        <v>1398</v>
      </c>
      <c r="G166" s="340" t="s">
        <v>839</v>
      </c>
      <c r="H166" s="340" t="s">
        <v>840</v>
      </c>
      <c r="I166" s="342">
        <v>61.34</v>
      </c>
      <c r="J166" s="342">
        <v>72</v>
      </c>
      <c r="K166" s="343">
        <v>4416.3500000000004</v>
      </c>
    </row>
    <row r="167" spans="1:11" ht="14.4" customHeight="1" x14ac:dyDescent="0.3">
      <c r="A167" s="338" t="s">
        <v>343</v>
      </c>
      <c r="B167" s="339" t="s">
        <v>515</v>
      </c>
      <c r="C167" s="340" t="s">
        <v>348</v>
      </c>
      <c r="D167" s="341" t="s">
        <v>516</v>
      </c>
      <c r="E167" s="340" t="s">
        <v>1397</v>
      </c>
      <c r="F167" s="341" t="s">
        <v>1398</v>
      </c>
      <c r="G167" s="340" t="s">
        <v>841</v>
      </c>
      <c r="H167" s="340" t="s">
        <v>842</v>
      </c>
      <c r="I167" s="342">
        <v>5596.76</v>
      </c>
      <c r="J167" s="342">
        <v>1</v>
      </c>
      <c r="K167" s="343">
        <v>5596.76</v>
      </c>
    </row>
    <row r="168" spans="1:11" ht="14.4" customHeight="1" x14ac:dyDescent="0.3">
      <c r="A168" s="338" t="s">
        <v>343</v>
      </c>
      <c r="B168" s="339" t="s">
        <v>515</v>
      </c>
      <c r="C168" s="340" t="s">
        <v>348</v>
      </c>
      <c r="D168" s="341" t="s">
        <v>516</v>
      </c>
      <c r="E168" s="340" t="s">
        <v>1397</v>
      </c>
      <c r="F168" s="341" t="s">
        <v>1398</v>
      </c>
      <c r="G168" s="340" t="s">
        <v>843</v>
      </c>
      <c r="H168" s="340" t="s">
        <v>844</v>
      </c>
      <c r="I168" s="342">
        <v>482.79</v>
      </c>
      <c r="J168" s="342">
        <v>70</v>
      </c>
      <c r="K168" s="343">
        <v>33795.300000000003</v>
      </c>
    </row>
    <row r="169" spans="1:11" ht="14.4" customHeight="1" x14ac:dyDescent="0.3">
      <c r="A169" s="338" t="s">
        <v>343</v>
      </c>
      <c r="B169" s="339" t="s">
        <v>515</v>
      </c>
      <c r="C169" s="340" t="s">
        <v>348</v>
      </c>
      <c r="D169" s="341" t="s">
        <v>516</v>
      </c>
      <c r="E169" s="340" t="s">
        <v>1397</v>
      </c>
      <c r="F169" s="341" t="s">
        <v>1398</v>
      </c>
      <c r="G169" s="340" t="s">
        <v>845</v>
      </c>
      <c r="H169" s="340" t="s">
        <v>846</v>
      </c>
      <c r="I169" s="342">
        <v>5.9450000000000003</v>
      </c>
      <c r="J169" s="342">
        <v>600</v>
      </c>
      <c r="K169" s="343">
        <v>3566.66</v>
      </c>
    </row>
    <row r="170" spans="1:11" ht="14.4" customHeight="1" x14ac:dyDescent="0.3">
      <c r="A170" s="338" t="s">
        <v>343</v>
      </c>
      <c r="B170" s="339" t="s">
        <v>515</v>
      </c>
      <c r="C170" s="340" t="s">
        <v>348</v>
      </c>
      <c r="D170" s="341" t="s">
        <v>516</v>
      </c>
      <c r="E170" s="340" t="s">
        <v>1397</v>
      </c>
      <c r="F170" s="341" t="s">
        <v>1398</v>
      </c>
      <c r="G170" s="340" t="s">
        <v>847</v>
      </c>
      <c r="H170" s="340" t="s">
        <v>848</v>
      </c>
      <c r="I170" s="342">
        <v>339.04</v>
      </c>
      <c r="J170" s="342">
        <v>50</v>
      </c>
      <c r="K170" s="343">
        <v>16952.099999999999</v>
      </c>
    </row>
    <row r="171" spans="1:11" ht="14.4" customHeight="1" x14ac:dyDescent="0.3">
      <c r="A171" s="338" t="s">
        <v>343</v>
      </c>
      <c r="B171" s="339" t="s">
        <v>515</v>
      </c>
      <c r="C171" s="340" t="s">
        <v>348</v>
      </c>
      <c r="D171" s="341" t="s">
        <v>516</v>
      </c>
      <c r="E171" s="340" t="s">
        <v>1397</v>
      </c>
      <c r="F171" s="341" t="s">
        <v>1398</v>
      </c>
      <c r="G171" s="340" t="s">
        <v>849</v>
      </c>
      <c r="H171" s="340" t="s">
        <v>850</v>
      </c>
      <c r="I171" s="342">
        <v>9859.7999999999993</v>
      </c>
      <c r="J171" s="342">
        <v>1</v>
      </c>
      <c r="K171" s="343">
        <v>9859.7999999999993</v>
      </c>
    </row>
    <row r="172" spans="1:11" ht="14.4" customHeight="1" x14ac:dyDescent="0.3">
      <c r="A172" s="338" t="s">
        <v>343</v>
      </c>
      <c r="B172" s="339" t="s">
        <v>515</v>
      </c>
      <c r="C172" s="340" t="s">
        <v>348</v>
      </c>
      <c r="D172" s="341" t="s">
        <v>516</v>
      </c>
      <c r="E172" s="340" t="s">
        <v>1397</v>
      </c>
      <c r="F172" s="341" t="s">
        <v>1398</v>
      </c>
      <c r="G172" s="340" t="s">
        <v>851</v>
      </c>
      <c r="H172" s="340" t="s">
        <v>852</v>
      </c>
      <c r="I172" s="342">
        <v>171.82</v>
      </c>
      <c r="J172" s="342">
        <v>10</v>
      </c>
      <c r="K172" s="343">
        <v>1718.2</v>
      </c>
    </row>
    <row r="173" spans="1:11" ht="14.4" customHeight="1" x14ac:dyDescent="0.3">
      <c r="A173" s="338" t="s">
        <v>343</v>
      </c>
      <c r="B173" s="339" t="s">
        <v>515</v>
      </c>
      <c r="C173" s="340" t="s">
        <v>348</v>
      </c>
      <c r="D173" s="341" t="s">
        <v>516</v>
      </c>
      <c r="E173" s="340" t="s">
        <v>1397</v>
      </c>
      <c r="F173" s="341" t="s">
        <v>1398</v>
      </c>
      <c r="G173" s="340" t="s">
        <v>853</v>
      </c>
      <c r="H173" s="340" t="s">
        <v>854</v>
      </c>
      <c r="I173" s="342">
        <v>1839.22</v>
      </c>
      <c r="J173" s="342">
        <v>10</v>
      </c>
      <c r="K173" s="343">
        <v>18392.22</v>
      </c>
    </row>
    <row r="174" spans="1:11" ht="14.4" customHeight="1" x14ac:dyDescent="0.3">
      <c r="A174" s="338" t="s">
        <v>343</v>
      </c>
      <c r="B174" s="339" t="s">
        <v>515</v>
      </c>
      <c r="C174" s="340" t="s">
        <v>348</v>
      </c>
      <c r="D174" s="341" t="s">
        <v>516</v>
      </c>
      <c r="E174" s="340" t="s">
        <v>1397</v>
      </c>
      <c r="F174" s="341" t="s">
        <v>1398</v>
      </c>
      <c r="G174" s="340" t="s">
        <v>855</v>
      </c>
      <c r="H174" s="340" t="s">
        <v>856</v>
      </c>
      <c r="I174" s="342">
        <v>144.80000000000001</v>
      </c>
      <c r="J174" s="342">
        <v>10</v>
      </c>
      <c r="K174" s="343">
        <v>1448.01</v>
      </c>
    </row>
    <row r="175" spans="1:11" ht="14.4" customHeight="1" x14ac:dyDescent="0.3">
      <c r="A175" s="338" t="s">
        <v>343</v>
      </c>
      <c r="B175" s="339" t="s">
        <v>515</v>
      </c>
      <c r="C175" s="340" t="s">
        <v>348</v>
      </c>
      <c r="D175" s="341" t="s">
        <v>516</v>
      </c>
      <c r="E175" s="340" t="s">
        <v>1397</v>
      </c>
      <c r="F175" s="341" t="s">
        <v>1398</v>
      </c>
      <c r="G175" s="340" t="s">
        <v>857</v>
      </c>
      <c r="H175" s="340" t="s">
        <v>858</v>
      </c>
      <c r="I175" s="342">
        <v>115</v>
      </c>
      <c r="J175" s="342">
        <v>36</v>
      </c>
      <c r="K175" s="343">
        <v>4140</v>
      </c>
    </row>
    <row r="176" spans="1:11" ht="14.4" customHeight="1" x14ac:dyDescent="0.3">
      <c r="A176" s="338" t="s">
        <v>343</v>
      </c>
      <c r="B176" s="339" t="s">
        <v>515</v>
      </c>
      <c r="C176" s="340" t="s">
        <v>348</v>
      </c>
      <c r="D176" s="341" t="s">
        <v>516</v>
      </c>
      <c r="E176" s="340" t="s">
        <v>1397</v>
      </c>
      <c r="F176" s="341" t="s">
        <v>1398</v>
      </c>
      <c r="G176" s="340" t="s">
        <v>859</v>
      </c>
      <c r="H176" s="340" t="s">
        <v>860</v>
      </c>
      <c r="I176" s="342">
        <v>37.51</v>
      </c>
      <c r="J176" s="342">
        <v>610</v>
      </c>
      <c r="K176" s="343">
        <v>22881.1</v>
      </c>
    </row>
    <row r="177" spans="1:11" ht="14.4" customHeight="1" x14ac:dyDescent="0.3">
      <c r="A177" s="338" t="s">
        <v>343</v>
      </c>
      <c r="B177" s="339" t="s">
        <v>515</v>
      </c>
      <c r="C177" s="340" t="s">
        <v>348</v>
      </c>
      <c r="D177" s="341" t="s">
        <v>516</v>
      </c>
      <c r="E177" s="340" t="s">
        <v>1397</v>
      </c>
      <c r="F177" s="341" t="s">
        <v>1398</v>
      </c>
      <c r="G177" s="340" t="s">
        <v>861</v>
      </c>
      <c r="H177" s="340" t="s">
        <v>862</v>
      </c>
      <c r="I177" s="342">
        <v>7441.5</v>
      </c>
      <c r="J177" s="342">
        <v>1</v>
      </c>
      <c r="K177" s="343">
        <v>7441.5</v>
      </c>
    </row>
    <row r="178" spans="1:11" ht="14.4" customHeight="1" x14ac:dyDescent="0.3">
      <c r="A178" s="338" t="s">
        <v>343</v>
      </c>
      <c r="B178" s="339" t="s">
        <v>515</v>
      </c>
      <c r="C178" s="340" t="s">
        <v>348</v>
      </c>
      <c r="D178" s="341" t="s">
        <v>516</v>
      </c>
      <c r="E178" s="340" t="s">
        <v>1397</v>
      </c>
      <c r="F178" s="341" t="s">
        <v>1398</v>
      </c>
      <c r="G178" s="340" t="s">
        <v>863</v>
      </c>
      <c r="H178" s="340" t="s">
        <v>864</v>
      </c>
      <c r="I178" s="342">
        <v>6471.08</v>
      </c>
      <c r="J178" s="342">
        <v>1</v>
      </c>
      <c r="K178" s="343">
        <v>6471.08</v>
      </c>
    </row>
    <row r="179" spans="1:11" ht="14.4" customHeight="1" x14ac:dyDescent="0.3">
      <c r="A179" s="338" t="s">
        <v>343</v>
      </c>
      <c r="B179" s="339" t="s">
        <v>515</v>
      </c>
      <c r="C179" s="340" t="s">
        <v>348</v>
      </c>
      <c r="D179" s="341" t="s">
        <v>516</v>
      </c>
      <c r="E179" s="340" t="s">
        <v>1397</v>
      </c>
      <c r="F179" s="341" t="s">
        <v>1398</v>
      </c>
      <c r="G179" s="340" t="s">
        <v>865</v>
      </c>
      <c r="H179" s="340" t="s">
        <v>866</v>
      </c>
      <c r="I179" s="342">
        <v>2286.9</v>
      </c>
      <c r="J179" s="342">
        <v>12</v>
      </c>
      <c r="K179" s="343">
        <v>27442.799999999999</v>
      </c>
    </row>
    <row r="180" spans="1:11" ht="14.4" customHeight="1" x14ac:dyDescent="0.3">
      <c r="A180" s="338" t="s">
        <v>343</v>
      </c>
      <c r="B180" s="339" t="s">
        <v>515</v>
      </c>
      <c r="C180" s="340" t="s">
        <v>348</v>
      </c>
      <c r="D180" s="341" t="s">
        <v>516</v>
      </c>
      <c r="E180" s="340" t="s">
        <v>1397</v>
      </c>
      <c r="F180" s="341" t="s">
        <v>1398</v>
      </c>
      <c r="G180" s="340" t="s">
        <v>867</v>
      </c>
      <c r="H180" s="340" t="s">
        <v>868</v>
      </c>
      <c r="I180" s="342">
        <v>211.75</v>
      </c>
      <c r="J180" s="342">
        <v>70</v>
      </c>
      <c r="K180" s="343">
        <v>14822.5</v>
      </c>
    </row>
    <row r="181" spans="1:11" ht="14.4" customHeight="1" x14ac:dyDescent="0.3">
      <c r="A181" s="338" t="s">
        <v>343</v>
      </c>
      <c r="B181" s="339" t="s">
        <v>515</v>
      </c>
      <c r="C181" s="340" t="s">
        <v>348</v>
      </c>
      <c r="D181" s="341" t="s">
        <v>516</v>
      </c>
      <c r="E181" s="340" t="s">
        <v>1397</v>
      </c>
      <c r="F181" s="341" t="s">
        <v>1398</v>
      </c>
      <c r="G181" s="340" t="s">
        <v>869</v>
      </c>
      <c r="H181" s="340" t="s">
        <v>870</v>
      </c>
      <c r="I181" s="342">
        <v>2306.2600000000002</v>
      </c>
      <c r="J181" s="342">
        <v>10</v>
      </c>
      <c r="K181" s="343">
        <v>23062.6</v>
      </c>
    </row>
    <row r="182" spans="1:11" ht="14.4" customHeight="1" x14ac:dyDescent="0.3">
      <c r="A182" s="338" t="s">
        <v>343</v>
      </c>
      <c r="B182" s="339" t="s">
        <v>515</v>
      </c>
      <c r="C182" s="340" t="s">
        <v>348</v>
      </c>
      <c r="D182" s="341" t="s">
        <v>516</v>
      </c>
      <c r="E182" s="340" t="s">
        <v>1397</v>
      </c>
      <c r="F182" s="341" t="s">
        <v>1398</v>
      </c>
      <c r="G182" s="340" t="s">
        <v>871</v>
      </c>
      <c r="H182" s="340" t="s">
        <v>872</v>
      </c>
      <c r="I182" s="342">
        <v>44.54</v>
      </c>
      <c r="J182" s="342">
        <v>60</v>
      </c>
      <c r="K182" s="343">
        <v>2672.37</v>
      </c>
    </row>
    <row r="183" spans="1:11" ht="14.4" customHeight="1" x14ac:dyDescent="0.3">
      <c r="A183" s="338" t="s">
        <v>343</v>
      </c>
      <c r="B183" s="339" t="s">
        <v>515</v>
      </c>
      <c r="C183" s="340" t="s">
        <v>348</v>
      </c>
      <c r="D183" s="341" t="s">
        <v>516</v>
      </c>
      <c r="E183" s="340" t="s">
        <v>1397</v>
      </c>
      <c r="F183" s="341" t="s">
        <v>1398</v>
      </c>
      <c r="G183" s="340" t="s">
        <v>873</v>
      </c>
      <c r="H183" s="340" t="s">
        <v>874</v>
      </c>
      <c r="I183" s="342">
        <v>265.45999999999998</v>
      </c>
      <c r="J183" s="342">
        <v>24</v>
      </c>
      <c r="K183" s="343">
        <v>6371</v>
      </c>
    </row>
    <row r="184" spans="1:11" ht="14.4" customHeight="1" x14ac:dyDescent="0.3">
      <c r="A184" s="338" t="s">
        <v>343</v>
      </c>
      <c r="B184" s="339" t="s">
        <v>515</v>
      </c>
      <c r="C184" s="340" t="s">
        <v>348</v>
      </c>
      <c r="D184" s="341" t="s">
        <v>516</v>
      </c>
      <c r="E184" s="340" t="s">
        <v>1397</v>
      </c>
      <c r="F184" s="341" t="s">
        <v>1398</v>
      </c>
      <c r="G184" s="340" t="s">
        <v>875</v>
      </c>
      <c r="H184" s="340" t="s">
        <v>876</v>
      </c>
      <c r="I184" s="342">
        <v>135.69999999999999</v>
      </c>
      <c r="J184" s="342">
        <v>20</v>
      </c>
      <c r="K184" s="343">
        <v>2714</v>
      </c>
    </row>
    <row r="185" spans="1:11" ht="14.4" customHeight="1" x14ac:dyDescent="0.3">
      <c r="A185" s="338" t="s">
        <v>343</v>
      </c>
      <c r="B185" s="339" t="s">
        <v>515</v>
      </c>
      <c r="C185" s="340" t="s">
        <v>348</v>
      </c>
      <c r="D185" s="341" t="s">
        <v>516</v>
      </c>
      <c r="E185" s="340" t="s">
        <v>1397</v>
      </c>
      <c r="F185" s="341" t="s">
        <v>1398</v>
      </c>
      <c r="G185" s="340" t="s">
        <v>877</v>
      </c>
      <c r="H185" s="340" t="s">
        <v>878</v>
      </c>
      <c r="I185" s="342">
        <v>858.42</v>
      </c>
      <c r="J185" s="342">
        <v>2</v>
      </c>
      <c r="K185" s="343">
        <v>1716.85</v>
      </c>
    </row>
    <row r="186" spans="1:11" ht="14.4" customHeight="1" x14ac:dyDescent="0.3">
      <c r="A186" s="338" t="s">
        <v>343</v>
      </c>
      <c r="B186" s="339" t="s">
        <v>515</v>
      </c>
      <c r="C186" s="340" t="s">
        <v>348</v>
      </c>
      <c r="D186" s="341" t="s">
        <v>516</v>
      </c>
      <c r="E186" s="340" t="s">
        <v>1397</v>
      </c>
      <c r="F186" s="341" t="s">
        <v>1398</v>
      </c>
      <c r="G186" s="340" t="s">
        <v>879</v>
      </c>
      <c r="H186" s="340" t="s">
        <v>880</v>
      </c>
      <c r="I186" s="342">
        <v>5002.32</v>
      </c>
      <c r="J186" s="342">
        <v>2</v>
      </c>
      <c r="K186" s="343">
        <v>10004.65</v>
      </c>
    </row>
    <row r="187" spans="1:11" ht="14.4" customHeight="1" x14ac:dyDescent="0.3">
      <c r="A187" s="338" t="s">
        <v>343</v>
      </c>
      <c r="B187" s="339" t="s">
        <v>515</v>
      </c>
      <c r="C187" s="340" t="s">
        <v>348</v>
      </c>
      <c r="D187" s="341" t="s">
        <v>516</v>
      </c>
      <c r="E187" s="340" t="s">
        <v>1397</v>
      </c>
      <c r="F187" s="341" t="s">
        <v>1398</v>
      </c>
      <c r="G187" s="340" t="s">
        <v>881</v>
      </c>
      <c r="H187" s="340" t="s">
        <v>882</v>
      </c>
      <c r="I187" s="342">
        <v>48.28</v>
      </c>
      <c r="J187" s="342">
        <v>350</v>
      </c>
      <c r="K187" s="343">
        <v>16897.79</v>
      </c>
    </row>
    <row r="188" spans="1:11" ht="14.4" customHeight="1" x14ac:dyDescent="0.3">
      <c r="A188" s="338" t="s">
        <v>343</v>
      </c>
      <c r="B188" s="339" t="s">
        <v>515</v>
      </c>
      <c r="C188" s="340" t="s">
        <v>348</v>
      </c>
      <c r="D188" s="341" t="s">
        <v>516</v>
      </c>
      <c r="E188" s="340" t="s">
        <v>1397</v>
      </c>
      <c r="F188" s="341" t="s">
        <v>1398</v>
      </c>
      <c r="G188" s="340" t="s">
        <v>883</v>
      </c>
      <c r="H188" s="340" t="s">
        <v>884</v>
      </c>
      <c r="I188" s="342">
        <v>48.28</v>
      </c>
      <c r="J188" s="342">
        <v>250</v>
      </c>
      <c r="K188" s="343">
        <v>12069.82</v>
      </c>
    </row>
    <row r="189" spans="1:11" ht="14.4" customHeight="1" x14ac:dyDescent="0.3">
      <c r="A189" s="338" t="s">
        <v>343</v>
      </c>
      <c r="B189" s="339" t="s">
        <v>515</v>
      </c>
      <c r="C189" s="340" t="s">
        <v>348</v>
      </c>
      <c r="D189" s="341" t="s">
        <v>516</v>
      </c>
      <c r="E189" s="340" t="s">
        <v>1397</v>
      </c>
      <c r="F189" s="341" t="s">
        <v>1398</v>
      </c>
      <c r="G189" s="340" t="s">
        <v>885</v>
      </c>
      <c r="H189" s="340" t="s">
        <v>886</v>
      </c>
      <c r="I189" s="342">
        <v>48.28</v>
      </c>
      <c r="J189" s="342">
        <v>200</v>
      </c>
      <c r="K189" s="343">
        <v>9655.869999999999</v>
      </c>
    </row>
    <row r="190" spans="1:11" ht="14.4" customHeight="1" x14ac:dyDescent="0.3">
      <c r="A190" s="338" t="s">
        <v>343</v>
      </c>
      <c r="B190" s="339" t="s">
        <v>515</v>
      </c>
      <c r="C190" s="340" t="s">
        <v>348</v>
      </c>
      <c r="D190" s="341" t="s">
        <v>516</v>
      </c>
      <c r="E190" s="340" t="s">
        <v>1397</v>
      </c>
      <c r="F190" s="341" t="s">
        <v>1398</v>
      </c>
      <c r="G190" s="340" t="s">
        <v>887</v>
      </c>
      <c r="H190" s="340" t="s">
        <v>888</v>
      </c>
      <c r="I190" s="342">
        <v>233.44</v>
      </c>
      <c r="J190" s="342">
        <v>40</v>
      </c>
      <c r="K190" s="343">
        <v>9337.59</v>
      </c>
    </row>
    <row r="191" spans="1:11" ht="14.4" customHeight="1" x14ac:dyDescent="0.3">
      <c r="A191" s="338" t="s">
        <v>343</v>
      </c>
      <c r="B191" s="339" t="s">
        <v>515</v>
      </c>
      <c r="C191" s="340" t="s">
        <v>348</v>
      </c>
      <c r="D191" s="341" t="s">
        <v>516</v>
      </c>
      <c r="E191" s="340" t="s">
        <v>1397</v>
      </c>
      <c r="F191" s="341" t="s">
        <v>1398</v>
      </c>
      <c r="G191" s="340" t="s">
        <v>889</v>
      </c>
      <c r="H191" s="340" t="s">
        <v>890</v>
      </c>
      <c r="I191" s="342">
        <v>1787.93</v>
      </c>
      <c r="J191" s="342">
        <v>16</v>
      </c>
      <c r="K191" s="343">
        <v>28606.92</v>
      </c>
    </row>
    <row r="192" spans="1:11" ht="14.4" customHeight="1" x14ac:dyDescent="0.3">
      <c r="A192" s="338" t="s">
        <v>343</v>
      </c>
      <c r="B192" s="339" t="s">
        <v>515</v>
      </c>
      <c r="C192" s="340" t="s">
        <v>348</v>
      </c>
      <c r="D192" s="341" t="s">
        <v>516</v>
      </c>
      <c r="E192" s="340" t="s">
        <v>1397</v>
      </c>
      <c r="F192" s="341" t="s">
        <v>1398</v>
      </c>
      <c r="G192" s="340" t="s">
        <v>891</v>
      </c>
      <c r="H192" s="340" t="s">
        <v>892</v>
      </c>
      <c r="I192" s="342">
        <v>22.99</v>
      </c>
      <c r="J192" s="342">
        <v>50</v>
      </c>
      <c r="K192" s="343">
        <v>1149.5</v>
      </c>
    </row>
    <row r="193" spans="1:11" ht="14.4" customHeight="1" x14ac:dyDescent="0.3">
      <c r="A193" s="338" t="s">
        <v>343</v>
      </c>
      <c r="B193" s="339" t="s">
        <v>515</v>
      </c>
      <c r="C193" s="340" t="s">
        <v>348</v>
      </c>
      <c r="D193" s="341" t="s">
        <v>516</v>
      </c>
      <c r="E193" s="340" t="s">
        <v>1397</v>
      </c>
      <c r="F193" s="341" t="s">
        <v>1398</v>
      </c>
      <c r="G193" s="340" t="s">
        <v>893</v>
      </c>
      <c r="H193" s="340" t="s">
        <v>894</v>
      </c>
      <c r="I193" s="342">
        <v>19.96</v>
      </c>
      <c r="J193" s="342">
        <v>100</v>
      </c>
      <c r="K193" s="343">
        <v>1996.5</v>
      </c>
    </row>
    <row r="194" spans="1:11" ht="14.4" customHeight="1" x14ac:dyDescent="0.3">
      <c r="A194" s="338" t="s">
        <v>343</v>
      </c>
      <c r="B194" s="339" t="s">
        <v>515</v>
      </c>
      <c r="C194" s="340" t="s">
        <v>348</v>
      </c>
      <c r="D194" s="341" t="s">
        <v>516</v>
      </c>
      <c r="E194" s="340" t="s">
        <v>1397</v>
      </c>
      <c r="F194" s="341" t="s">
        <v>1398</v>
      </c>
      <c r="G194" s="340" t="s">
        <v>895</v>
      </c>
      <c r="H194" s="340" t="s">
        <v>896</v>
      </c>
      <c r="I194" s="342">
        <v>67.400000000000006</v>
      </c>
      <c r="J194" s="342">
        <v>30</v>
      </c>
      <c r="K194" s="343">
        <v>2021.91</v>
      </c>
    </row>
    <row r="195" spans="1:11" ht="14.4" customHeight="1" x14ac:dyDescent="0.3">
      <c r="A195" s="338" t="s">
        <v>343</v>
      </c>
      <c r="B195" s="339" t="s">
        <v>515</v>
      </c>
      <c r="C195" s="340" t="s">
        <v>348</v>
      </c>
      <c r="D195" s="341" t="s">
        <v>516</v>
      </c>
      <c r="E195" s="340" t="s">
        <v>1397</v>
      </c>
      <c r="F195" s="341" t="s">
        <v>1398</v>
      </c>
      <c r="G195" s="340" t="s">
        <v>897</v>
      </c>
      <c r="H195" s="340" t="s">
        <v>898</v>
      </c>
      <c r="I195" s="342">
        <v>1193.06</v>
      </c>
      <c r="J195" s="342">
        <v>4</v>
      </c>
      <c r="K195" s="343">
        <v>4772.24</v>
      </c>
    </row>
    <row r="196" spans="1:11" ht="14.4" customHeight="1" x14ac:dyDescent="0.3">
      <c r="A196" s="338" t="s">
        <v>343</v>
      </c>
      <c r="B196" s="339" t="s">
        <v>515</v>
      </c>
      <c r="C196" s="340" t="s">
        <v>348</v>
      </c>
      <c r="D196" s="341" t="s">
        <v>516</v>
      </c>
      <c r="E196" s="340" t="s">
        <v>1397</v>
      </c>
      <c r="F196" s="341" t="s">
        <v>1398</v>
      </c>
      <c r="G196" s="340" t="s">
        <v>899</v>
      </c>
      <c r="H196" s="340" t="s">
        <v>900</v>
      </c>
      <c r="I196" s="342">
        <v>3493.27</v>
      </c>
      <c r="J196" s="342">
        <v>2</v>
      </c>
      <c r="K196" s="343">
        <v>6986.54</v>
      </c>
    </row>
    <row r="197" spans="1:11" ht="14.4" customHeight="1" x14ac:dyDescent="0.3">
      <c r="A197" s="338" t="s">
        <v>343</v>
      </c>
      <c r="B197" s="339" t="s">
        <v>515</v>
      </c>
      <c r="C197" s="340" t="s">
        <v>348</v>
      </c>
      <c r="D197" s="341" t="s">
        <v>516</v>
      </c>
      <c r="E197" s="340" t="s">
        <v>1399</v>
      </c>
      <c r="F197" s="341" t="s">
        <v>1400</v>
      </c>
      <c r="G197" s="340" t="s">
        <v>901</v>
      </c>
      <c r="H197" s="340" t="s">
        <v>902</v>
      </c>
      <c r="I197" s="342">
        <v>689.69</v>
      </c>
      <c r="J197" s="342">
        <v>1</v>
      </c>
      <c r="K197" s="343">
        <v>689.69</v>
      </c>
    </row>
    <row r="198" spans="1:11" ht="14.4" customHeight="1" x14ac:dyDescent="0.3">
      <c r="A198" s="338" t="s">
        <v>343</v>
      </c>
      <c r="B198" s="339" t="s">
        <v>515</v>
      </c>
      <c r="C198" s="340" t="s">
        <v>348</v>
      </c>
      <c r="D198" s="341" t="s">
        <v>516</v>
      </c>
      <c r="E198" s="340" t="s">
        <v>1401</v>
      </c>
      <c r="F198" s="341" t="s">
        <v>1402</v>
      </c>
      <c r="G198" s="340" t="s">
        <v>903</v>
      </c>
      <c r="H198" s="340" t="s">
        <v>904</v>
      </c>
      <c r="I198" s="342">
        <v>432.3</v>
      </c>
      <c r="J198" s="342">
        <v>28</v>
      </c>
      <c r="K198" s="343">
        <v>12104.31</v>
      </c>
    </row>
    <row r="199" spans="1:11" ht="14.4" customHeight="1" x14ac:dyDescent="0.3">
      <c r="A199" s="338" t="s">
        <v>343</v>
      </c>
      <c r="B199" s="339" t="s">
        <v>515</v>
      </c>
      <c r="C199" s="340" t="s">
        <v>348</v>
      </c>
      <c r="D199" s="341" t="s">
        <v>516</v>
      </c>
      <c r="E199" s="340" t="s">
        <v>1401</v>
      </c>
      <c r="F199" s="341" t="s">
        <v>1402</v>
      </c>
      <c r="G199" s="340" t="s">
        <v>905</v>
      </c>
      <c r="H199" s="340" t="s">
        <v>906</v>
      </c>
      <c r="I199" s="342">
        <v>988.84166666666658</v>
      </c>
      <c r="J199" s="342">
        <v>288</v>
      </c>
      <c r="K199" s="343">
        <v>284786.57</v>
      </c>
    </row>
    <row r="200" spans="1:11" ht="14.4" customHeight="1" x14ac:dyDescent="0.3">
      <c r="A200" s="338" t="s">
        <v>343</v>
      </c>
      <c r="B200" s="339" t="s">
        <v>515</v>
      </c>
      <c r="C200" s="340" t="s">
        <v>348</v>
      </c>
      <c r="D200" s="341" t="s">
        <v>516</v>
      </c>
      <c r="E200" s="340" t="s">
        <v>1401</v>
      </c>
      <c r="F200" s="341" t="s">
        <v>1402</v>
      </c>
      <c r="G200" s="340" t="s">
        <v>907</v>
      </c>
      <c r="H200" s="340" t="s">
        <v>908</v>
      </c>
      <c r="I200" s="342">
        <v>1787.6160000000004</v>
      </c>
      <c r="J200" s="342">
        <v>860</v>
      </c>
      <c r="K200" s="343">
        <v>1538208.14</v>
      </c>
    </row>
    <row r="201" spans="1:11" ht="14.4" customHeight="1" x14ac:dyDescent="0.3">
      <c r="A201" s="338" t="s">
        <v>343</v>
      </c>
      <c r="B201" s="339" t="s">
        <v>515</v>
      </c>
      <c r="C201" s="340" t="s">
        <v>348</v>
      </c>
      <c r="D201" s="341" t="s">
        <v>516</v>
      </c>
      <c r="E201" s="340" t="s">
        <v>1401</v>
      </c>
      <c r="F201" s="341" t="s">
        <v>1402</v>
      </c>
      <c r="G201" s="340" t="s">
        <v>909</v>
      </c>
      <c r="H201" s="340" t="s">
        <v>910</v>
      </c>
      <c r="I201" s="342">
        <v>87239.063750000001</v>
      </c>
      <c r="J201" s="342">
        <v>24</v>
      </c>
      <c r="K201" s="343">
        <v>2097826.39</v>
      </c>
    </row>
    <row r="202" spans="1:11" ht="14.4" customHeight="1" x14ac:dyDescent="0.3">
      <c r="A202" s="338" t="s">
        <v>343</v>
      </c>
      <c r="B202" s="339" t="s">
        <v>515</v>
      </c>
      <c r="C202" s="340" t="s">
        <v>348</v>
      </c>
      <c r="D202" s="341" t="s">
        <v>516</v>
      </c>
      <c r="E202" s="340" t="s">
        <v>1401</v>
      </c>
      <c r="F202" s="341" t="s">
        <v>1402</v>
      </c>
      <c r="G202" s="340" t="s">
        <v>911</v>
      </c>
      <c r="H202" s="340" t="s">
        <v>912</v>
      </c>
      <c r="I202" s="342">
        <v>87164.526666666672</v>
      </c>
      <c r="J202" s="342">
        <v>24</v>
      </c>
      <c r="K202" s="343">
        <v>2098273.58</v>
      </c>
    </row>
    <row r="203" spans="1:11" ht="14.4" customHeight="1" x14ac:dyDescent="0.3">
      <c r="A203" s="338" t="s">
        <v>343</v>
      </c>
      <c r="B203" s="339" t="s">
        <v>515</v>
      </c>
      <c r="C203" s="340" t="s">
        <v>348</v>
      </c>
      <c r="D203" s="341" t="s">
        <v>516</v>
      </c>
      <c r="E203" s="340" t="s">
        <v>1401</v>
      </c>
      <c r="F203" s="341" t="s">
        <v>1402</v>
      </c>
      <c r="G203" s="340" t="s">
        <v>913</v>
      </c>
      <c r="H203" s="340" t="s">
        <v>914</v>
      </c>
      <c r="I203" s="342">
        <v>793.61846153846159</v>
      </c>
      <c r="J203" s="342">
        <v>280</v>
      </c>
      <c r="K203" s="343">
        <v>222352.02</v>
      </c>
    </row>
    <row r="204" spans="1:11" ht="14.4" customHeight="1" x14ac:dyDescent="0.3">
      <c r="A204" s="338" t="s">
        <v>343</v>
      </c>
      <c r="B204" s="339" t="s">
        <v>515</v>
      </c>
      <c r="C204" s="340" t="s">
        <v>348</v>
      </c>
      <c r="D204" s="341" t="s">
        <v>516</v>
      </c>
      <c r="E204" s="340" t="s">
        <v>1401</v>
      </c>
      <c r="F204" s="341" t="s">
        <v>1402</v>
      </c>
      <c r="G204" s="340" t="s">
        <v>915</v>
      </c>
      <c r="H204" s="340" t="s">
        <v>916</v>
      </c>
      <c r="I204" s="342">
        <v>992.19250000000022</v>
      </c>
      <c r="J204" s="342">
        <v>320</v>
      </c>
      <c r="K204" s="343">
        <v>317501.57999999996</v>
      </c>
    </row>
    <row r="205" spans="1:11" ht="14.4" customHeight="1" x14ac:dyDescent="0.3">
      <c r="A205" s="338" t="s">
        <v>343</v>
      </c>
      <c r="B205" s="339" t="s">
        <v>515</v>
      </c>
      <c r="C205" s="340" t="s">
        <v>348</v>
      </c>
      <c r="D205" s="341" t="s">
        <v>516</v>
      </c>
      <c r="E205" s="340" t="s">
        <v>1401</v>
      </c>
      <c r="F205" s="341" t="s">
        <v>1402</v>
      </c>
      <c r="G205" s="340" t="s">
        <v>917</v>
      </c>
      <c r="H205" s="340" t="s">
        <v>918</v>
      </c>
      <c r="I205" s="342">
        <v>1172.4056249999999</v>
      </c>
      <c r="J205" s="342">
        <v>320</v>
      </c>
      <c r="K205" s="343">
        <v>375170.16</v>
      </c>
    </row>
    <row r="206" spans="1:11" ht="14.4" customHeight="1" x14ac:dyDescent="0.3">
      <c r="A206" s="338" t="s">
        <v>343</v>
      </c>
      <c r="B206" s="339" t="s">
        <v>515</v>
      </c>
      <c r="C206" s="340" t="s">
        <v>348</v>
      </c>
      <c r="D206" s="341" t="s">
        <v>516</v>
      </c>
      <c r="E206" s="340" t="s">
        <v>1401</v>
      </c>
      <c r="F206" s="341" t="s">
        <v>1402</v>
      </c>
      <c r="G206" s="340" t="s">
        <v>919</v>
      </c>
      <c r="H206" s="340" t="s">
        <v>920</v>
      </c>
      <c r="I206" s="342">
        <v>126913.83333333333</v>
      </c>
      <c r="J206" s="342">
        <v>29</v>
      </c>
      <c r="K206" s="343">
        <v>3683387.1300000004</v>
      </c>
    </row>
    <row r="207" spans="1:11" ht="14.4" customHeight="1" x14ac:dyDescent="0.3">
      <c r="A207" s="338" t="s">
        <v>343</v>
      </c>
      <c r="B207" s="339" t="s">
        <v>515</v>
      </c>
      <c r="C207" s="340" t="s">
        <v>348</v>
      </c>
      <c r="D207" s="341" t="s">
        <v>516</v>
      </c>
      <c r="E207" s="340" t="s">
        <v>1401</v>
      </c>
      <c r="F207" s="341" t="s">
        <v>1402</v>
      </c>
      <c r="G207" s="340" t="s">
        <v>921</v>
      </c>
      <c r="H207" s="340" t="s">
        <v>922</v>
      </c>
      <c r="I207" s="342">
        <v>107924.692</v>
      </c>
      <c r="J207" s="342">
        <v>17</v>
      </c>
      <c r="K207" s="343">
        <v>1835688.0900000003</v>
      </c>
    </row>
    <row r="208" spans="1:11" ht="14.4" customHeight="1" x14ac:dyDescent="0.3">
      <c r="A208" s="338" t="s">
        <v>343</v>
      </c>
      <c r="B208" s="339" t="s">
        <v>515</v>
      </c>
      <c r="C208" s="340" t="s">
        <v>348</v>
      </c>
      <c r="D208" s="341" t="s">
        <v>516</v>
      </c>
      <c r="E208" s="340" t="s">
        <v>1401</v>
      </c>
      <c r="F208" s="341" t="s">
        <v>1402</v>
      </c>
      <c r="G208" s="340" t="s">
        <v>921</v>
      </c>
      <c r="H208" s="340" t="s">
        <v>923</v>
      </c>
      <c r="I208" s="342">
        <v>106164.435</v>
      </c>
      <c r="J208" s="342">
        <v>10</v>
      </c>
      <c r="K208" s="343">
        <v>1061330.7000000002</v>
      </c>
    </row>
    <row r="209" spans="1:11" ht="14.4" customHeight="1" x14ac:dyDescent="0.3">
      <c r="A209" s="338" t="s">
        <v>343</v>
      </c>
      <c r="B209" s="339" t="s">
        <v>515</v>
      </c>
      <c r="C209" s="340" t="s">
        <v>348</v>
      </c>
      <c r="D209" s="341" t="s">
        <v>516</v>
      </c>
      <c r="E209" s="340" t="s">
        <v>1401</v>
      </c>
      <c r="F209" s="341" t="s">
        <v>1402</v>
      </c>
      <c r="G209" s="340" t="s">
        <v>924</v>
      </c>
      <c r="H209" s="340" t="s">
        <v>925</v>
      </c>
      <c r="I209" s="342">
        <v>14028.74</v>
      </c>
      <c r="J209" s="342">
        <v>4</v>
      </c>
      <c r="K209" s="343">
        <v>56114.96</v>
      </c>
    </row>
    <row r="210" spans="1:11" ht="14.4" customHeight="1" x14ac:dyDescent="0.3">
      <c r="A210" s="338" t="s">
        <v>343</v>
      </c>
      <c r="B210" s="339" t="s">
        <v>515</v>
      </c>
      <c r="C210" s="340" t="s">
        <v>348</v>
      </c>
      <c r="D210" s="341" t="s">
        <v>516</v>
      </c>
      <c r="E210" s="340" t="s">
        <v>1401</v>
      </c>
      <c r="F210" s="341" t="s">
        <v>1402</v>
      </c>
      <c r="G210" s="340" t="s">
        <v>926</v>
      </c>
      <c r="H210" s="340" t="s">
        <v>927</v>
      </c>
      <c r="I210" s="342">
        <v>597.20499999999993</v>
      </c>
      <c r="J210" s="342">
        <v>40</v>
      </c>
      <c r="K210" s="343">
        <v>23888.309999999998</v>
      </c>
    </row>
    <row r="211" spans="1:11" ht="14.4" customHeight="1" x14ac:dyDescent="0.3">
      <c r="A211" s="338" t="s">
        <v>343</v>
      </c>
      <c r="B211" s="339" t="s">
        <v>515</v>
      </c>
      <c r="C211" s="340" t="s">
        <v>348</v>
      </c>
      <c r="D211" s="341" t="s">
        <v>516</v>
      </c>
      <c r="E211" s="340" t="s">
        <v>1401</v>
      </c>
      <c r="F211" s="341" t="s">
        <v>1402</v>
      </c>
      <c r="G211" s="340" t="s">
        <v>928</v>
      </c>
      <c r="H211" s="340" t="s">
        <v>929</v>
      </c>
      <c r="I211" s="342">
        <v>598.95000000000005</v>
      </c>
      <c r="J211" s="342">
        <v>20</v>
      </c>
      <c r="K211" s="343">
        <v>11979</v>
      </c>
    </row>
    <row r="212" spans="1:11" ht="14.4" customHeight="1" x14ac:dyDescent="0.3">
      <c r="A212" s="338" t="s">
        <v>343</v>
      </c>
      <c r="B212" s="339" t="s">
        <v>515</v>
      </c>
      <c r="C212" s="340" t="s">
        <v>348</v>
      </c>
      <c r="D212" s="341" t="s">
        <v>516</v>
      </c>
      <c r="E212" s="340" t="s">
        <v>1401</v>
      </c>
      <c r="F212" s="341" t="s">
        <v>1402</v>
      </c>
      <c r="G212" s="340" t="s">
        <v>930</v>
      </c>
      <c r="H212" s="340" t="s">
        <v>931</v>
      </c>
      <c r="I212" s="342">
        <v>431.18</v>
      </c>
      <c r="J212" s="342">
        <v>20</v>
      </c>
      <c r="K212" s="343">
        <v>8623.67</v>
      </c>
    </row>
    <row r="213" spans="1:11" ht="14.4" customHeight="1" x14ac:dyDescent="0.3">
      <c r="A213" s="338" t="s">
        <v>343</v>
      </c>
      <c r="B213" s="339" t="s">
        <v>515</v>
      </c>
      <c r="C213" s="340" t="s">
        <v>348</v>
      </c>
      <c r="D213" s="341" t="s">
        <v>516</v>
      </c>
      <c r="E213" s="340" t="s">
        <v>1401</v>
      </c>
      <c r="F213" s="341" t="s">
        <v>1402</v>
      </c>
      <c r="G213" s="340" t="s">
        <v>932</v>
      </c>
      <c r="H213" s="340" t="s">
        <v>933</v>
      </c>
      <c r="I213" s="342">
        <v>5315.53</v>
      </c>
      <c r="J213" s="342">
        <v>2</v>
      </c>
      <c r="K213" s="343">
        <v>10631.06</v>
      </c>
    </row>
    <row r="214" spans="1:11" ht="14.4" customHeight="1" x14ac:dyDescent="0.3">
      <c r="A214" s="338" t="s">
        <v>343</v>
      </c>
      <c r="B214" s="339" t="s">
        <v>515</v>
      </c>
      <c r="C214" s="340" t="s">
        <v>348</v>
      </c>
      <c r="D214" s="341" t="s">
        <v>516</v>
      </c>
      <c r="E214" s="340" t="s">
        <v>1401</v>
      </c>
      <c r="F214" s="341" t="s">
        <v>1402</v>
      </c>
      <c r="G214" s="340" t="s">
        <v>934</v>
      </c>
      <c r="H214" s="340" t="s">
        <v>935</v>
      </c>
      <c r="I214" s="342">
        <v>590.91999999999996</v>
      </c>
      <c r="J214" s="342">
        <v>90</v>
      </c>
      <c r="K214" s="343">
        <v>53182.51</v>
      </c>
    </row>
    <row r="215" spans="1:11" ht="14.4" customHeight="1" x14ac:dyDescent="0.3">
      <c r="A215" s="338" t="s">
        <v>343</v>
      </c>
      <c r="B215" s="339" t="s">
        <v>515</v>
      </c>
      <c r="C215" s="340" t="s">
        <v>348</v>
      </c>
      <c r="D215" s="341" t="s">
        <v>516</v>
      </c>
      <c r="E215" s="340" t="s">
        <v>1401</v>
      </c>
      <c r="F215" s="341" t="s">
        <v>1402</v>
      </c>
      <c r="G215" s="340" t="s">
        <v>936</v>
      </c>
      <c r="H215" s="340" t="s">
        <v>937</v>
      </c>
      <c r="I215" s="342">
        <v>358.77</v>
      </c>
      <c r="J215" s="342">
        <v>90</v>
      </c>
      <c r="K215" s="343">
        <v>32289.38</v>
      </c>
    </row>
    <row r="216" spans="1:11" ht="14.4" customHeight="1" x14ac:dyDescent="0.3">
      <c r="A216" s="338" t="s">
        <v>343</v>
      </c>
      <c r="B216" s="339" t="s">
        <v>515</v>
      </c>
      <c r="C216" s="340" t="s">
        <v>348</v>
      </c>
      <c r="D216" s="341" t="s">
        <v>516</v>
      </c>
      <c r="E216" s="340" t="s">
        <v>1401</v>
      </c>
      <c r="F216" s="341" t="s">
        <v>1402</v>
      </c>
      <c r="G216" s="340" t="s">
        <v>938</v>
      </c>
      <c r="H216" s="340" t="s">
        <v>939</v>
      </c>
      <c r="I216" s="342">
        <v>87622.39</v>
      </c>
      <c r="J216" s="342">
        <v>2</v>
      </c>
      <c r="K216" s="343">
        <v>175244.78</v>
      </c>
    </row>
    <row r="217" spans="1:11" ht="14.4" customHeight="1" x14ac:dyDescent="0.3">
      <c r="A217" s="338" t="s">
        <v>343</v>
      </c>
      <c r="B217" s="339" t="s">
        <v>515</v>
      </c>
      <c r="C217" s="340" t="s">
        <v>348</v>
      </c>
      <c r="D217" s="341" t="s">
        <v>516</v>
      </c>
      <c r="E217" s="340" t="s">
        <v>1401</v>
      </c>
      <c r="F217" s="341" t="s">
        <v>1402</v>
      </c>
      <c r="G217" s="340" t="s">
        <v>940</v>
      </c>
      <c r="H217" s="340" t="s">
        <v>941</v>
      </c>
      <c r="I217" s="342">
        <v>95588.07</v>
      </c>
      <c r="J217" s="342">
        <v>2</v>
      </c>
      <c r="K217" s="343">
        <v>191176.13</v>
      </c>
    </row>
    <row r="218" spans="1:11" ht="14.4" customHeight="1" x14ac:dyDescent="0.3">
      <c r="A218" s="338" t="s">
        <v>343</v>
      </c>
      <c r="B218" s="339" t="s">
        <v>515</v>
      </c>
      <c r="C218" s="340" t="s">
        <v>348</v>
      </c>
      <c r="D218" s="341" t="s">
        <v>516</v>
      </c>
      <c r="E218" s="340" t="s">
        <v>1401</v>
      </c>
      <c r="F218" s="341" t="s">
        <v>1402</v>
      </c>
      <c r="G218" s="340" t="s">
        <v>942</v>
      </c>
      <c r="H218" s="340" t="s">
        <v>943</v>
      </c>
      <c r="I218" s="342">
        <v>37326.57</v>
      </c>
      <c r="J218" s="342">
        <v>2</v>
      </c>
      <c r="K218" s="343">
        <v>74653.13</v>
      </c>
    </row>
    <row r="219" spans="1:11" ht="14.4" customHeight="1" x14ac:dyDescent="0.3">
      <c r="A219" s="338" t="s">
        <v>343</v>
      </c>
      <c r="B219" s="339" t="s">
        <v>515</v>
      </c>
      <c r="C219" s="340" t="s">
        <v>348</v>
      </c>
      <c r="D219" s="341" t="s">
        <v>516</v>
      </c>
      <c r="E219" s="340" t="s">
        <v>1403</v>
      </c>
      <c r="F219" s="341" t="s">
        <v>1404</v>
      </c>
      <c r="G219" s="340" t="s">
        <v>944</v>
      </c>
      <c r="H219" s="340" t="s">
        <v>945</v>
      </c>
      <c r="I219" s="342">
        <v>173.03</v>
      </c>
      <c r="J219" s="342">
        <v>20</v>
      </c>
      <c r="K219" s="343">
        <v>3460.6</v>
      </c>
    </row>
    <row r="220" spans="1:11" ht="14.4" customHeight="1" x14ac:dyDescent="0.3">
      <c r="A220" s="338" t="s">
        <v>343</v>
      </c>
      <c r="B220" s="339" t="s">
        <v>515</v>
      </c>
      <c r="C220" s="340" t="s">
        <v>348</v>
      </c>
      <c r="D220" s="341" t="s">
        <v>516</v>
      </c>
      <c r="E220" s="340" t="s">
        <v>1405</v>
      </c>
      <c r="F220" s="341" t="s">
        <v>1406</v>
      </c>
      <c r="G220" s="340" t="s">
        <v>946</v>
      </c>
      <c r="H220" s="340" t="s">
        <v>947</v>
      </c>
      <c r="I220" s="342">
        <v>95.72</v>
      </c>
      <c r="J220" s="342">
        <v>30</v>
      </c>
      <c r="K220" s="343">
        <v>2871.65</v>
      </c>
    </row>
    <row r="221" spans="1:11" ht="14.4" customHeight="1" x14ac:dyDescent="0.3">
      <c r="A221" s="338" t="s">
        <v>343</v>
      </c>
      <c r="B221" s="339" t="s">
        <v>515</v>
      </c>
      <c r="C221" s="340" t="s">
        <v>348</v>
      </c>
      <c r="D221" s="341" t="s">
        <v>516</v>
      </c>
      <c r="E221" s="340" t="s">
        <v>1405</v>
      </c>
      <c r="F221" s="341" t="s">
        <v>1406</v>
      </c>
      <c r="G221" s="340" t="s">
        <v>948</v>
      </c>
      <c r="H221" s="340" t="s">
        <v>949</v>
      </c>
      <c r="I221" s="342">
        <v>16322.9</v>
      </c>
      <c r="J221" s="342">
        <v>1</v>
      </c>
      <c r="K221" s="343">
        <v>16322.9</v>
      </c>
    </row>
    <row r="222" spans="1:11" ht="14.4" customHeight="1" x14ac:dyDescent="0.3">
      <c r="A222" s="338" t="s">
        <v>343</v>
      </c>
      <c r="B222" s="339" t="s">
        <v>515</v>
      </c>
      <c r="C222" s="340" t="s">
        <v>348</v>
      </c>
      <c r="D222" s="341" t="s">
        <v>516</v>
      </c>
      <c r="E222" s="340" t="s">
        <v>1407</v>
      </c>
      <c r="F222" s="341" t="s">
        <v>1408</v>
      </c>
      <c r="G222" s="340" t="s">
        <v>950</v>
      </c>
      <c r="H222" s="340" t="s">
        <v>951</v>
      </c>
      <c r="I222" s="342">
        <v>8.17</v>
      </c>
      <c r="J222" s="342">
        <v>40</v>
      </c>
      <c r="K222" s="343">
        <v>326.8</v>
      </c>
    </row>
    <row r="223" spans="1:11" ht="14.4" customHeight="1" x14ac:dyDescent="0.3">
      <c r="A223" s="338" t="s">
        <v>343</v>
      </c>
      <c r="B223" s="339" t="s">
        <v>515</v>
      </c>
      <c r="C223" s="340" t="s">
        <v>348</v>
      </c>
      <c r="D223" s="341" t="s">
        <v>516</v>
      </c>
      <c r="E223" s="340" t="s">
        <v>1407</v>
      </c>
      <c r="F223" s="341" t="s">
        <v>1408</v>
      </c>
      <c r="G223" s="340" t="s">
        <v>952</v>
      </c>
      <c r="H223" s="340" t="s">
        <v>953</v>
      </c>
      <c r="I223" s="342">
        <v>46.588333333333338</v>
      </c>
      <c r="J223" s="342">
        <v>525</v>
      </c>
      <c r="K223" s="343">
        <v>24457.13</v>
      </c>
    </row>
    <row r="224" spans="1:11" ht="14.4" customHeight="1" x14ac:dyDescent="0.3">
      <c r="A224" s="338" t="s">
        <v>343</v>
      </c>
      <c r="B224" s="339" t="s">
        <v>515</v>
      </c>
      <c r="C224" s="340" t="s">
        <v>348</v>
      </c>
      <c r="D224" s="341" t="s">
        <v>516</v>
      </c>
      <c r="E224" s="340" t="s">
        <v>1407</v>
      </c>
      <c r="F224" s="341" t="s">
        <v>1408</v>
      </c>
      <c r="G224" s="340" t="s">
        <v>954</v>
      </c>
      <c r="H224" s="340" t="s">
        <v>955</v>
      </c>
      <c r="I224" s="342">
        <v>6125.13</v>
      </c>
      <c r="J224" s="342">
        <v>4</v>
      </c>
      <c r="K224" s="343">
        <v>24500.52</v>
      </c>
    </row>
    <row r="225" spans="1:11" ht="14.4" customHeight="1" x14ac:dyDescent="0.3">
      <c r="A225" s="338" t="s">
        <v>343</v>
      </c>
      <c r="B225" s="339" t="s">
        <v>515</v>
      </c>
      <c r="C225" s="340" t="s">
        <v>348</v>
      </c>
      <c r="D225" s="341" t="s">
        <v>516</v>
      </c>
      <c r="E225" s="340" t="s">
        <v>1407</v>
      </c>
      <c r="F225" s="341" t="s">
        <v>1408</v>
      </c>
      <c r="G225" s="340" t="s">
        <v>956</v>
      </c>
      <c r="H225" s="340" t="s">
        <v>957</v>
      </c>
      <c r="I225" s="342">
        <v>125.23</v>
      </c>
      <c r="J225" s="342">
        <v>100</v>
      </c>
      <c r="K225" s="343">
        <v>12523.5</v>
      </c>
    </row>
    <row r="226" spans="1:11" ht="14.4" customHeight="1" x14ac:dyDescent="0.3">
      <c r="A226" s="338" t="s">
        <v>343</v>
      </c>
      <c r="B226" s="339" t="s">
        <v>515</v>
      </c>
      <c r="C226" s="340" t="s">
        <v>348</v>
      </c>
      <c r="D226" s="341" t="s">
        <v>516</v>
      </c>
      <c r="E226" s="340" t="s">
        <v>1409</v>
      </c>
      <c r="F226" s="341" t="s">
        <v>1410</v>
      </c>
      <c r="G226" s="340" t="s">
        <v>958</v>
      </c>
      <c r="H226" s="340" t="s">
        <v>959</v>
      </c>
      <c r="I226" s="342">
        <v>131.47</v>
      </c>
      <c r="J226" s="342">
        <v>204</v>
      </c>
      <c r="K226" s="343">
        <v>26820.65</v>
      </c>
    </row>
    <row r="227" spans="1:11" ht="14.4" customHeight="1" x14ac:dyDescent="0.3">
      <c r="A227" s="338" t="s">
        <v>343</v>
      </c>
      <c r="B227" s="339" t="s">
        <v>515</v>
      </c>
      <c r="C227" s="340" t="s">
        <v>348</v>
      </c>
      <c r="D227" s="341" t="s">
        <v>516</v>
      </c>
      <c r="E227" s="340" t="s">
        <v>1409</v>
      </c>
      <c r="F227" s="341" t="s">
        <v>1410</v>
      </c>
      <c r="G227" s="340" t="s">
        <v>960</v>
      </c>
      <c r="H227" s="340" t="s">
        <v>961</v>
      </c>
      <c r="I227" s="342">
        <v>234.43000000000004</v>
      </c>
      <c r="J227" s="342">
        <v>936</v>
      </c>
      <c r="K227" s="343">
        <v>219420.5</v>
      </c>
    </row>
    <row r="228" spans="1:11" ht="14.4" customHeight="1" x14ac:dyDescent="0.3">
      <c r="A228" s="338" t="s">
        <v>343</v>
      </c>
      <c r="B228" s="339" t="s">
        <v>515</v>
      </c>
      <c r="C228" s="340" t="s">
        <v>348</v>
      </c>
      <c r="D228" s="341" t="s">
        <v>516</v>
      </c>
      <c r="E228" s="340" t="s">
        <v>1409</v>
      </c>
      <c r="F228" s="341" t="s">
        <v>1410</v>
      </c>
      <c r="G228" s="340" t="s">
        <v>962</v>
      </c>
      <c r="H228" s="340" t="s">
        <v>963</v>
      </c>
      <c r="I228" s="342">
        <v>57.447499999999998</v>
      </c>
      <c r="J228" s="342">
        <v>468</v>
      </c>
      <c r="K228" s="343">
        <v>26969.83</v>
      </c>
    </row>
    <row r="229" spans="1:11" ht="14.4" customHeight="1" x14ac:dyDescent="0.3">
      <c r="A229" s="338" t="s">
        <v>343</v>
      </c>
      <c r="B229" s="339" t="s">
        <v>515</v>
      </c>
      <c r="C229" s="340" t="s">
        <v>348</v>
      </c>
      <c r="D229" s="341" t="s">
        <v>516</v>
      </c>
      <c r="E229" s="340" t="s">
        <v>1409</v>
      </c>
      <c r="F229" s="341" t="s">
        <v>1410</v>
      </c>
      <c r="G229" s="340" t="s">
        <v>964</v>
      </c>
      <c r="H229" s="340" t="s">
        <v>965</v>
      </c>
      <c r="I229" s="342">
        <v>31.28</v>
      </c>
      <c r="J229" s="342">
        <v>2340</v>
      </c>
      <c r="K229" s="343">
        <v>73774.8</v>
      </c>
    </row>
    <row r="230" spans="1:11" ht="14.4" customHeight="1" x14ac:dyDescent="0.3">
      <c r="A230" s="338" t="s">
        <v>343</v>
      </c>
      <c r="B230" s="339" t="s">
        <v>515</v>
      </c>
      <c r="C230" s="340" t="s">
        <v>348</v>
      </c>
      <c r="D230" s="341" t="s">
        <v>516</v>
      </c>
      <c r="E230" s="340" t="s">
        <v>1409</v>
      </c>
      <c r="F230" s="341" t="s">
        <v>1410</v>
      </c>
      <c r="G230" s="340" t="s">
        <v>966</v>
      </c>
      <c r="H230" s="340" t="s">
        <v>967</v>
      </c>
      <c r="I230" s="342">
        <v>28.099999999999998</v>
      </c>
      <c r="J230" s="342">
        <v>144</v>
      </c>
      <c r="K230" s="343">
        <v>4046.44</v>
      </c>
    </row>
    <row r="231" spans="1:11" ht="14.4" customHeight="1" x14ac:dyDescent="0.3">
      <c r="A231" s="338" t="s">
        <v>343</v>
      </c>
      <c r="B231" s="339" t="s">
        <v>515</v>
      </c>
      <c r="C231" s="340" t="s">
        <v>348</v>
      </c>
      <c r="D231" s="341" t="s">
        <v>516</v>
      </c>
      <c r="E231" s="340" t="s">
        <v>1409</v>
      </c>
      <c r="F231" s="341" t="s">
        <v>1410</v>
      </c>
      <c r="G231" s="340" t="s">
        <v>968</v>
      </c>
      <c r="H231" s="340" t="s">
        <v>969</v>
      </c>
      <c r="I231" s="342">
        <v>414.29</v>
      </c>
      <c r="J231" s="342">
        <v>24</v>
      </c>
      <c r="K231" s="343">
        <v>9942.9</v>
      </c>
    </row>
    <row r="232" spans="1:11" ht="14.4" customHeight="1" x14ac:dyDescent="0.3">
      <c r="A232" s="338" t="s">
        <v>343</v>
      </c>
      <c r="B232" s="339" t="s">
        <v>515</v>
      </c>
      <c r="C232" s="340" t="s">
        <v>348</v>
      </c>
      <c r="D232" s="341" t="s">
        <v>516</v>
      </c>
      <c r="E232" s="340" t="s">
        <v>1409</v>
      </c>
      <c r="F232" s="341" t="s">
        <v>1410</v>
      </c>
      <c r="G232" s="340" t="s">
        <v>970</v>
      </c>
      <c r="H232" s="340" t="s">
        <v>971</v>
      </c>
      <c r="I232" s="342">
        <v>45.376999999999995</v>
      </c>
      <c r="J232" s="342">
        <v>2664</v>
      </c>
      <c r="K232" s="343">
        <v>120884.78</v>
      </c>
    </row>
    <row r="233" spans="1:11" ht="14.4" customHeight="1" x14ac:dyDescent="0.3">
      <c r="A233" s="338" t="s">
        <v>343</v>
      </c>
      <c r="B233" s="339" t="s">
        <v>515</v>
      </c>
      <c r="C233" s="340" t="s">
        <v>348</v>
      </c>
      <c r="D233" s="341" t="s">
        <v>516</v>
      </c>
      <c r="E233" s="340" t="s">
        <v>1409</v>
      </c>
      <c r="F233" s="341" t="s">
        <v>1410</v>
      </c>
      <c r="G233" s="340" t="s">
        <v>972</v>
      </c>
      <c r="H233" s="340" t="s">
        <v>973</v>
      </c>
      <c r="I233" s="342">
        <v>44.134999999999991</v>
      </c>
      <c r="J233" s="342">
        <v>1512</v>
      </c>
      <c r="K233" s="343">
        <v>64861.739999999991</v>
      </c>
    </row>
    <row r="234" spans="1:11" ht="14.4" customHeight="1" x14ac:dyDescent="0.3">
      <c r="A234" s="338" t="s">
        <v>343</v>
      </c>
      <c r="B234" s="339" t="s">
        <v>515</v>
      </c>
      <c r="C234" s="340" t="s">
        <v>348</v>
      </c>
      <c r="D234" s="341" t="s">
        <v>516</v>
      </c>
      <c r="E234" s="340" t="s">
        <v>1409</v>
      </c>
      <c r="F234" s="341" t="s">
        <v>1410</v>
      </c>
      <c r="G234" s="340" t="s">
        <v>974</v>
      </c>
      <c r="H234" s="340" t="s">
        <v>975</v>
      </c>
      <c r="I234" s="342">
        <v>47.744</v>
      </c>
      <c r="J234" s="342">
        <v>720</v>
      </c>
      <c r="K234" s="343">
        <v>34802.99</v>
      </c>
    </row>
    <row r="235" spans="1:11" ht="14.4" customHeight="1" x14ac:dyDescent="0.3">
      <c r="A235" s="338" t="s">
        <v>343</v>
      </c>
      <c r="B235" s="339" t="s">
        <v>515</v>
      </c>
      <c r="C235" s="340" t="s">
        <v>348</v>
      </c>
      <c r="D235" s="341" t="s">
        <v>516</v>
      </c>
      <c r="E235" s="340" t="s">
        <v>1409</v>
      </c>
      <c r="F235" s="341" t="s">
        <v>1410</v>
      </c>
      <c r="G235" s="340" t="s">
        <v>976</v>
      </c>
      <c r="H235" s="340" t="s">
        <v>977</v>
      </c>
      <c r="I235" s="342">
        <v>31.412727272727274</v>
      </c>
      <c r="J235" s="342">
        <v>3276</v>
      </c>
      <c r="K235" s="343">
        <v>104660.17000000001</v>
      </c>
    </row>
    <row r="236" spans="1:11" ht="14.4" customHeight="1" x14ac:dyDescent="0.3">
      <c r="A236" s="338" t="s">
        <v>343</v>
      </c>
      <c r="B236" s="339" t="s">
        <v>515</v>
      </c>
      <c r="C236" s="340" t="s">
        <v>348</v>
      </c>
      <c r="D236" s="341" t="s">
        <v>516</v>
      </c>
      <c r="E236" s="340" t="s">
        <v>1409</v>
      </c>
      <c r="F236" s="341" t="s">
        <v>1410</v>
      </c>
      <c r="G236" s="340" t="s">
        <v>978</v>
      </c>
      <c r="H236" s="340" t="s">
        <v>979</v>
      </c>
      <c r="I236" s="342">
        <v>45.965000000000003</v>
      </c>
      <c r="J236" s="342">
        <v>1584</v>
      </c>
      <c r="K236" s="343">
        <v>71908.26999999999</v>
      </c>
    </row>
    <row r="237" spans="1:11" ht="14.4" customHeight="1" x14ac:dyDescent="0.3">
      <c r="A237" s="338" t="s">
        <v>343</v>
      </c>
      <c r="B237" s="339" t="s">
        <v>515</v>
      </c>
      <c r="C237" s="340" t="s">
        <v>348</v>
      </c>
      <c r="D237" s="341" t="s">
        <v>516</v>
      </c>
      <c r="E237" s="340" t="s">
        <v>1409</v>
      </c>
      <c r="F237" s="341" t="s">
        <v>1410</v>
      </c>
      <c r="G237" s="340" t="s">
        <v>980</v>
      </c>
      <c r="H237" s="340" t="s">
        <v>981</v>
      </c>
      <c r="I237" s="342">
        <v>49.343333333333334</v>
      </c>
      <c r="J237" s="342">
        <v>516</v>
      </c>
      <c r="K237" s="343">
        <v>24356.469999999998</v>
      </c>
    </row>
    <row r="238" spans="1:11" ht="14.4" customHeight="1" x14ac:dyDescent="0.3">
      <c r="A238" s="338" t="s">
        <v>343</v>
      </c>
      <c r="B238" s="339" t="s">
        <v>515</v>
      </c>
      <c r="C238" s="340" t="s">
        <v>348</v>
      </c>
      <c r="D238" s="341" t="s">
        <v>516</v>
      </c>
      <c r="E238" s="340" t="s">
        <v>1409</v>
      </c>
      <c r="F238" s="341" t="s">
        <v>1410</v>
      </c>
      <c r="G238" s="340" t="s">
        <v>982</v>
      </c>
      <c r="H238" s="340" t="s">
        <v>983</v>
      </c>
      <c r="I238" s="342">
        <v>32.795000000000009</v>
      </c>
      <c r="J238" s="342">
        <v>1692</v>
      </c>
      <c r="K238" s="343">
        <v>56201.25</v>
      </c>
    </row>
    <row r="239" spans="1:11" ht="14.4" customHeight="1" x14ac:dyDescent="0.3">
      <c r="A239" s="338" t="s">
        <v>343</v>
      </c>
      <c r="B239" s="339" t="s">
        <v>515</v>
      </c>
      <c r="C239" s="340" t="s">
        <v>348</v>
      </c>
      <c r="D239" s="341" t="s">
        <v>516</v>
      </c>
      <c r="E239" s="340" t="s">
        <v>1409</v>
      </c>
      <c r="F239" s="341" t="s">
        <v>1410</v>
      </c>
      <c r="G239" s="340" t="s">
        <v>984</v>
      </c>
      <c r="H239" s="340" t="s">
        <v>985</v>
      </c>
      <c r="I239" s="342">
        <v>45.61</v>
      </c>
      <c r="J239" s="342">
        <v>360</v>
      </c>
      <c r="K239" s="343">
        <v>16418.55</v>
      </c>
    </row>
    <row r="240" spans="1:11" ht="14.4" customHeight="1" x14ac:dyDescent="0.3">
      <c r="A240" s="338" t="s">
        <v>343</v>
      </c>
      <c r="B240" s="339" t="s">
        <v>515</v>
      </c>
      <c r="C240" s="340" t="s">
        <v>348</v>
      </c>
      <c r="D240" s="341" t="s">
        <v>516</v>
      </c>
      <c r="E240" s="340" t="s">
        <v>1409</v>
      </c>
      <c r="F240" s="341" t="s">
        <v>1410</v>
      </c>
      <c r="G240" s="340" t="s">
        <v>986</v>
      </c>
      <c r="H240" s="340" t="s">
        <v>987</v>
      </c>
      <c r="I240" s="342">
        <v>34.119999999999997</v>
      </c>
      <c r="J240" s="342">
        <v>216</v>
      </c>
      <c r="K240" s="343">
        <v>7369.9599999999991</v>
      </c>
    </row>
    <row r="241" spans="1:11" ht="14.4" customHeight="1" x14ac:dyDescent="0.3">
      <c r="A241" s="338" t="s">
        <v>343</v>
      </c>
      <c r="B241" s="339" t="s">
        <v>515</v>
      </c>
      <c r="C241" s="340" t="s">
        <v>348</v>
      </c>
      <c r="D241" s="341" t="s">
        <v>516</v>
      </c>
      <c r="E241" s="340" t="s">
        <v>1409</v>
      </c>
      <c r="F241" s="341" t="s">
        <v>1410</v>
      </c>
      <c r="G241" s="340" t="s">
        <v>988</v>
      </c>
      <c r="H241" s="340" t="s">
        <v>989</v>
      </c>
      <c r="I241" s="342">
        <v>123.66</v>
      </c>
      <c r="J241" s="342">
        <v>72</v>
      </c>
      <c r="K241" s="343">
        <v>8903.2999999999993</v>
      </c>
    </row>
    <row r="242" spans="1:11" ht="14.4" customHeight="1" x14ac:dyDescent="0.3">
      <c r="A242" s="338" t="s">
        <v>343</v>
      </c>
      <c r="B242" s="339" t="s">
        <v>515</v>
      </c>
      <c r="C242" s="340" t="s">
        <v>348</v>
      </c>
      <c r="D242" s="341" t="s">
        <v>516</v>
      </c>
      <c r="E242" s="340" t="s">
        <v>1409</v>
      </c>
      <c r="F242" s="341" t="s">
        <v>1410</v>
      </c>
      <c r="G242" s="340" t="s">
        <v>990</v>
      </c>
      <c r="H242" s="340" t="s">
        <v>991</v>
      </c>
      <c r="I242" s="342">
        <v>190.52666666666667</v>
      </c>
      <c r="J242" s="342">
        <v>480</v>
      </c>
      <c r="K242" s="343">
        <v>91451.459999999992</v>
      </c>
    </row>
    <row r="243" spans="1:11" ht="14.4" customHeight="1" x14ac:dyDescent="0.3">
      <c r="A243" s="338" t="s">
        <v>343</v>
      </c>
      <c r="B243" s="339" t="s">
        <v>515</v>
      </c>
      <c r="C243" s="340" t="s">
        <v>348</v>
      </c>
      <c r="D243" s="341" t="s">
        <v>516</v>
      </c>
      <c r="E243" s="340" t="s">
        <v>1409</v>
      </c>
      <c r="F243" s="341" t="s">
        <v>1410</v>
      </c>
      <c r="G243" s="340" t="s">
        <v>992</v>
      </c>
      <c r="H243" s="340" t="s">
        <v>993</v>
      </c>
      <c r="I243" s="342">
        <v>31.360000000000003</v>
      </c>
      <c r="J243" s="342">
        <v>3720</v>
      </c>
      <c r="K243" s="343">
        <v>116661.68000000001</v>
      </c>
    </row>
    <row r="244" spans="1:11" ht="14.4" customHeight="1" x14ac:dyDescent="0.3">
      <c r="A244" s="338" t="s">
        <v>343</v>
      </c>
      <c r="B244" s="339" t="s">
        <v>515</v>
      </c>
      <c r="C244" s="340" t="s">
        <v>348</v>
      </c>
      <c r="D244" s="341" t="s">
        <v>516</v>
      </c>
      <c r="E244" s="340" t="s">
        <v>1409</v>
      </c>
      <c r="F244" s="341" t="s">
        <v>1410</v>
      </c>
      <c r="G244" s="340" t="s">
        <v>994</v>
      </c>
      <c r="H244" s="340" t="s">
        <v>995</v>
      </c>
      <c r="I244" s="342">
        <v>30.316666666666663</v>
      </c>
      <c r="J244" s="342">
        <v>5652</v>
      </c>
      <c r="K244" s="343">
        <v>171344.05</v>
      </c>
    </row>
    <row r="245" spans="1:11" ht="14.4" customHeight="1" x14ac:dyDescent="0.3">
      <c r="A245" s="338" t="s">
        <v>343</v>
      </c>
      <c r="B245" s="339" t="s">
        <v>515</v>
      </c>
      <c r="C245" s="340" t="s">
        <v>348</v>
      </c>
      <c r="D245" s="341" t="s">
        <v>516</v>
      </c>
      <c r="E245" s="340" t="s">
        <v>1409</v>
      </c>
      <c r="F245" s="341" t="s">
        <v>1410</v>
      </c>
      <c r="G245" s="340" t="s">
        <v>996</v>
      </c>
      <c r="H245" s="340" t="s">
        <v>997</v>
      </c>
      <c r="I245" s="342">
        <v>32.409999999999997</v>
      </c>
      <c r="J245" s="342">
        <v>720</v>
      </c>
      <c r="K245" s="343">
        <v>23334.42</v>
      </c>
    </row>
    <row r="246" spans="1:11" ht="14.4" customHeight="1" x14ac:dyDescent="0.3">
      <c r="A246" s="338" t="s">
        <v>343</v>
      </c>
      <c r="B246" s="339" t="s">
        <v>515</v>
      </c>
      <c r="C246" s="340" t="s">
        <v>348</v>
      </c>
      <c r="D246" s="341" t="s">
        <v>516</v>
      </c>
      <c r="E246" s="340" t="s">
        <v>1409</v>
      </c>
      <c r="F246" s="341" t="s">
        <v>1410</v>
      </c>
      <c r="G246" s="340" t="s">
        <v>998</v>
      </c>
      <c r="H246" s="340" t="s">
        <v>999</v>
      </c>
      <c r="I246" s="342">
        <v>133.27600000000001</v>
      </c>
      <c r="J246" s="342">
        <v>360</v>
      </c>
      <c r="K246" s="343">
        <v>47978.46</v>
      </c>
    </row>
    <row r="247" spans="1:11" ht="14.4" customHeight="1" x14ac:dyDescent="0.3">
      <c r="A247" s="338" t="s">
        <v>343</v>
      </c>
      <c r="B247" s="339" t="s">
        <v>515</v>
      </c>
      <c r="C247" s="340" t="s">
        <v>348</v>
      </c>
      <c r="D247" s="341" t="s">
        <v>516</v>
      </c>
      <c r="E247" s="340" t="s">
        <v>1409</v>
      </c>
      <c r="F247" s="341" t="s">
        <v>1410</v>
      </c>
      <c r="G247" s="340" t="s">
        <v>1000</v>
      </c>
      <c r="H247" s="340" t="s">
        <v>1001</v>
      </c>
      <c r="I247" s="342">
        <v>45.38</v>
      </c>
      <c r="J247" s="342">
        <v>360</v>
      </c>
      <c r="K247" s="343">
        <v>16336.44</v>
      </c>
    </row>
    <row r="248" spans="1:11" ht="14.4" customHeight="1" x14ac:dyDescent="0.3">
      <c r="A248" s="338" t="s">
        <v>343</v>
      </c>
      <c r="B248" s="339" t="s">
        <v>515</v>
      </c>
      <c r="C248" s="340" t="s">
        <v>348</v>
      </c>
      <c r="D248" s="341" t="s">
        <v>516</v>
      </c>
      <c r="E248" s="340" t="s">
        <v>1409</v>
      </c>
      <c r="F248" s="341" t="s">
        <v>1410</v>
      </c>
      <c r="G248" s="340" t="s">
        <v>1002</v>
      </c>
      <c r="H248" s="340" t="s">
        <v>1003</v>
      </c>
      <c r="I248" s="342">
        <v>60.57</v>
      </c>
      <c r="J248" s="342">
        <v>72</v>
      </c>
      <c r="K248" s="343">
        <v>4360.8</v>
      </c>
    </row>
    <row r="249" spans="1:11" ht="14.4" customHeight="1" x14ac:dyDescent="0.3">
      <c r="A249" s="338" t="s">
        <v>343</v>
      </c>
      <c r="B249" s="339" t="s">
        <v>515</v>
      </c>
      <c r="C249" s="340" t="s">
        <v>348</v>
      </c>
      <c r="D249" s="341" t="s">
        <v>516</v>
      </c>
      <c r="E249" s="340" t="s">
        <v>1409</v>
      </c>
      <c r="F249" s="341" t="s">
        <v>1410</v>
      </c>
      <c r="G249" s="340" t="s">
        <v>1004</v>
      </c>
      <c r="H249" s="340" t="s">
        <v>1005</v>
      </c>
      <c r="I249" s="342">
        <v>86.15</v>
      </c>
      <c r="J249" s="342">
        <v>48</v>
      </c>
      <c r="K249" s="343">
        <v>4135.3999999999996</v>
      </c>
    </row>
    <row r="250" spans="1:11" ht="14.4" customHeight="1" x14ac:dyDescent="0.3">
      <c r="A250" s="338" t="s">
        <v>343</v>
      </c>
      <c r="B250" s="339" t="s">
        <v>515</v>
      </c>
      <c r="C250" s="340" t="s">
        <v>348</v>
      </c>
      <c r="D250" s="341" t="s">
        <v>516</v>
      </c>
      <c r="E250" s="340" t="s">
        <v>1409</v>
      </c>
      <c r="F250" s="341" t="s">
        <v>1410</v>
      </c>
      <c r="G250" s="340" t="s">
        <v>1006</v>
      </c>
      <c r="H250" s="340" t="s">
        <v>1007</v>
      </c>
      <c r="I250" s="342">
        <v>50.12</v>
      </c>
      <c r="J250" s="342">
        <v>540</v>
      </c>
      <c r="K250" s="343">
        <v>27063.18</v>
      </c>
    </row>
    <row r="251" spans="1:11" ht="14.4" customHeight="1" x14ac:dyDescent="0.3">
      <c r="A251" s="338" t="s">
        <v>343</v>
      </c>
      <c r="B251" s="339" t="s">
        <v>515</v>
      </c>
      <c r="C251" s="340" t="s">
        <v>348</v>
      </c>
      <c r="D251" s="341" t="s">
        <v>516</v>
      </c>
      <c r="E251" s="340" t="s">
        <v>1409</v>
      </c>
      <c r="F251" s="341" t="s">
        <v>1410</v>
      </c>
      <c r="G251" s="340" t="s">
        <v>1008</v>
      </c>
      <c r="H251" s="340" t="s">
        <v>1009</v>
      </c>
      <c r="I251" s="342">
        <v>54.109999999999992</v>
      </c>
      <c r="J251" s="342">
        <v>180</v>
      </c>
      <c r="K251" s="343">
        <v>9739.3499999999985</v>
      </c>
    </row>
    <row r="252" spans="1:11" ht="14.4" customHeight="1" x14ac:dyDescent="0.3">
      <c r="A252" s="338" t="s">
        <v>343</v>
      </c>
      <c r="B252" s="339" t="s">
        <v>515</v>
      </c>
      <c r="C252" s="340" t="s">
        <v>348</v>
      </c>
      <c r="D252" s="341" t="s">
        <v>516</v>
      </c>
      <c r="E252" s="340" t="s">
        <v>1409</v>
      </c>
      <c r="F252" s="341" t="s">
        <v>1410</v>
      </c>
      <c r="G252" s="340" t="s">
        <v>1010</v>
      </c>
      <c r="H252" s="340" t="s">
        <v>1011</v>
      </c>
      <c r="I252" s="342">
        <v>315.33</v>
      </c>
      <c r="J252" s="342">
        <v>264</v>
      </c>
      <c r="K252" s="343">
        <v>83245.86</v>
      </c>
    </row>
    <row r="253" spans="1:11" ht="14.4" customHeight="1" x14ac:dyDescent="0.3">
      <c r="A253" s="338" t="s">
        <v>343</v>
      </c>
      <c r="B253" s="339" t="s">
        <v>515</v>
      </c>
      <c r="C253" s="340" t="s">
        <v>348</v>
      </c>
      <c r="D253" s="341" t="s">
        <v>516</v>
      </c>
      <c r="E253" s="340" t="s">
        <v>1409</v>
      </c>
      <c r="F253" s="341" t="s">
        <v>1410</v>
      </c>
      <c r="G253" s="340" t="s">
        <v>1010</v>
      </c>
      <c r="H253" s="340" t="s">
        <v>1012</v>
      </c>
      <c r="I253" s="342">
        <v>315.31666666666666</v>
      </c>
      <c r="J253" s="342">
        <v>612</v>
      </c>
      <c r="K253" s="343">
        <v>192968.15999999997</v>
      </c>
    </row>
    <row r="254" spans="1:11" ht="14.4" customHeight="1" x14ac:dyDescent="0.3">
      <c r="A254" s="338" t="s">
        <v>343</v>
      </c>
      <c r="B254" s="339" t="s">
        <v>515</v>
      </c>
      <c r="C254" s="340" t="s">
        <v>348</v>
      </c>
      <c r="D254" s="341" t="s">
        <v>516</v>
      </c>
      <c r="E254" s="340" t="s">
        <v>1409</v>
      </c>
      <c r="F254" s="341" t="s">
        <v>1410</v>
      </c>
      <c r="G254" s="340" t="s">
        <v>1013</v>
      </c>
      <c r="H254" s="340" t="s">
        <v>1014</v>
      </c>
      <c r="I254" s="342">
        <v>360.29</v>
      </c>
      <c r="J254" s="342">
        <v>48</v>
      </c>
      <c r="K254" s="343">
        <v>17293.939999999999</v>
      </c>
    </row>
    <row r="255" spans="1:11" ht="14.4" customHeight="1" x14ac:dyDescent="0.3">
      <c r="A255" s="338" t="s">
        <v>343</v>
      </c>
      <c r="B255" s="339" t="s">
        <v>515</v>
      </c>
      <c r="C255" s="340" t="s">
        <v>348</v>
      </c>
      <c r="D255" s="341" t="s">
        <v>516</v>
      </c>
      <c r="E255" s="340" t="s">
        <v>1409</v>
      </c>
      <c r="F255" s="341" t="s">
        <v>1410</v>
      </c>
      <c r="G255" s="340" t="s">
        <v>1013</v>
      </c>
      <c r="H255" s="340" t="s">
        <v>1015</v>
      </c>
      <c r="I255" s="342">
        <v>360.33</v>
      </c>
      <c r="J255" s="342">
        <v>96</v>
      </c>
      <c r="K255" s="343">
        <v>34592</v>
      </c>
    </row>
    <row r="256" spans="1:11" ht="14.4" customHeight="1" x14ac:dyDescent="0.3">
      <c r="A256" s="338" t="s">
        <v>343</v>
      </c>
      <c r="B256" s="339" t="s">
        <v>515</v>
      </c>
      <c r="C256" s="340" t="s">
        <v>348</v>
      </c>
      <c r="D256" s="341" t="s">
        <v>516</v>
      </c>
      <c r="E256" s="340" t="s">
        <v>1409</v>
      </c>
      <c r="F256" s="341" t="s">
        <v>1410</v>
      </c>
      <c r="G256" s="340" t="s">
        <v>1016</v>
      </c>
      <c r="H256" s="340" t="s">
        <v>1017</v>
      </c>
      <c r="I256" s="342">
        <v>108.19</v>
      </c>
      <c r="J256" s="342">
        <v>204</v>
      </c>
      <c r="K256" s="343">
        <v>22069.190000000002</v>
      </c>
    </row>
    <row r="257" spans="1:11" ht="14.4" customHeight="1" x14ac:dyDescent="0.3">
      <c r="A257" s="338" t="s">
        <v>343</v>
      </c>
      <c r="B257" s="339" t="s">
        <v>515</v>
      </c>
      <c r="C257" s="340" t="s">
        <v>348</v>
      </c>
      <c r="D257" s="341" t="s">
        <v>516</v>
      </c>
      <c r="E257" s="340" t="s">
        <v>1409</v>
      </c>
      <c r="F257" s="341" t="s">
        <v>1410</v>
      </c>
      <c r="G257" s="340" t="s">
        <v>1018</v>
      </c>
      <c r="H257" s="340" t="s">
        <v>1019</v>
      </c>
      <c r="I257" s="342">
        <v>232.16</v>
      </c>
      <c r="J257" s="342">
        <v>72</v>
      </c>
      <c r="K257" s="343">
        <v>16715.25</v>
      </c>
    </row>
    <row r="258" spans="1:11" ht="14.4" customHeight="1" x14ac:dyDescent="0.3">
      <c r="A258" s="338" t="s">
        <v>343</v>
      </c>
      <c r="B258" s="339" t="s">
        <v>515</v>
      </c>
      <c r="C258" s="340" t="s">
        <v>348</v>
      </c>
      <c r="D258" s="341" t="s">
        <v>516</v>
      </c>
      <c r="E258" s="340" t="s">
        <v>1409</v>
      </c>
      <c r="F258" s="341" t="s">
        <v>1410</v>
      </c>
      <c r="G258" s="340" t="s">
        <v>1018</v>
      </c>
      <c r="H258" s="340" t="s">
        <v>1020</v>
      </c>
      <c r="I258" s="342">
        <v>232.17333333333332</v>
      </c>
      <c r="J258" s="342">
        <v>180</v>
      </c>
      <c r="K258" s="343">
        <v>41791.58</v>
      </c>
    </row>
    <row r="259" spans="1:11" ht="14.4" customHeight="1" x14ac:dyDescent="0.3">
      <c r="A259" s="338" t="s">
        <v>343</v>
      </c>
      <c r="B259" s="339" t="s">
        <v>515</v>
      </c>
      <c r="C259" s="340" t="s">
        <v>348</v>
      </c>
      <c r="D259" s="341" t="s">
        <v>516</v>
      </c>
      <c r="E259" s="340" t="s">
        <v>1409</v>
      </c>
      <c r="F259" s="341" t="s">
        <v>1410</v>
      </c>
      <c r="G259" s="340" t="s">
        <v>1021</v>
      </c>
      <c r="H259" s="340" t="s">
        <v>1022</v>
      </c>
      <c r="I259" s="342">
        <v>73.942499999999995</v>
      </c>
      <c r="J259" s="342">
        <v>360</v>
      </c>
      <c r="K259" s="343">
        <v>25953.58</v>
      </c>
    </row>
    <row r="260" spans="1:11" ht="14.4" customHeight="1" x14ac:dyDescent="0.3">
      <c r="A260" s="338" t="s">
        <v>343</v>
      </c>
      <c r="B260" s="339" t="s">
        <v>515</v>
      </c>
      <c r="C260" s="340" t="s">
        <v>348</v>
      </c>
      <c r="D260" s="341" t="s">
        <v>516</v>
      </c>
      <c r="E260" s="340" t="s">
        <v>1409</v>
      </c>
      <c r="F260" s="341" t="s">
        <v>1410</v>
      </c>
      <c r="G260" s="340" t="s">
        <v>1023</v>
      </c>
      <c r="H260" s="340" t="s">
        <v>1024</v>
      </c>
      <c r="I260" s="342">
        <v>457.6</v>
      </c>
      <c r="J260" s="342">
        <v>60</v>
      </c>
      <c r="K260" s="343">
        <v>27456.25</v>
      </c>
    </row>
    <row r="261" spans="1:11" ht="14.4" customHeight="1" x14ac:dyDescent="0.3">
      <c r="A261" s="338" t="s">
        <v>343</v>
      </c>
      <c r="B261" s="339" t="s">
        <v>515</v>
      </c>
      <c r="C261" s="340" t="s">
        <v>348</v>
      </c>
      <c r="D261" s="341" t="s">
        <v>516</v>
      </c>
      <c r="E261" s="340" t="s">
        <v>1409</v>
      </c>
      <c r="F261" s="341" t="s">
        <v>1410</v>
      </c>
      <c r="G261" s="340" t="s">
        <v>1025</v>
      </c>
      <c r="H261" s="340" t="s">
        <v>1026</v>
      </c>
      <c r="I261" s="342">
        <v>50.12</v>
      </c>
      <c r="J261" s="342">
        <v>324</v>
      </c>
      <c r="K261" s="343">
        <v>16237.91</v>
      </c>
    </row>
    <row r="262" spans="1:11" ht="14.4" customHeight="1" x14ac:dyDescent="0.3">
      <c r="A262" s="338" t="s">
        <v>343</v>
      </c>
      <c r="B262" s="339" t="s">
        <v>515</v>
      </c>
      <c r="C262" s="340" t="s">
        <v>348</v>
      </c>
      <c r="D262" s="341" t="s">
        <v>516</v>
      </c>
      <c r="E262" s="340" t="s">
        <v>1409</v>
      </c>
      <c r="F262" s="341" t="s">
        <v>1410</v>
      </c>
      <c r="G262" s="340" t="s">
        <v>1027</v>
      </c>
      <c r="H262" s="340" t="s">
        <v>1028</v>
      </c>
      <c r="I262" s="342">
        <v>31.36</v>
      </c>
      <c r="J262" s="342">
        <v>480</v>
      </c>
      <c r="K262" s="343">
        <v>15054.42</v>
      </c>
    </row>
    <row r="263" spans="1:11" ht="14.4" customHeight="1" x14ac:dyDescent="0.3">
      <c r="A263" s="338" t="s">
        <v>343</v>
      </c>
      <c r="B263" s="339" t="s">
        <v>515</v>
      </c>
      <c r="C263" s="340" t="s">
        <v>348</v>
      </c>
      <c r="D263" s="341" t="s">
        <v>516</v>
      </c>
      <c r="E263" s="340" t="s">
        <v>1409</v>
      </c>
      <c r="F263" s="341" t="s">
        <v>1410</v>
      </c>
      <c r="G263" s="340" t="s">
        <v>1027</v>
      </c>
      <c r="H263" s="340" t="s">
        <v>1029</v>
      </c>
      <c r="I263" s="342">
        <v>31.36</v>
      </c>
      <c r="J263" s="342">
        <v>1320</v>
      </c>
      <c r="K263" s="343">
        <v>41390.78</v>
      </c>
    </row>
    <row r="264" spans="1:11" ht="14.4" customHeight="1" x14ac:dyDescent="0.3">
      <c r="A264" s="338" t="s">
        <v>343</v>
      </c>
      <c r="B264" s="339" t="s">
        <v>515</v>
      </c>
      <c r="C264" s="340" t="s">
        <v>348</v>
      </c>
      <c r="D264" s="341" t="s">
        <v>516</v>
      </c>
      <c r="E264" s="340" t="s">
        <v>1409</v>
      </c>
      <c r="F264" s="341" t="s">
        <v>1410</v>
      </c>
      <c r="G264" s="340" t="s">
        <v>1030</v>
      </c>
      <c r="H264" s="340" t="s">
        <v>1031</v>
      </c>
      <c r="I264" s="342">
        <v>76.224999999999994</v>
      </c>
      <c r="J264" s="342">
        <v>144</v>
      </c>
      <c r="K264" s="343">
        <v>10976.66</v>
      </c>
    </row>
    <row r="265" spans="1:11" ht="14.4" customHeight="1" x14ac:dyDescent="0.3">
      <c r="A265" s="338" t="s">
        <v>343</v>
      </c>
      <c r="B265" s="339" t="s">
        <v>515</v>
      </c>
      <c r="C265" s="340" t="s">
        <v>348</v>
      </c>
      <c r="D265" s="341" t="s">
        <v>516</v>
      </c>
      <c r="E265" s="340" t="s">
        <v>1409</v>
      </c>
      <c r="F265" s="341" t="s">
        <v>1410</v>
      </c>
      <c r="G265" s="340" t="s">
        <v>1032</v>
      </c>
      <c r="H265" s="340" t="s">
        <v>1033</v>
      </c>
      <c r="I265" s="342">
        <v>138.47428571428571</v>
      </c>
      <c r="J265" s="342">
        <v>984</v>
      </c>
      <c r="K265" s="343">
        <v>126819.51000000001</v>
      </c>
    </row>
    <row r="266" spans="1:11" ht="14.4" customHeight="1" x14ac:dyDescent="0.3">
      <c r="A266" s="338" t="s">
        <v>343</v>
      </c>
      <c r="B266" s="339" t="s">
        <v>515</v>
      </c>
      <c r="C266" s="340" t="s">
        <v>348</v>
      </c>
      <c r="D266" s="341" t="s">
        <v>516</v>
      </c>
      <c r="E266" s="340" t="s">
        <v>1409</v>
      </c>
      <c r="F266" s="341" t="s">
        <v>1410</v>
      </c>
      <c r="G266" s="340" t="s">
        <v>1034</v>
      </c>
      <c r="H266" s="340" t="s">
        <v>1035</v>
      </c>
      <c r="I266" s="342">
        <v>114.2</v>
      </c>
      <c r="J266" s="342">
        <v>576</v>
      </c>
      <c r="K266" s="343">
        <v>65781.02</v>
      </c>
    </row>
    <row r="267" spans="1:11" ht="14.4" customHeight="1" x14ac:dyDescent="0.3">
      <c r="A267" s="338" t="s">
        <v>343</v>
      </c>
      <c r="B267" s="339" t="s">
        <v>515</v>
      </c>
      <c r="C267" s="340" t="s">
        <v>348</v>
      </c>
      <c r="D267" s="341" t="s">
        <v>516</v>
      </c>
      <c r="E267" s="340" t="s">
        <v>1409</v>
      </c>
      <c r="F267" s="341" t="s">
        <v>1410</v>
      </c>
      <c r="G267" s="340" t="s">
        <v>1036</v>
      </c>
      <c r="H267" s="340" t="s">
        <v>1037</v>
      </c>
      <c r="I267" s="342">
        <v>122.24857142857142</v>
      </c>
      <c r="J267" s="342">
        <v>576</v>
      </c>
      <c r="K267" s="343">
        <v>69577.710000000006</v>
      </c>
    </row>
    <row r="268" spans="1:11" ht="14.4" customHeight="1" x14ac:dyDescent="0.3">
      <c r="A268" s="338" t="s">
        <v>343</v>
      </c>
      <c r="B268" s="339" t="s">
        <v>515</v>
      </c>
      <c r="C268" s="340" t="s">
        <v>348</v>
      </c>
      <c r="D268" s="341" t="s">
        <v>516</v>
      </c>
      <c r="E268" s="340" t="s">
        <v>1409</v>
      </c>
      <c r="F268" s="341" t="s">
        <v>1410</v>
      </c>
      <c r="G268" s="340" t="s">
        <v>1038</v>
      </c>
      <c r="H268" s="340" t="s">
        <v>1039</v>
      </c>
      <c r="I268" s="342">
        <v>41.817999999999998</v>
      </c>
      <c r="J268" s="342">
        <v>612</v>
      </c>
      <c r="K268" s="343">
        <v>25786.400000000001</v>
      </c>
    </row>
    <row r="269" spans="1:11" ht="14.4" customHeight="1" x14ac:dyDescent="0.3">
      <c r="A269" s="338" t="s">
        <v>343</v>
      </c>
      <c r="B269" s="339" t="s">
        <v>515</v>
      </c>
      <c r="C269" s="340" t="s">
        <v>348</v>
      </c>
      <c r="D269" s="341" t="s">
        <v>516</v>
      </c>
      <c r="E269" s="340" t="s">
        <v>1409</v>
      </c>
      <c r="F269" s="341" t="s">
        <v>1410</v>
      </c>
      <c r="G269" s="340" t="s">
        <v>1040</v>
      </c>
      <c r="H269" s="340" t="s">
        <v>1041</v>
      </c>
      <c r="I269" s="342">
        <v>120.36</v>
      </c>
      <c r="J269" s="342">
        <v>192</v>
      </c>
      <c r="K269" s="343">
        <v>23109.25</v>
      </c>
    </row>
    <row r="270" spans="1:11" ht="14.4" customHeight="1" x14ac:dyDescent="0.3">
      <c r="A270" s="338" t="s">
        <v>343</v>
      </c>
      <c r="B270" s="339" t="s">
        <v>515</v>
      </c>
      <c r="C270" s="340" t="s">
        <v>348</v>
      </c>
      <c r="D270" s="341" t="s">
        <v>516</v>
      </c>
      <c r="E270" s="340" t="s">
        <v>1409</v>
      </c>
      <c r="F270" s="341" t="s">
        <v>1410</v>
      </c>
      <c r="G270" s="340" t="s">
        <v>1042</v>
      </c>
      <c r="H270" s="340" t="s">
        <v>1043</v>
      </c>
      <c r="I270" s="342">
        <v>374.38</v>
      </c>
      <c r="J270" s="342">
        <v>24</v>
      </c>
      <c r="K270" s="343">
        <v>8985.18</v>
      </c>
    </row>
    <row r="271" spans="1:11" ht="14.4" customHeight="1" x14ac:dyDescent="0.3">
      <c r="A271" s="338" t="s">
        <v>343</v>
      </c>
      <c r="B271" s="339" t="s">
        <v>515</v>
      </c>
      <c r="C271" s="340" t="s">
        <v>348</v>
      </c>
      <c r="D271" s="341" t="s">
        <v>516</v>
      </c>
      <c r="E271" s="340" t="s">
        <v>1409</v>
      </c>
      <c r="F271" s="341" t="s">
        <v>1410</v>
      </c>
      <c r="G271" s="340" t="s">
        <v>1044</v>
      </c>
      <c r="H271" s="340" t="s">
        <v>1045</v>
      </c>
      <c r="I271" s="342">
        <v>26.8</v>
      </c>
      <c r="J271" s="342">
        <v>144</v>
      </c>
      <c r="K271" s="343">
        <v>3859.4</v>
      </c>
    </row>
    <row r="272" spans="1:11" ht="14.4" customHeight="1" x14ac:dyDescent="0.3">
      <c r="A272" s="338" t="s">
        <v>343</v>
      </c>
      <c r="B272" s="339" t="s">
        <v>515</v>
      </c>
      <c r="C272" s="340" t="s">
        <v>348</v>
      </c>
      <c r="D272" s="341" t="s">
        <v>516</v>
      </c>
      <c r="E272" s="340" t="s">
        <v>1409</v>
      </c>
      <c r="F272" s="341" t="s">
        <v>1410</v>
      </c>
      <c r="G272" s="340" t="s">
        <v>1046</v>
      </c>
      <c r="H272" s="340" t="s">
        <v>1047</v>
      </c>
      <c r="I272" s="342">
        <v>95.45</v>
      </c>
      <c r="J272" s="342">
        <v>96</v>
      </c>
      <c r="K272" s="343">
        <v>9163.2000000000007</v>
      </c>
    </row>
    <row r="273" spans="1:11" ht="14.4" customHeight="1" x14ac:dyDescent="0.3">
      <c r="A273" s="338" t="s">
        <v>343</v>
      </c>
      <c r="B273" s="339" t="s">
        <v>515</v>
      </c>
      <c r="C273" s="340" t="s">
        <v>348</v>
      </c>
      <c r="D273" s="341" t="s">
        <v>516</v>
      </c>
      <c r="E273" s="340" t="s">
        <v>1409</v>
      </c>
      <c r="F273" s="341" t="s">
        <v>1410</v>
      </c>
      <c r="G273" s="340" t="s">
        <v>1048</v>
      </c>
      <c r="H273" s="340" t="s">
        <v>1049</v>
      </c>
      <c r="I273" s="342">
        <v>61.390000000000008</v>
      </c>
      <c r="J273" s="342">
        <v>576</v>
      </c>
      <c r="K273" s="343">
        <v>34378.83</v>
      </c>
    </row>
    <row r="274" spans="1:11" ht="14.4" customHeight="1" x14ac:dyDescent="0.3">
      <c r="A274" s="338" t="s">
        <v>343</v>
      </c>
      <c r="B274" s="339" t="s">
        <v>515</v>
      </c>
      <c r="C274" s="340" t="s">
        <v>348</v>
      </c>
      <c r="D274" s="341" t="s">
        <v>516</v>
      </c>
      <c r="E274" s="340" t="s">
        <v>1409</v>
      </c>
      <c r="F274" s="341" t="s">
        <v>1410</v>
      </c>
      <c r="G274" s="340" t="s">
        <v>1050</v>
      </c>
      <c r="H274" s="340" t="s">
        <v>1051</v>
      </c>
      <c r="I274" s="342">
        <v>346.44</v>
      </c>
      <c r="J274" s="342">
        <v>48</v>
      </c>
      <c r="K274" s="343">
        <v>16629.23</v>
      </c>
    </row>
    <row r="275" spans="1:11" ht="14.4" customHeight="1" x14ac:dyDescent="0.3">
      <c r="A275" s="338" t="s">
        <v>343</v>
      </c>
      <c r="B275" s="339" t="s">
        <v>515</v>
      </c>
      <c r="C275" s="340" t="s">
        <v>348</v>
      </c>
      <c r="D275" s="341" t="s">
        <v>516</v>
      </c>
      <c r="E275" s="340" t="s">
        <v>1409</v>
      </c>
      <c r="F275" s="341" t="s">
        <v>1410</v>
      </c>
      <c r="G275" s="340" t="s">
        <v>1052</v>
      </c>
      <c r="H275" s="340" t="s">
        <v>1053</v>
      </c>
      <c r="I275" s="342">
        <v>66.153333333333336</v>
      </c>
      <c r="J275" s="342">
        <v>264</v>
      </c>
      <c r="K275" s="343">
        <v>18029.239999999998</v>
      </c>
    </row>
    <row r="276" spans="1:11" ht="14.4" customHeight="1" x14ac:dyDescent="0.3">
      <c r="A276" s="338" t="s">
        <v>343</v>
      </c>
      <c r="B276" s="339" t="s">
        <v>515</v>
      </c>
      <c r="C276" s="340" t="s">
        <v>348</v>
      </c>
      <c r="D276" s="341" t="s">
        <v>516</v>
      </c>
      <c r="E276" s="340" t="s">
        <v>1409</v>
      </c>
      <c r="F276" s="341" t="s">
        <v>1410</v>
      </c>
      <c r="G276" s="340" t="s">
        <v>1054</v>
      </c>
      <c r="H276" s="340" t="s">
        <v>1055</v>
      </c>
      <c r="I276" s="342">
        <v>48.5</v>
      </c>
      <c r="J276" s="342">
        <v>36</v>
      </c>
      <c r="K276" s="343">
        <v>1745.84</v>
      </c>
    </row>
    <row r="277" spans="1:11" ht="14.4" customHeight="1" x14ac:dyDescent="0.3">
      <c r="A277" s="338" t="s">
        <v>343</v>
      </c>
      <c r="B277" s="339" t="s">
        <v>515</v>
      </c>
      <c r="C277" s="340" t="s">
        <v>348</v>
      </c>
      <c r="D277" s="341" t="s">
        <v>516</v>
      </c>
      <c r="E277" s="340" t="s">
        <v>1409</v>
      </c>
      <c r="F277" s="341" t="s">
        <v>1410</v>
      </c>
      <c r="G277" s="340" t="s">
        <v>1056</v>
      </c>
      <c r="H277" s="340" t="s">
        <v>1057</v>
      </c>
      <c r="I277" s="342">
        <v>58.386666666666663</v>
      </c>
      <c r="J277" s="342">
        <v>288</v>
      </c>
      <c r="K277" s="343">
        <v>16962.730000000003</v>
      </c>
    </row>
    <row r="278" spans="1:11" ht="14.4" customHeight="1" x14ac:dyDescent="0.3">
      <c r="A278" s="338" t="s">
        <v>343</v>
      </c>
      <c r="B278" s="339" t="s">
        <v>515</v>
      </c>
      <c r="C278" s="340" t="s">
        <v>348</v>
      </c>
      <c r="D278" s="341" t="s">
        <v>516</v>
      </c>
      <c r="E278" s="340" t="s">
        <v>1409</v>
      </c>
      <c r="F278" s="341" t="s">
        <v>1410</v>
      </c>
      <c r="G278" s="340" t="s">
        <v>1058</v>
      </c>
      <c r="H278" s="340" t="s">
        <v>1059</v>
      </c>
      <c r="I278" s="342">
        <v>154.77000000000001</v>
      </c>
      <c r="J278" s="342">
        <v>48</v>
      </c>
      <c r="K278" s="343">
        <v>7429</v>
      </c>
    </row>
    <row r="279" spans="1:11" ht="14.4" customHeight="1" x14ac:dyDescent="0.3">
      <c r="A279" s="338" t="s">
        <v>343</v>
      </c>
      <c r="B279" s="339" t="s">
        <v>515</v>
      </c>
      <c r="C279" s="340" t="s">
        <v>348</v>
      </c>
      <c r="D279" s="341" t="s">
        <v>516</v>
      </c>
      <c r="E279" s="340" t="s">
        <v>1409</v>
      </c>
      <c r="F279" s="341" t="s">
        <v>1410</v>
      </c>
      <c r="G279" s="340" t="s">
        <v>1058</v>
      </c>
      <c r="H279" s="340" t="s">
        <v>1060</v>
      </c>
      <c r="I279" s="342">
        <v>154.77000000000001</v>
      </c>
      <c r="J279" s="342">
        <v>192</v>
      </c>
      <c r="K279" s="343">
        <v>29716</v>
      </c>
    </row>
    <row r="280" spans="1:11" ht="14.4" customHeight="1" x14ac:dyDescent="0.3">
      <c r="A280" s="338" t="s">
        <v>343</v>
      </c>
      <c r="B280" s="339" t="s">
        <v>515</v>
      </c>
      <c r="C280" s="340" t="s">
        <v>348</v>
      </c>
      <c r="D280" s="341" t="s">
        <v>516</v>
      </c>
      <c r="E280" s="340" t="s">
        <v>1409</v>
      </c>
      <c r="F280" s="341" t="s">
        <v>1410</v>
      </c>
      <c r="G280" s="340" t="s">
        <v>1061</v>
      </c>
      <c r="H280" s="340" t="s">
        <v>1062</v>
      </c>
      <c r="I280" s="342">
        <v>176.19</v>
      </c>
      <c r="J280" s="342">
        <v>96</v>
      </c>
      <c r="K280" s="343">
        <v>16914.66</v>
      </c>
    </row>
    <row r="281" spans="1:11" ht="14.4" customHeight="1" x14ac:dyDescent="0.3">
      <c r="A281" s="338" t="s">
        <v>343</v>
      </c>
      <c r="B281" s="339" t="s">
        <v>515</v>
      </c>
      <c r="C281" s="340" t="s">
        <v>348</v>
      </c>
      <c r="D281" s="341" t="s">
        <v>516</v>
      </c>
      <c r="E281" s="340" t="s">
        <v>1409</v>
      </c>
      <c r="F281" s="341" t="s">
        <v>1410</v>
      </c>
      <c r="G281" s="340" t="s">
        <v>1063</v>
      </c>
      <c r="H281" s="340" t="s">
        <v>1064</v>
      </c>
      <c r="I281" s="342">
        <v>46.06</v>
      </c>
      <c r="J281" s="342">
        <v>720</v>
      </c>
      <c r="K281" s="343">
        <v>33165.990000000005</v>
      </c>
    </row>
    <row r="282" spans="1:11" ht="14.4" customHeight="1" x14ac:dyDescent="0.3">
      <c r="A282" s="338" t="s">
        <v>343</v>
      </c>
      <c r="B282" s="339" t="s">
        <v>515</v>
      </c>
      <c r="C282" s="340" t="s">
        <v>348</v>
      </c>
      <c r="D282" s="341" t="s">
        <v>516</v>
      </c>
      <c r="E282" s="340" t="s">
        <v>1409</v>
      </c>
      <c r="F282" s="341" t="s">
        <v>1410</v>
      </c>
      <c r="G282" s="340" t="s">
        <v>1065</v>
      </c>
      <c r="H282" s="340" t="s">
        <v>1066</v>
      </c>
      <c r="I282" s="342">
        <v>132.22999999999999</v>
      </c>
      <c r="J282" s="342">
        <v>504</v>
      </c>
      <c r="K282" s="343">
        <v>70502.12999999999</v>
      </c>
    </row>
    <row r="283" spans="1:11" ht="14.4" customHeight="1" x14ac:dyDescent="0.3">
      <c r="A283" s="338" t="s">
        <v>343</v>
      </c>
      <c r="B283" s="339" t="s">
        <v>515</v>
      </c>
      <c r="C283" s="340" t="s">
        <v>348</v>
      </c>
      <c r="D283" s="341" t="s">
        <v>516</v>
      </c>
      <c r="E283" s="340" t="s">
        <v>1409</v>
      </c>
      <c r="F283" s="341" t="s">
        <v>1410</v>
      </c>
      <c r="G283" s="340" t="s">
        <v>1067</v>
      </c>
      <c r="H283" s="340" t="s">
        <v>1068</v>
      </c>
      <c r="I283" s="342">
        <v>103.4</v>
      </c>
      <c r="J283" s="342">
        <v>72</v>
      </c>
      <c r="K283" s="343">
        <v>7444.73</v>
      </c>
    </row>
    <row r="284" spans="1:11" ht="14.4" customHeight="1" x14ac:dyDescent="0.3">
      <c r="A284" s="338" t="s">
        <v>343</v>
      </c>
      <c r="B284" s="339" t="s">
        <v>515</v>
      </c>
      <c r="C284" s="340" t="s">
        <v>348</v>
      </c>
      <c r="D284" s="341" t="s">
        <v>516</v>
      </c>
      <c r="E284" s="340" t="s">
        <v>1409</v>
      </c>
      <c r="F284" s="341" t="s">
        <v>1410</v>
      </c>
      <c r="G284" s="340" t="s">
        <v>1069</v>
      </c>
      <c r="H284" s="340" t="s">
        <v>1070</v>
      </c>
      <c r="I284" s="342">
        <v>42</v>
      </c>
      <c r="J284" s="342">
        <v>144</v>
      </c>
      <c r="K284" s="343">
        <v>6047.62</v>
      </c>
    </row>
    <row r="285" spans="1:11" ht="14.4" customHeight="1" x14ac:dyDescent="0.3">
      <c r="A285" s="338" t="s">
        <v>343</v>
      </c>
      <c r="B285" s="339" t="s">
        <v>515</v>
      </c>
      <c r="C285" s="340" t="s">
        <v>348</v>
      </c>
      <c r="D285" s="341" t="s">
        <v>516</v>
      </c>
      <c r="E285" s="340" t="s">
        <v>1409</v>
      </c>
      <c r="F285" s="341" t="s">
        <v>1410</v>
      </c>
      <c r="G285" s="340" t="s">
        <v>1071</v>
      </c>
      <c r="H285" s="340" t="s">
        <v>1072</v>
      </c>
      <c r="I285" s="342">
        <v>41.9</v>
      </c>
      <c r="J285" s="342">
        <v>720</v>
      </c>
      <c r="K285" s="343">
        <v>30167.49</v>
      </c>
    </row>
    <row r="286" spans="1:11" ht="14.4" customHeight="1" x14ac:dyDescent="0.3">
      <c r="A286" s="338" t="s">
        <v>343</v>
      </c>
      <c r="B286" s="339" t="s">
        <v>515</v>
      </c>
      <c r="C286" s="340" t="s">
        <v>348</v>
      </c>
      <c r="D286" s="341" t="s">
        <v>516</v>
      </c>
      <c r="E286" s="340" t="s">
        <v>1409</v>
      </c>
      <c r="F286" s="341" t="s">
        <v>1410</v>
      </c>
      <c r="G286" s="340" t="s">
        <v>1073</v>
      </c>
      <c r="H286" s="340" t="s">
        <v>1074</v>
      </c>
      <c r="I286" s="342">
        <v>62.844999999999999</v>
      </c>
      <c r="J286" s="342">
        <v>108</v>
      </c>
      <c r="K286" s="343">
        <v>7021.99</v>
      </c>
    </row>
    <row r="287" spans="1:11" ht="14.4" customHeight="1" x14ac:dyDescent="0.3">
      <c r="A287" s="338" t="s">
        <v>343</v>
      </c>
      <c r="B287" s="339" t="s">
        <v>515</v>
      </c>
      <c r="C287" s="340" t="s">
        <v>348</v>
      </c>
      <c r="D287" s="341" t="s">
        <v>516</v>
      </c>
      <c r="E287" s="340" t="s">
        <v>1409</v>
      </c>
      <c r="F287" s="341" t="s">
        <v>1410</v>
      </c>
      <c r="G287" s="340" t="s">
        <v>1075</v>
      </c>
      <c r="H287" s="340" t="s">
        <v>1076</v>
      </c>
      <c r="I287" s="342">
        <v>216.68</v>
      </c>
      <c r="J287" s="342">
        <v>96</v>
      </c>
      <c r="K287" s="343">
        <v>20801.2</v>
      </c>
    </row>
    <row r="288" spans="1:11" ht="14.4" customHeight="1" x14ac:dyDescent="0.3">
      <c r="A288" s="338" t="s">
        <v>343</v>
      </c>
      <c r="B288" s="339" t="s">
        <v>515</v>
      </c>
      <c r="C288" s="340" t="s">
        <v>348</v>
      </c>
      <c r="D288" s="341" t="s">
        <v>516</v>
      </c>
      <c r="E288" s="340" t="s">
        <v>1409</v>
      </c>
      <c r="F288" s="341" t="s">
        <v>1410</v>
      </c>
      <c r="G288" s="340" t="s">
        <v>1077</v>
      </c>
      <c r="H288" s="340" t="s">
        <v>1078</v>
      </c>
      <c r="I288" s="342">
        <v>44.12</v>
      </c>
      <c r="J288" s="342">
        <v>216</v>
      </c>
      <c r="K288" s="343">
        <v>9530.9699999999993</v>
      </c>
    </row>
    <row r="289" spans="1:11" ht="14.4" customHeight="1" x14ac:dyDescent="0.3">
      <c r="A289" s="338" t="s">
        <v>343</v>
      </c>
      <c r="B289" s="339" t="s">
        <v>515</v>
      </c>
      <c r="C289" s="340" t="s">
        <v>348</v>
      </c>
      <c r="D289" s="341" t="s">
        <v>516</v>
      </c>
      <c r="E289" s="340" t="s">
        <v>1409</v>
      </c>
      <c r="F289" s="341" t="s">
        <v>1410</v>
      </c>
      <c r="G289" s="340" t="s">
        <v>1079</v>
      </c>
      <c r="H289" s="340" t="s">
        <v>1080</v>
      </c>
      <c r="I289" s="342">
        <v>52.93</v>
      </c>
      <c r="J289" s="342">
        <v>144</v>
      </c>
      <c r="K289" s="343">
        <v>7622.57</v>
      </c>
    </row>
    <row r="290" spans="1:11" ht="14.4" customHeight="1" x14ac:dyDescent="0.3">
      <c r="A290" s="338" t="s">
        <v>343</v>
      </c>
      <c r="B290" s="339" t="s">
        <v>515</v>
      </c>
      <c r="C290" s="340" t="s">
        <v>348</v>
      </c>
      <c r="D290" s="341" t="s">
        <v>516</v>
      </c>
      <c r="E290" s="340" t="s">
        <v>1409</v>
      </c>
      <c r="F290" s="341" t="s">
        <v>1410</v>
      </c>
      <c r="G290" s="340" t="s">
        <v>1081</v>
      </c>
      <c r="H290" s="340" t="s">
        <v>1082</v>
      </c>
      <c r="I290" s="342">
        <v>110.77</v>
      </c>
      <c r="J290" s="342">
        <v>504</v>
      </c>
      <c r="K290" s="343">
        <v>55828.78</v>
      </c>
    </row>
    <row r="291" spans="1:11" ht="14.4" customHeight="1" x14ac:dyDescent="0.3">
      <c r="A291" s="338" t="s">
        <v>343</v>
      </c>
      <c r="B291" s="339" t="s">
        <v>515</v>
      </c>
      <c r="C291" s="340" t="s">
        <v>348</v>
      </c>
      <c r="D291" s="341" t="s">
        <v>516</v>
      </c>
      <c r="E291" s="340" t="s">
        <v>1409</v>
      </c>
      <c r="F291" s="341" t="s">
        <v>1410</v>
      </c>
      <c r="G291" s="340" t="s">
        <v>1083</v>
      </c>
      <c r="H291" s="340" t="s">
        <v>1084</v>
      </c>
      <c r="I291" s="342">
        <v>228.88000000000002</v>
      </c>
      <c r="J291" s="342">
        <v>684</v>
      </c>
      <c r="K291" s="343">
        <v>156555.65000000002</v>
      </c>
    </row>
    <row r="292" spans="1:11" ht="14.4" customHeight="1" x14ac:dyDescent="0.3">
      <c r="A292" s="338" t="s">
        <v>343</v>
      </c>
      <c r="B292" s="339" t="s">
        <v>515</v>
      </c>
      <c r="C292" s="340" t="s">
        <v>348</v>
      </c>
      <c r="D292" s="341" t="s">
        <v>516</v>
      </c>
      <c r="E292" s="340" t="s">
        <v>1409</v>
      </c>
      <c r="F292" s="341" t="s">
        <v>1410</v>
      </c>
      <c r="G292" s="340" t="s">
        <v>1085</v>
      </c>
      <c r="H292" s="340" t="s">
        <v>1086</v>
      </c>
      <c r="I292" s="342">
        <v>268.22000000000003</v>
      </c>
      <c r="J292" s="342">
        <v>48</v>
      </c>
      <c r="K292" s="343">
        <v>12874.78</v>
      </c>
    </row>
    <row r="293" spans="1:11" ht="14.4" customHeight="1" x14ac:dyDescent="0.3">
      <c r="A293" s="338" t="s">
        <v>343</v>
      </c>
      <c r="B293" s="339" t="s">
        <v>515</v>
      </c>
      <c r="C293" s="340" t="s">
        <v>348</v>
      </c>
      <c r="D293" s="341" t="s">
        <v>516</v>
      </c>
      <c r="E293" s="340" t="s">
        <v>1409</v>
      </c>
      <c r="F293" s="341" t="s">
        <v>1410</v>
      </c>
      <c r="G293" s="340" t="s">
        <v>1087</v>
      </c>
      <c r="H293" s="340" t="s">
        <v>1088</v>
      </c>
      <c r="I293" s="342">
        <v>180.92250000000001</v>
      </c>
      <c r="J293" s="342">
        <v>240</v>
      </c>
      <c r="K293" s="343">
        <v>43421.25</v>
      </c>
    </row>
    <row r="294" spans="1:11" ht="14.4" customHeight="1" x14ac:dyDescent="0.3">
      <c r="A294" s="338" t="s">
        <v>343</v>
      </c>
      <c r="B294" s="339" t="s">
        <v>515</v>
      </c>
      <c r="C294" s="340" t="s">
        <v>348</v>
      </c>
      <c r="D294" s="341" t="s">
        <v>516</v>
      </c>
      <c r="E294" s="340" t="s">
        <v>1409</v>
      </c>
      <c r="F294" s="341" t="s">
        <v>1410</v>
      </c>
      <c r="G294" s="340" t="s">
        <v>1089</v>
      </c>
      <c r="H294" s="340" t="s">
        <v>1090</v>
      </c>
      <c r="I294" s="342">
        <v>80.5</v>
      </c>
      <c r="J294" s="342">
        <v>36</v>
      </c>
      <c r="K294" s="343">
        <v>2898</v>
      </c>
    </row>
    <row r="295" spans="1:11" ht="14.4" customHeight="1" x14ac:dyDescent="0.3">
      <c r="A295" s="338" t="s">
        <v>343</v>
      </c>
      <c r="B295" s="339" t="s">
        <v>515</v>
      </c>
      <c r="C295" s="340" t="s">
        <v>348</v>
      </c>
      <c r="D295" s="341" t="s">
        <v>516</v>
      </c>
      <c r="E295" s="340" t="s">
        <v>1409</v>
      </c>
      <c r="F295" s="341" t="s">
        <v>1410</v>
      </c>
      <c r="G295" s="340" t="s">
        <v>1091</v>
      </c>
      <c r="H295" s="340" t="s">
        <v>1092</v>
      </c>
      <c r="I295" s="342">
        <v>86.25</v>
      </c>
      <c r="J295" s="342">
        <v>792</v>
      </c>
      <c r="K295" s="343">
        <v>68310</v>
      </c>
    </row>
    <row r="296" spans="1:11" ht="14.4" customHeight="1" x14ac:dyDescent="0.3">
      <c r="A296" s="338" t="s">
        <v>343</v>
      </c>
      <c r="B296" s="339" t="s">
        <v>515</v>
      </c>
      <c r="C296" s="340" t="s">
        <v>348</v>
      </c>
      <c r="D296" s="341" t="s">
        <v>516</v>
      </c>
      <c r="E296" s="340" t="s">
        <v>1409</v>
      </c>
      <c r="F296" s="341" t="s">
        <v>1410</v>
      </c>
      <c r="G296" s="340" t="s">
        <v>1093</v>
      </c>
      <c r="H296" s="340" t="s">
        <v>1094</v>
      </c>
      <c r="I296" s="342">
        <v>50.12</v>
      </c>
      <c r="J296" s="342">
        <v>144</v>
      </c>
      <c r="K296" s="343">
        <v>7216.85</v>
      </c>
    </row>
    <row r="297" spans="1:11" ht="14.4" customHeight="1" x14ac:dyDescent="0.3">
      <c r="A297" s="338" t="s">
        <v>343</v>
      </c>
      <c r="B297" s="339" t="s">
        <v>515</v>
      </c>
      <c r="C297" s="340" t="s">
        <v>348</v>
      </c>
      <c r="D297" s="341" t="s">
        <v>516</v>
      </c>
      <c r="E297" s="340" t="s">
        <v>1409</v>
      </c>
      <c r="F297" s="341" t="s">
        <v>1410</v>
      </c>
      <c r="G297" s="340" t="s">
        <v>1095</v>
      </c>
      <c r="H297" s="340" t="s">
        <v>1096</v>
      </c>
      <c r="I297" s="342">
        <v>513.51</v>
      </c>
      <c r="J297" s="342">
        <v>24</v>
      </c>
      <c r="K297" s="343">
        <v>12324.32</v>
      </c>
    </row>
    <row r="298" spans="1:11" ht="14.4" customHeight="1" x14ac:dyDescent="0.3">
      <c r="A298" s="338" t="s">
        <v>343</v>
      </c>
      <c r="B298" s="339" t="s">
        <v>515</v>
      </c>
      <c r="C298" s="340" t="s">
        <v>348</v>
      </c>
      <c r="D298" s="341" t="s">
        <v>516</v>
      </c>
      <c r="E298" s="340" t="s">
        <v>1409</v>
      </c>
      <c r="F298" s="341" t="s">
        <v>1410</v>
      </c>
      <c r="G298" s="340" t="s">
        <v>1097</v>
      </c>
      <c r="H298" s="340" t="s">
        <v>1098</v>
      </c>
      <c r="I298" s="342">
        <v>192.46</v>
      </c>
      <c r="J298" s="342">
        <v>504</v>
      </c>
      <c r="K298" s="343">
        <v>96999.93</v>
      </c>
    </row>
    <row r="299" spans="1:11" ht="14.4" customHeight="1" x14ac:dyDescent="0.3">
      <c r="A299" s="338" t="s">
        <v>343</v>
      </c>
      <c r="B299" s="339" t="s">
        <v>515</v>
      </c>
      <c r="C299" s="340" t="s">
        <v>348</v>
      </c>
      <c r="D299" s="341" t="s">
        <v>516</v>
      </c>
      <c r="E299" s="340" t="s">
        <v>1409</v>
      </c>
      <c r="F299" s="341" t="s">
        <v>1410</v>
      </c>
      <c r="G299" s="340" t="s">
        <v>1099</v>
      </c>
      <c r="H299" s="340" t="s">
        <v>1100</v>
      </c>
      <c r="I299" s="342">
        <v>261.41499999999996</v>
      </c>
      <c r="J299" s="342">
        <v>72</v>
      </c>
      <c r="K299" s="343">
        <v>18821.59</v>
      </c>
    </row>
    <row r="300" spans="1:11" ht="14.4" customHeight="1" x14ac:dyDescent="0.3">
      <c r="A300" s="338" t="s">
        <v>343</v>
      </c>
      <c r="B300" s="339" t="s">
        <v>515</v>
      </c>
      <c r="C300" s="340" t="s">
        <v>348</v>
      </c>
      <c r="D300" s="341" t="s">
        <v>516</v>
      </c>
      <c r="E300" s="340" t="s">
        <v>1409</v>
      </c>
      <c r="F300" s="341" t="s">
        <v>1410</v>
      </c>
      <c r="G300" s="340" t="s">
        <v>1101</v>
      </c>
      <c r="H300" s="340" t="s">
        <v>1102</v>
      </c>
      <c r="I300" s="342">
        <v>176.93</v>
      </c>
      <c r="J300" s="342">
        <v>120</v>
      </c>
      <c r="K300" s="343">
        <v>21231.3</v>
      </c>
    </row>
    <row r="301" spans="1:11" ht="14.4" customHeight="1" x14ac:dyDescent="0.3">
      <c r="A301" s="338" t="s">
        <v>343</v>
      </c>
      <c r="B301" s="339" t="s">
        <v>515</v>
      </c>
      <c r="C301" s="340" t="s">
        <v>348</v>
      </c>
      <c r="D301" s="341" t="s">
        <v>516</v>
      </c>
      <c r="E301" s="340" t="s">
        <v>1409</v>
      </c>
      <c r="F301" s="341" t="s">
        <v>1410</v>
      </c>
      <c r="G301" s="340" t="s">
        <v>1103</v>
      </c>
      <c r="H301" s="340" t="s">
        <v>1104</v>
      </c>
      <c r="I301" s="342">
        <v>74.16</v>
      </c>
      <c r="J301" s="342">
        <v>144</v>
      </c>
      <c r="K301" s="343">
        <v>10678.44</v>
      </c>
    </row>
    <row r="302" spans="1:11" ht="14.4" customHeight="1" x14ac:dyDescent="0.3">
      <c r="A302" s="338" t="s">
        <v>343</v>
      </c>
      <c r="B302" s="339" t="s">
        <v>515</v>
      </c>
      <c r="C302" s="340" t="s">
        <v>348</v>
      </c>
      <c r="D302" s="341" t="s">
        <v>516</v>
      </c>
      <c r="E302" s="340" t="s">
        <v>1409</v>
      </c>
      <c r="F302" s="341" t="s">
        <v>1410</v>
      </c>
      <c r="G302" s="340" t="s">
        <v>1105</v>
      </c>
      <c r="H302" s="340" t="s">
        <v>1106</v>
      </c>
      <c r="I302" s="342">
        <v>60.66</v>
      </c>
      <c r="J302" s="342">
        <v>180</v>
      </c>
      <c r="K302" s="343">
        <v>10919.25</v>
      </c>
    </row>
    <row r="303" spans="1:11" ht="14.4" customHeight="1" x14ac:dyDescent="0.3">
      <c r="A303" s="338" t="s">
        <v>343</v>
      </c>
      <c r="B303" s="339" t="s">
        <v>515</v>
      </c>
      <c r="C303" s="340" t="s">
        <v>348</v>
      </c>
      <c r="D303" s="341" t="s">
        <v>516</v>
      </c>
      <c r="E303" s="340" t="s">
        <v>1409</v>
      </c>
      <c r="F303" s="341" t="s">
        <v>1410</v>
      </c>
      <c r="G303" s="340" t="s">
        <v>1107</v>
      </c>
      <c r="H303" s="340" t="s">
        <v>1108</v>
      </c>
      <c r="I303" s="342">
        <v>335.45</v>
      </c>
      <c r="J303" s="342">
        <v>24</v>
      </c>
      <c r="K303" s="343">
        <v>8050.69</v>
      </c>
    </row>
    <row r="304" spans="1:11" ht="14.4" customHeight="1" x14ac:dyDescent="0.3">
      <c r="A304" s="338" t="s">
        <v>343</v>
      </c>
      <c r="B304" s="339" t="s">
        <v>515</v>
      </c>
      <c r="C304" s="340" t="s">
        <v>348</v>
      </c>
      <c r="D304" s="341" t="s">
        <v>516</v>
      </c>
      <c r="E304" s="340" t="s">
        <v>1409</v>
      </c>
      <c r="F304" s="341" t="s">
        <v>1410</v>
      </c>
      <c r="G304" s="340" t="s">
        <v>1109</v>
      </c>
      <c r="H304" s="340" t="s">
        <v>1110</v>
      </c>
      <c r="I304" s="342">
        <v>299.5</v>
      </c>
      <c r="J304" s="342">
        <v>72</v>
      </c>
      <c r="K304" s="343">
        <v>21563.54</v>
      </c>
    </row>
    <row r="305" spans="1:11" ht="14.4" customHeight="1" x14ac:dyDescent="0.3">
      <c r="A305" s="338" t="s">
        <v>343</v>
      </c>
      <c r="B305" s="339" t="s">
        <v>515</v>
      </c>
      <c r="C305" s="340" t="s">
        <v>348</v>
      </c>
      <c r="D305" s="341" t="s">
        <v>516</v>
      </c>
      <c r="E305" s="340" t="s">
        <v>1409</v>
      </c>
      <c r="F305" s="341" t="s">
        <v>1410</v>
      </c>
      <c r="G305" s="340" t="s">
        <v>1111</v>
      </c>
      <c r="H305" s="340" t="s">
        <v>1112</v>
      </c>
      <c r="I305" s="342">
        <v>389.37</v>
      </c>
      <c r="J305" s="342">
        <v>24</v>
      </c>
      <c r="K305" s="343">
        <v>9344.9</v>
      </c>
    </row>
    <row r="306" spans="1:11" ht="14.4" customHeight="1" x14ac:dyDescent="0.3">
      <c r="A306" s="338" t="s">
        <v>343</v>
      </c>
      <c r="B306" s="339" t="s">
        <v>515</v>
      </c>
      <c r="C306" s="340" t="s">
        <v>348</v>
      </c>
      <c r="D306" s="341" t="s">
        <v>516</v>
      </c>
      <c r="E306" s="340" t="s">
        <v>1409</v>
      </c>
      <c r="F306" s="341" t="s">
        <v>1410</v>
      </c>
      <c r="G306" s="340" t="s">
        <v>1113</v>
      </c>
      <c r="H306" s="340" t="s">
        <v>1114</v>
      </c>
      <c r="I306" s="342">
        <v>31.43</v>
      </c>
      <c r="J306" s="342">
        <v>60</v>
      </c>
      <c r="K306" s="343">
        <v>1885.6</v>
      </c>
    </row>
    <row r="307" spans="1:11" ht="14.4" customHeight="1" x14ac:dyDescent="0.3">
      <c r="A307" s="338" t="s">
        <v>343</v>
      </c>
      <c r="B307" s="339" t="s">
        <v>515</v>
      </c>
      <c r="C307" s="340" t="s">
        <v>348</v>
      </c>
      <c r="D307" s="341" t="s">
        <v>516</v>
      </c>
      <c r="E307" s="340" t="s">
        <v>1409</v>
      </c>
      <c r="F307" s="341" t="s">
        <v>1410</v>
      </c>
      <c r="G307" s="340" t="s">
        <v>1115</v>
      </c>
      <c r="H307" s="340" t="s">
        <v>1116</v>
      </c>
      <c r="I307" s="342">
        <v>158.35</v>
      </c>
      <c r="J307" s="342">
        <v>108</v>
      </c>
      <c r="K307" s="343">
        <v>17102.34</v>
      </c>
    </row>
    <row r="308" spans="1:11" ht="14.4" customHeight="1" x14ac:dyDescent="0.3">
      <c r="A308" s="338" t="s">
        <v>343</v>
      </c>
      <c r="B308" s="339" t="s">
        <v>515</v>
      </c>
      <c r="C308" s="340" t="s">
        <v>348</v>
      </c>
      <c r="D308" s="341" t="s">
        <v>516</v>
      </c>
      <c r="E308" s="340" t="s">
        <v>1409</v>
      </c>
      <c r="F308" s="341" t="s">
        <v>1410</v>
      </c>
      <c r="G308" s="340" t="s">
        <v>1117</v>
      </c>
      <c r="H308" s="340" t="s">
        <v>1118</v>
      </c>
      <c r="I308" s="342">
        <v>130.56</v>
      </c>
      <c r="J308" s="342">
        <v>92</v>
      </c>
      <c r="K308" s="343">
        <v>12011.52</v>
      </c>
    </row>
    <row r="309" spans="1:11" ht="14.4" customHeight="1" x14ac:dyDescent="0.3">
      <c r="A309" s="338" t="s">
        <v>343</v>
      </c>
      <c r="B309" s="339" t="s">
        <v>515</v>
      </c>
      <c r="C309" s="340" t="s">
        <v>348</v>
      </c>
      <c r="D309" s="341" t="s">
        <v>516</v>
      </c>
      <c r="E309" s="340" t="s">
        <v>1409</v>
      </c>
      <c r="F309" s="341" t="s">
        <v>1410</v>
      </c>
      <c r="G309" s="340" t="s">
        <v>1119</v>
      </c>
      <c r="H309" s="340" t="s">
        <v>1120</v>
      </c>
      <c r="I309" s="342">
        <v>59.43</v>
      </c>
      <c r="J309" s="342">
        <v>108</v>
      </c>
      <c r="K309" s="343">
        <v>6418.0399999999991</v>
      </c>
    </row>
    <row r="310" spans="1:11" ht="14.4" customHeight="1" x14ac:dyDescent="0.3">
      <c r="A310" s="338" t="s">
        <v>343</v>
      </c>
      <c r="B310" s="339" t="s">
        <v>515</v>
      </c>
      <c r="C310" s="340" t="s">
        <v>348</v>
      </c>
      <c r="D310" s="341" t="s">
        <v>516</v>
      </c>
      <c r="E310" s="340" t="s">
        <v>1409</v>
      </c>
      <c r="F310" s="341" t="s">
        <v>1410</v>
      </c>
      <c r="G310" s="340" t="s">
        <v>1121</v>
      </c>
      <c r="H310" s="340" t="s">
        <v>1122</v>
      </c>
      <c r="I310" s="342">
        <v>129.26</v>
      </c>
      <c r="J310" s="342">
        <v>60</v>
      </c>
      <c r="K310" s="343">
        <v>7755.32</v>
      </c>
    </row>
    <row r="311" spans="1:11" ht="14.4" customHeight="1" x14ac:dyDescent="0.3">
      <c r="A311" s="338" t="s">
        <v>343</v>
      </c>
      <c r="B311" s="339" t="s">
        <v>515</v>
      </c>
      <c r="C311" s="340" t="s">
        <v>348</v>
      </c>
      <c r="D311" s="341" t="s">
        <v>516</v>
      </c>
      <c r="E311" s="340" t="s">
        <v>1411</v>
      </c>
      <c r="F311" s="341" t="s">
        <v>1412</v>
      </c>
      <c r="G311" s="340" t="s">
        <v>1123</v>
      </c>
      <c r="H311" s="340" t="s">
        <v>1124</v>
      </c>
      <c r="I311" s="342">
        <v>0.3</v>
      </c>
      <c r="J311" s="342">
        <v>300</v>
      </c>
      <c r="K311" s="343">
        <v>90</v>
      </c>
    </row>
    <row r="312" spans="1:11" ht="14.4" customHeight="1" x14ac:dyDescent="0.3">
      <c r="A312" s="338" t="s">
        <v>343</v>
      </c>
      <c r="B312" s="339" t="s">
        <v>515</v>
      </c>
      <c r="C312" s="340" t="s">
        <v>348</v>
      </c>
      <c r="D312" s="341" t="s">
        <v>516</v>
      </c>
      <c r="E312" s="340" t="s">
        <v>1411</v>
      </c>
      <c r="F312" s="341" t="s">
        <v>1412</v>
      </c>
      <c r="G312" s="340" t="s">
        <v>1125</v>
      </c>
      <c r="H312" s="340" t="s">
        <v>1126</v>
      </c>
      <c r="I312" s="342">
        <v>0.30499999999999999</v>
      </c>
      <c r="J312" s="342">
        <v>400</v>
      </c>
      <c r="K312" s="343">
        <v>123</v>
      </c>
    </row>
    <row r="313" spans="1:11" ht="14.4" customHeight="1" x14ac:dyDescent="0.3">
      <c r="A313" s="338" t="s">
        <v>343</v>
      </c>
      <c r="B313" s="339" t="s">
        <v>515</v>
      </c>
      <c r="C313" s="340" t="s">
        <v>348</v>
      </c>
      <c r="D313" s="341" t="s">
        <v>516</v>
      </c>
      <c r="E313" s="340" t="s">
        <v>1411</v>
      </c>
      <c r="F313" s="341" t="s">
        <v>1412</v>
      </c>
      <c r="G313" s="340" t="s">
        <v>1127</v>
      </c>
      <c r="H313" s="340" t="s">
        <v>1128</v>
      </c>
      <c r="I313" s="342">
        <v>0.30499999999999999</v>
      </c>
      <c r="J313" s="342">
        <v>900</v>
      </c>
      <c r="K313" s="343">
        <v>274</v>
      </c>
    </row>
    <row r="314" spans="1:11" ht="14.4" customHeight="1" x14ac:dyDescent="0.3">
      <c r="A314" s="338" t="s">
        <v>343</v>
      </c>
      <c r="B314" s="339" t="s">
        <v>515</v>
      </c>
      <c r="C314" s="340" t="s">
        <v>348</v>
      </c>
      <c r="D314" s="341" t="s">
        <v>516</v>
      </c>
      <c r="E314" s="340" t="s">
        <v>1411</v>
      </c>
      <c r="F314" s="341" t="s">
        <v>1412</v>
      </c>
      <c r="G314" s="340" t="s">
        <v>1129</v>
      </c>
      <c r="H314" s="340" t="s">
        <v>1130</v>
      </c>
      <c r="I314" s="342">
        <v>0.3</v>
      </c>
      <c r="J314" s="342">
        <v>200</v>
      </c>
      <c r="K314" s="343">
        <v>60</v>
      </c>
    </row>
    <row r="315" spans="1:11" ht="14.4" customHeight="1" x14ac:dyDescent="0.3">
      <c r="A315" s="338" t="s">
        <v>343</v>
      </c>
      <c r="B315" s="339" t="s">
        <v>515</v>
      </c>
      <c r="C315" s="340" t="s">
        <v>348</v>
      </c>
      <c r="D315" s="341" t="s">
        <v>516</v>
      </c>
      <c r="E315" s="340" t="s">
        <v>1411</v>
      </c>
      <c r="F315" s="341" t="s">
        <v>1412</v>
      </c>
      <c r="G315" s="340" t="s">
        <v>1131</v>
      </c>
      <c r="H315" s="340" t="s">
        <v>1132</v>
      </c>
      <c r="I315" s="342">
        <v>10.987500000000001</v>
      </c>
      <c r="J315" s="342">
        <v>200</v>
      </c>
      <c r="K315" s="343">
        <v>2197.1999999999998</v>
      </c>
    </row>
    <row r="316" spans="1:11" ht="14.4" customHeight="1" x14ac:dyDescent="0.3">
      <c r="A316" s="338" t="s">
        <v>343</v>
      </c>
      <c r="B316" s="339" t="s">
        <v>515</v>
      </c>
      <c r="C316" s="340" t="s">
        <v>348</v>
      </c>
      <c r="D316" s="341" t="s">
        <v>516</v>
      </c>
      <c r="E316" s="340" t="s">
        <v>1411</v>
      </c>
      <c r="F316" s="341" t="s">
        <v>1412</v>
      </c>
      <c r="G316" s="340" t="s">
        <v>1131</v>
      </c>
      <c r="H316" s="340" t="s">
        <v>1133</v>
      </c>
      <c r="I316" s="342">
        <v>10.99</v>
      </c>
      <c r="J316" s="342">
        <v>150</v>
      </c>
      <c r="K316" s="343">
        <v>1648.02</v>
      </c>
    </row>
    <row r="317" spans="1:11" ht="14.4" customHeight="1" x14ac:dyDescent="0.3">
      <c r="A317" s="338" t="s">
        <v>343</v>
      </c>
      <c r="B317" s="339" t="s">
        <v>515</v>
      </c>
      <c r="C317" s="340" t="s">
        <v>348</v>
      </c>
      <c r="D317" s="341" t="s">
        <v>516</v>
      </c>
      <c r="E317" s="340" t="s">
        <v>1411</v>
      </c>
      <c r="F317" s="341" t="s">
        <v>1412</v>
      </c>
      <c r="G317" s="340" t="s">
        <v>1134</v>
      </c>
      <c r="H317" s="340" t="s">
        <v>1135</v>
      </c>
      <c r="I317" s="342">
        <v>10.458333333333334</v>
      </c>
      <c r="J317" s="342">
        <v>300</v>
      </c>
      <c r="K317" s="343">
        <v>3138.2999999999997</v>
      </c>
    </row>
    <row r="318" spans="1:11" ht="14.4" customHeight="1" x14ac:dyDescent="0.3">
      <c r="A318" s="338" t="s">
        <v>343</v>
      </c>
      <c r="B318" s="339" t="s">
        <v>515</v>
      </c>
      <c r="C318" s="340" t="s">
        <v>348</v>
      </c>
      <c r="D318" s="341" t="s">
        <v>516</v>
      </c>
      <c r="E318" s="340" t="s">
        <v>1411</v>
      </c>
      <c r="F318" s="341" t="s">
        <v>1412</v>
      </c>
      <c r="G318" s="340" t="s">
        <v>1136</v>
      </c>
      <c r="H318" s="340" t="s">
        <v>1137</v>
      </c>
      <c r="I318" s="342">
        <v>10.99</v>
      </c>
      <c r="J318" s="342">
        <v>50</v>
      </c>
      <c r="K318" s="343">
        <v>549.34</v>
      </c>
    </row>
    <row r="319" spans="1:11" ht="14.4" customHeight="1" x14ac:dyDescent="0.3">
      <c r="A319" s="338" t="s">
        <v>343</v>
      </c>
      <c r="B319" s="339" t="s">
        <v>515</v>
      </c>
      <c r="C319" s="340" t="s">
        <v>348</v>
      </c>
      <c r="D319" s="341" t="s">
        <v>516</v>
      </c>
      <c r="E319" s="340" t="s">
        <v>1411</v>
      </c>
      <c r="F319" s="341" t="s">
        <v>1412</v>
      </c>
      <c r="G319" s="340" t="s">
        <v>1138</v>
      </c>
      <c r="H319" s="340" t="s">
        <v>1139</v>
      </c>
      <c r="I319" s="342">
        <v>10.99</v>
      </c>
      <c r="J319" s="342">
        <v>150</v>
      </c>
      <c r="K319" s="343">
        <v>1648.02</v>
      </c>
    </row>
    <row r="320" spans="1:11" ht="14.4" customHeight="1" x14ac:dyDescent="0.3">
      <c r="A320" s="338" t="s">
        <v>343</v>
      </c>
      <c r="B320" s="339" t="s">
        <v>515</v>
      </c>
      <c r="C320" s="340" t="s">
        <v>348</v>
      </c>
      <c r="D320" s="341" t="s">
        <v>516</v>
      </c>
      <c r="E320" s="340" t="s">
        <v>1411</v>
      </c>
      <c r="F320" s="341" t="s">
        <v>1412</v>
      </c>
      <c r="G320" s="340" t="s">
        <v>1140</v>
      </c>
      <c r="H320" s="340" t="s">
        <v>1141</v>
      </c>
      <c r="I320" s="342">
        <v>10.986666666666666</v>
      </c>
      <c r="J320" s="342">
        <v>150</v>
      </c>
      <c r="K320" s="343">
        <v>1647.8600000000001</v>
      </c>
    </row>
    <row r="321" spans="1:11" ht="14.4" customHeight="1" x14ac:dyDescent="0.3">
      <c r="A321" s="338" t="s">
        <v>343</v>
      </c>
      <c r="B321" s="339" t="s">
        <v>515</v>
      </c>
      <c r="C321" s="340" t="s">
        <v>348</v>
      </c>
      <c r="D321" s="341" t="s">
        <v>516</v>
      </c>
      <c r="E321" s="340" t="s">
        <v>1411</v>
      </c>
      <c r="F321" s="341" t="s">
        <v>1412</v>
      </c>
      <c r="G321" s="340" t="s">
        <v>1142</v>
      </c>
      <c r="H321" s="340" t="s">
        <v>1143</v>
      </c>
      <c r="I321" s="342">
        <v>10.455</v>
      </c>
      <c r="J321" s="342">
        <v>100</v>
      </c>
      <c r="K321" s="343">
        <v>1045.6600000000001</v>
      </c>
    </row>
    <row r="322" spans="1:11" ht="14.4" customHeight="1" x14ac:dyDescent="0.3">
      <c r="A322" s="338" t="s">
        <v>343</v>
      </c>
      <c r="B322" s="339" t="s">
        <v>515</v>
      </c>
      <c r="C322" s="340" t="s">
        <v>348</v>
      </c>
      <c r="D322" s="341" t="s">
        <v>516</v>
      </c>
      <c r="E322" s="340" t="s">
        <v>1411</v>
      </c>
      <c r="F322" s="341" t="s">
        <v>1412</v>
      </c>
      <c r="G322" s="340" t="s">
        <v>1142</v>
      </c>
      <c r="H322" s="340" t="s">
        <v>1144</v>
      </c>
      <c r="I322" s="342">
        <v>10.45</v>
      </c>
      <c r="J322" s="342">
        <v>150</v>
      </c>
      <c r="K322" s="343">
        <v>1568.16</v>
      </c>
    </row>
    <row r="323" spans="1:11" ht="14.4" customHeight="1" x14ac:dyDescent="0.3">
      <c r="A323" s="338" t="s">
        <v>343</v>
      </c>
      <c r="B323" s="339" t="s">
        <v>515</v>
      </c>
      <c r="C323" s="340" t="s">
        <v>348</v>
      </c>
      <c r="D323" s="341" t="s">
        <v>516</v>
      </c>
      <c r="E323" s="340" t="s">
        <v>1411</v>
      </c>
      <c r="F323" s="341" t="s">
        <v>1412</v>
      </c>
      <c r="G323" s="340" t="s">
        <v>1145</v>
      </c>
      <c r="H323" s="340" t="s">
        <v>1146</v>
      </c>
      <c r="I323" s="342">
        <v>10.45</v>
      </c>
      <c r="J323" s="342">
        <v>100</v>
      </c>
      <c r="K323" s="343">
        <v>1045.44</v>
      </c>
    </row>
    <row r="324" spans="1:11" ht="14.4" customHeight="1" x14ac:dyDescent="0.3">
      <c r="A324" s="338" t="s">
        <v>343</v>
      </c>
      <c r="B324" s="339" t="s">
        <v>515</v>
      </c>
      <c r="C324" s="340" t="s">
        <v>348</v>
      </c>
      <c r="D324" s="341" t="s">
        <v>516</v>
      </c>
      <c r="E324" s="340" t="s">
        <v>1411</v>
      </c>
      <c r="F324" s="341" t="s">
        <v>1412</v>
      </c>
      <c r="G324" s="340" t="s">
        <v>1147</v>
      </c>
      <c r="H324" s="340" t="s">
        <v>1148</v>
      </c>
      <c r="I324" s="342">
        <v>10.98</v>
      </c>
      <c r="J324" s="342">
        <v>100</v>
      </c>
      <c r="K324" s="343">
        <v>1098.07</v>
      </c>
    </row>
    <row r="325" spans="1:11" ht="14.4" customHeight="1" x14ac:dyDescent="0.3">
      <c r="A325" s="338" t="s">
        <v>343</v>
      </c>
      <c r="B325" s="339" t="s">
        <v>515</v>
      </c>
      <c r="C325" s="340" t="s">
        <v>348</v>
      </c>
      <c r="D325" s="341" t="s">
        <v>516</v>
      </c>
      <c r="E325" s="340" t="s">
        <v>1411</v>
      </c>
      <c r="F325" s="341" t="s">
        <v>1412</v>
      </c>
      <c r="G325" s="340" t="s">
        <v>1147</v>
      </c>
      <c r="H325" s="340" t="s">
        <v>1149</v>
      </c>
      <c r="I325" s="342">
        <v>10.98</v>
      </c>
      <c r="J325" s="342">
        <v>100</v>
      </c>
      <c r="K325" s="343">
        <v>1097.8800000000001</v>
      </c>
    </row>
    <row r="326" spans="1:11" ht="14.4" customHeight="1" x14ac:dyDescent="0.3">
      <c r="A326" s="338" t="s">
        <v>343</v>
      </c>
      <c r="B326" s="339" t="s">
        <v>515</v>
      </c>
      <c r="C326" s="340" t="s">
        <v>348</v>
      </c>
      <c r="D326" s="341" t="s">
        <v>516</v>
      </c>
      <c r="E326" s="340" t="s">
        <v>1411</v>
      </c>
      <c r="F326" s="341" t="s">
        <v>1412</v>
      </c>
      <c r="G326" s="340" t="s">
        <v>1150</v>
      </c>
      <c r="H326" s="340" t="s">
        <v>1151</v>
      </c>
      <c r="I326" s="342">
        <v>0.48500000000000004</v>
      </c>
      <c r="J326" s="342">
        <v>1200</v>
      </c>
      <c r="K326" s="343">
        <v>582</v>
      </c>
    </row>
    <row r="327" spans="1:11" ht="14.4" customHeight="1" x14ac:dyDescent="0.3">
      <c r="A327" s="338" t="s">
        <v>343</v>
      </c>
      <c r="B327" s="339" t="s">
        <v>515</v>
      </c>
      <c r="C327" s="340" t="s">
        <v>348</v>
      </c>
      <c r="D327" s="341" t="s">
        <v>516</v>
      </c>
      <c r="E327" s="340" t="s">
        <v>1411</v>
      </c>
      <c r="F327" s="341" t="s">
        <v>1412</v>
      </c>
      <c r="G327" s="340" t="s">
        <v>1152</v>
      </c>
      <c r="H327" s="340" t="s">
        <v>1153</v>
      </c>
      <c r="I327" s="342">
        <v>25.51</v>
      </c>
      <c r="J327" s="342">
        <v>72</v>
      </c>
      <c r="K327" s="343">
        <v>1836.8999999999999</v>
      </c>
    </row>
    <row r="328" spans="1:11" ht="14.4" customHeight="1" x14ac:dyDescent="0.3">
      <c r="A328" s="338" t="s">
        <v>343</v>
      </c>
      <c r="B328" s="339" t="s">
        <v>515</v>
      </c>
      <c r="C328" s="340" t="s">
        <v>348</v>
      </c>
      <c r="D328" s="341" t="s">
        <v>516</v>
      </c>
      <c r="E328" s="340" t="s">
        <v>1411</v>
      </c>
      <c r="F328" s="341" t="s">
        <v>1412</v>
      </c>
      <c r="G328" s="340" t="s">
        <v>1154</v>
      </c>
      <c r="H328" s="340" t="s">
        <v>1155</v>
      </c>
      <c r="I328" s="342">
        <v>3.03</v>
      </c>
      <c r="J328" s="342">
        <v>100</v>
      </c>
      <c r="K328" s="343">
        <v>302.51</v>
      </c>
    </row>
    <row r="329" spans="1:11" ht="14.4" customHeight="1" x14ac:dyDescent="0.3">
      <c r="A329" s="338" t="s">
        <v>343</v>
      </c>
      <c r="B329" s="339" t="s">
        <v>515</v>
      </c>
      <c r="C329" s="340" t="s">
        <v>348</v>
      </c>
      <c r="D329" s="341" t="s">
        <v>516</v>
      </c>
      <c r="E329" s="340" t="s">
        <v>1411</v>
      </c>
      <c r="F329" s="341" t="s">
        <v>1412</v>
      </c>
      <c r="G329" s="340" t="s">
        <v>1156</v>
      </c>
      <c r="H329" s="340" t="s">
        <v>1157</v>
      </c>
      <c r="I329" s="342">
        <v>21.679999999999996</v>
      </c>
      <c r="J329" s="342">
        <v>72</v>
      </c>
      <c r="K329" s="343">
        <v>1560.8999999999999</v>
      </c>
    </row>
    <row r="330" spans="1:11" ht="14.4" customHeight="1" x14ac:dyDescent="0.3">
      <c r="A330" s="338" t="s">
        <v>343</v>
      </c>
      <c r="B330" s="339" t="s">
        <v>515</v>
      </c>
      <c r="C330" s="340" t="s">
        <v>348</v>
      </c>
      <c r="D330" s="341" t="s">
        <v>516</v>
      </c>
      <c r="E330" s="340" t="s">
        <v>1411</v>
      </c>
      <c r="F330" s="341" t="s">
        <v>1412</v>
      </c>
      <c r="G330" s="340" t="s">
        <v>1158</v>
      </c>
      <c r="H330" s="340" t="s">
        <v>1159</v>
      </c>
      <c r="I330" s="342">
        <v>13.21</v>
      </c>
      <c r="J330" s="342">
        <v>150</v>
      </c>
      <c r="K330" s="343">
        <v>1981.98</v>
      </c>
    </row>
    <row r="331" spans="1:11" ht="14.4" customHeight="1" x14ac:dyDescent="0.3">
      <c r="A331" s="338" t="s">
        <v>343</v>
      </c>
      <c r="B331" s="339" t="s">
        <v>515</v>
      </c>
      <c r="C331" s="340" t="s">
        <v>348</v>
      </c>
      <c r="D331" s="341" t="s">
        <v>516</v>
      </c>
      <c r="E331" s="340" t="s">
        <v>1411</v>
      </c>
      <c r="F331" s="341" t="s">
        <v>1412</v>
      </c>
      <c r="G331" s="340" t="s">
        <v>1160</v>
      </c>
      <c r="H331" s="340" t="s">
        <v>1161</v>
      </c>
      <c r="I331" s="342">
        <v>10.987500000000001</v>
      </c>
      <c r="J331" s="342">
        <v>340</v>
      </c>
      <c r="K331" s="343">
        <v>3734.8600000000006</v>
      </c>
    </row>
    <row r="332" spans="1:11" ht="14.4" customHeight="1" x14ac:dyDescent="0.3">
      <c r="A332" s="338" t="s">
        <v>343</v>
      </c>
      <c r="B332" s="339" t="s">
        <v>515</v>
      </c>
      <c r="C332" s="340" t="s">
        <v>348</v>
      </c>
      <c r="D332" s="341" t="s">
        <v>516</v>
      </c>
      <c r="E332" s="340" t="s">
        <v>1411</v>
      </c>
      <c r="F332" s="341" t="s">
        <v>1412</v>
      </c>
      <c r="G332" s="340" t="s">
        <v>1162</v>
      </c>
      <c r="H332" s="340" t="s">
        <v>1163</v>
      </c>
      <c r="I332" s="342">
        <v>25.51</v>
      </c>
      <c r="J332" s="342">
        <v>72</v>
      </c>
      <c r="K332" s="343">
        <v>1836.8999999999999</v>
      </c>
    </row>
    <row r="333" spans="1:11" ht="14.4" customHeight="1" x14ac:dyDescent="0.3">
      <c r="A333" s="338" t="s">
        <v>343</v>
      </c>
      <c r="B333" s="339" t="s">
        <v>515</v>
      </c>
      <c r="C333" s="340" t="s">
        <v>348</v>
      </c>
      <c r="D333" s="341" t="s">
        <v>516</v>
      </c>
      <c r="E333" s="340" t="s">
        <v>1411</v>
      </c>
      <c r="F333" s="341" t="s">
        <v>1412</v>
      </c>
      <c r="G333" s="340" t="s">
        <v>1164</v>
      </c>
      <c r="H333" s="340" t="s">
        <v>1165</v>
      </c>
      <c r="I333" s="342">
        <v>25.51</v>
      </c>
      <c r="J333" s="342">
        <v>72</v>
      </c>
      <c r="K333" s="343">
        <v>1836.8999999999999</v>
      </c>
    </row>
    <row r="334" spans="1:11" ht="14.4" customHeight="1" x14ac:dyDescent="0.3">
      <c r="A334" s="338" t="s">
        <v>343</v>
      </c>
      <c r="B334" s="339" t="s">
        <v>515</v>
      </c>
      <c r="C334" s="340" t="s">
        <v>348</v>
      </c>
      <c r="D334" s="341" t="s">
        <v>516</v>
      </c>
      <c r="E334" s="340" t="s">
        <v>1411</v>
      </c>
      <c r="F334" s="341" t="s">
        <v>1412</v>
      </c>
      <c r="G334" s="340" t="s">
        <v>1166</v>
      </c>
      <c r="H334" s="340" t="s">
        <v>1167</v>
      </c>
      <c r="I334" s="342">
        <v>11.36</v>
      </c>
      <c r="J334" s="342">
        <v>50</v>
      </c>
      <c r="K334" s="343">
        <v>568.1</v>
      </c>
    </row>
    <row r="335" spans="1:11" ht="14.4" customHeight="1" x14ac:dyDescent="0.3">
      <c r="A335" s="338" t="s">
        <v>343</v>
      </c>
      <c r="B335" s="339" t="s">
        <v>515</v>
      </c>
      <c r="C335" s="340" t="s">
        <v>348</v>
      </c>
      <c r="D335" s="341" t="s">
        <v>516</v>
      </c>
      <c r="E335" s="340" t="s">
        <v>1411</v>
      </c>
      <c r="F335" s="341" t="s">
        <v>1412</v>
      </c>
      <c r="G335" s="340" t="s">
        <v>1168</v>
      </c>
      <c r="H335" s="340" t="s">
        <v>1169</v>
      </c>
      <c r="I335" s="342">
        <v>25.51</v>
      </c>
      <c r="J335" s="342">
        <v>72</v>
      </c>
      <c r="K335" s="343">
        <v>1836.8999999999999</v>
      </c>
    </row>
    <row r="336" spans="1:11" ht="14.4" customHeight="1" x14ac:dyDescent="0.3">
      <c r="A336" s="338" t="s">
        <v>343</v>
      </c>
      <c r="B336" s="339" t="s">
        <v>515</v>
      </c>
      <c r="C336" s="340" t="s">
        <v>348</v>
      </c>
      <c r="D336" s="341" t="s">
        <v>516</v>
      </c>
      <c r="E336" s="340" t="s">
        <v>1411</v>
      </c>
      <c r="F336" s="341" t="s">
        <v>1412</v>
      </c>
      <c r="G336" s="340" t="s">
        <v>1170</v>
      </c>
      <c r="H336" s="340" t="s">
        <v>1171</v>
      </c>
      <c r="I336" s="342">
        <v>13.21</v>
      </c>
      <c r="J336" s="342">
        <v>50</v>
      </c>
      <c r="K336" s="343">
        <v>660.66</v>
      </c>
    </row>
    <row r="337" spans="1:11" ht="14.4" customHeight="1" x14ac:dyDescent="0.3">
      <c r="A337" s="338" t="s">
        <v>343</v>
      </c>
      <c r="B337" s="339" t="s">
        <v>515</v>
      </c>
      <c r="C337" s="340" t="s">
        <v>348</v>
      </c>
      <c r="D337" s="341" t="s">
        <v>516</v>
      </c>
      <c r="E337" s="340" t="s">
        <v>1411</v>
      </c>
      <c r="F337" s="341" t="s">
        <v>1412</v>
      </c>
      <c r="G337" s="340" t="s">
        <v>1172</v>
      </c>
      <c r="H337" s="340" t="s">
        <v>1173</v>
      </c>
      <c r="I337" s="342">
        <v>786.5</v>
      </c>
      <c r="J337" s="342">
        <v>30</v>
      </c>
      <c r="K337" s="343">
        <v>23595</v>
      </c>
    </row>
    <row r="338" spans="1:11" ht="14.4" customHeight="1" x14ac:dyDescent="0.3">
      <c r="A338" s="338" t="s">
        <v>343</v>
      </c>
      <c r="B338" s="339" t="s">
        <v>515</v>
      </c>
      <c r="C338" s="340" t="s">
        <v>348</v>
      </c>
      <c r="D338" s="341" t="s">
        <v>516</v>
      </c>
      <c r="E338" s="340" t="s">
        <v>1411</v>
      </c>
      <c r="F338" s="341" t="s">
        <v>1412</v>
      </c>
      <c r="G338" s="340" t="s">
        <v>1174</v>
      </c>
      <c r="H338" s="340" t="s">
        <v>1175</v>
      </c>
      <c r="I338" s="342">
        <v>10.45</v>
      </c>
      <c r="J338" s="342">
        <v>200</v>
      </c>
      <c r="K338" s="343">
        <v>2090.88</v>
      </c>
    </row>
    <row r="339" spans="1:11" ht="14.4" customHeight="1" x14ac:dyDescent="0.3">
      <c r="A339" s="338" t="s">
        <v>343</v>
      </c>
      <c r="B339" s="339" t="s">
        <v>515</v>
      </c>
      <c r="C339" s="340" t="s">
        <v>348</v>
      </c>
      <c r="D339" s="341" t="s">
        <v>516</v>
      </c>
      <c r="E339" s="340" t="s">
        <v>1411</v>
      </c>
      <c r="F339" s="341" t="s">
        <v>1412</v>
      </c>
      <c r="G339" s="340" t="s">
        <v>1176</v>
      </c>
      <c r="H339" s="340" t="s">
        <v>1177</v>
      </c>
      <c r="I339" s="342">
        <v>13.21</v>
      </c>
      <c r="J339" s="342">
        <v>150</v>
      </c>
      <c r="K339" s="343">
        <v>1981.98</v>
      </c>
    </row>
    <row r="340" spans="1:11" ht="14.4" customHeight="1" x14ac:dyDescent="0.3">
      <c r="A340" s="338" t="s">
        <v>343</v>
      </c>
      <c r="B340" s="339" t="s">
        <v>515</v>
      </c>
      <c r="C340" s="340" t="s">
        <v>348</v>
      </c>
      <c r="D340" s="341" t="s">
        <v>516</v>
      </c>
      <c r="E340" s="340" t="s">
        <v>1411</v>
      </c>
      <c r="F340" s="341" t="s">
        <v>1412</v>
      </c>
      <c r="G340" s="340" t="s">
        <v>1178</v>
      </c>
      <c r="H340" s="340" t="s">
        <v>1179</v>
      </c>
      <c r="I340" s="342">
        <v>10.99</v>
      </c>
      <c r="J340" s="342">
        <v>100</v>
      </c>
      <c r="K340" s="343">
        <v>1098.68</v>
      </c>
    </row>
    <row r="341" spans="1:11" ht="14.4" customHeight="1" x14ac:dyDescent="0.3">
      <c r="A341" s="338" t="s">
        <v>343</v>
      </c>
      <c r="B341" s="339" t="s">
        <v>515</v>
      </c>
      <c r="C341" s="340" t="s">
        <v>348</v>
      </c>
      <c r="D341" s="341" t="s">
        <v>516</v>
      </c>
      <c r="E341" s="340" t="s">
        <v>1411</v>
      </c>
      <c r="F341" s="341" t="s">
        <v>1412</v>
      </c>
      <c r="G341" s="340" t="s">
        <v>1180</v>
      </c>
      <c r="H341" s="340" t="s">
        <v>1181</v>
      </c>
      <c r="I341" s="342">
        <v>101.58</v>
      </c>
      <c r="J341" s="342">
        <v>100</v>
      </c>
      <c r="K341" s="343">
        <v>10157.950000000001</v>
      </c>
    </row>
    <row r="342" spans="1:11" ht="14.4" customHeight="1" x14ac:dyDescent="0.3">
      <c r="A342" s="338" t="s">
        <v>343</v>
      </c>
      <c r="B342" s="339" t="s">
        <v>515</v>
      </c>
      <c r="C342" s="340" t="s">
        <v>348</v>
      </c>
      <c r="D342" s="341" t="s">
        <v>516</v>
      </c>
      <c r="E342" s="340" t="s">
        <v>1411</v>
      </c>
      <c r="F342" s="341" t="s">
        <v>1412</v>
      </c>
      <c r="G342" s="340" t="s">
        <v>1182</v>
      </c>
      <c r="H342" s="340" t="s">
        <v>1183</v>
      </c>
      <c r="I342" s="342">
        <v>6.55</v>
      </c>
      <c r="J342" s="342">
        <v>50</v>
      </c>
      <c r="K342" s="343">
        <v>327.31</v>
      </c>
    </row>
    <row r="343" spans="1:11" ht="14.4" customHeight="1" x14ac:dyDescent="0.3">
      <c r="A343" s="338" t="s">
        <v>343</v>
      </c>
      <c r="B343" s="339" t="s">
        <v>515</v>
      </c>
      <c r="C343" s="340" t="s">
        <v>348</v>
      </c>
      <c r="D343" s="341" t="s">
        <v>516</v>
      </c>
      <c r="E343" s="340" t="s">
        <v>1411</v>
      </c>
      <c r="F343" s="341" t="s">
        <v>1412</v>
      </c>
      <c r="G343" s="340" t="s">
        <v>1184</v>
      </c>
      <c r="H343" s="340" t="s">
        <v>1185</v>
      </c>
      <c r="I343" s="342">
        <v>6.55</v>
      </c>
      <c r="J343" s="342">
        <v>50</v>
      </c>
      <c r="K343" s="343">
        <v>327.31</v>
      </c>
    </row>
    <row r="344" spans="1:11" ht="14.4" customHeight="1" x14ac:dyDescent="0.3">
      <c r="A344" s="338" t="s">
        <v>343</v>
      </c>
      <c r="B344" s="339" t="s">
        <v>515</v>
      </c>
      <c r="C344" s="340" t="s">
        <v>348</v>
      </c>
      <c r="D344" s="341" t="s">
        <v>516</v>
      </c>
      <c r="E344" s="340" t="s">
        <v>1413</v>
      </c>
      <c r="F344" s="341" t="s">
        <v>1414</v>
      </c>
      <c r="G344" s="340" t="s">
        <v>1186</v>
      </c>
      <c r="H344" s="340" t="s">
        <v>1187</v>
      </c>
      <c r="I344" s="342">
        <v>10.55</v>
      </c>
      <c r="J344" s="342">
        <v>160</v>
      </c>
      <c r="K344" s="343">
        <v>1688.2</v>
      </c>
    </row>
    <row r="345" spans="1:11" ht="14.4" customHeight="1" x14ac:dyDescent="0.3">
      <c r="A345" s="338" t="s">
        <v>343</v>
      </c>
      <c r="B345" s="339" t="s">
        <v>515</v>
      </c>
      <c r="C345" s="340" t="s">
        <v>348</v>
      </c>
      <c r="D345" s="341" t="s">
        <v>516</v>
      </c>
      <c r="E345" s="340" t="s">
        <v>1413</v>
      </c>
      <c r="F345" s="341" t="s">
        <v>1414</v>
      </c>
      <c r="G345" s="340" t="s">
        <v>1188</v>
      </c>
      <c r="H345" s="340" t="s">
        <v>1189</v>
      </c>
      <c r="I345" s="342">
        <v>20.69</v>
      </c>
      <c r="J345" s="342">
        <v>400</v>
      </c>
      <c r="K345" s="343">
        <v>8276.4</v>
      </c>
    </row>
    <row r="346" spans="1:11" ht="14.4" customHeight="1" x14ac:dyDescent="0.3">
      <c r="A346" s="338" t="s">
        <v>343</v>
      </c>
      <c r="B346" s="339" t="s">
        <v>515</v>
      </c>
      <c r="C346" s="340" t="s">
        <v>348</v>
      </c>
      <c r="D346" s="341" t="s">
        <v>516</v>
      </c>
      <c r="E346" s="340" t="s">
        <v>1413</v>
      </c>
      <c r="F346" s="341" t="s">
        <v>1414</v>
      </c>
      <c r="G346" s="340" t="s">
        <v>1190</v>
      </c>
      <c r="H346" s="340" t="s">
        <v>1191</v>
      </c>
      <c r="I346" s="342">
        <v>16.21</v>
      </c>
      <c r="J346" s="342">
        <v>300</v>
      </c>
      <c r="K346" s="343">
        <v>4864.2</v>
      </c>
    </row>
    <row r="347" spans="1:11" ht="14.4" customHeight="1" x14ac:dyDescent="0.3">
      <c r="A347" s="338" t="s">
        <v>343</v>
      </c>
      <c r="B347" s="339" t="s">
        <v>515</v>
      </c>
      <c r="C347" s="340" t="s">
        <v>348</v>
      </c>
      <c r="D347" s="341" t="s">
        <v>516</v>
      </c>
      <c r="E347" s="340" t="s">
        <v>1413</v>
      </c>
      <c r="F347" s="341" t="s">
        <v>1414</v>
      </c>
      <c r="G347" s="340" t="s">
        <v>1192</v>
      </c>
      <c r="H347" s="340" t="s">
        <v>1193</v>
      </c>
      <c r="I347" s="342">
        <v>20.69142857142857</v>
      </c>
      <c r="J347" s="342">
        <v>900</v>
      </c>
      <c r="K347" s="343">
        <v>18622.349999999999</v>
      </c>
    </row>
    <row r="348" spans="1:11" ht="14.4" customHeight="1" x14ac:dyDescent="0.3">
      <c r="A348" s="338" t="s">
        <v>343</v>
      </c>
      <c r="B348" s="339" t="s">
        <v>515</v>
      </c>
      <c r="C348" s="340" t="s">
        <v>348</v>
      </c>
      <c r="D348" s="341" t="s">
        <v>516</v>
      </c>
      <c r="E348" s="340" t="s">
        <v>1413</v>
      </c>
      <c r="F348" s="341" t="s">
        <v>1414</v>
      </c>
      <c r="G348" s="340" t="s">
        <v>1194</v>
      </c>
      <c r="H348" s="340" t="s">
        <v>1195</v>
      </c>
      <c r="I348" s="342">
        <v>20.691666666666666</v>
      </c>
      <c r="J348" s="342">
        <v>900</v>
      </c>
      <c r="K348" s="343">
        <v>18621.949999999997</v>
      </c>
    </row>
    <row r="349" spans="1:11" ht="14.4" customHeight="1" x14ac:dyDescent="0.3">
      <c r="A349" s="338" t="s">
        <v>343</v>
      </c>
      <c r="B349" s="339" t="s">
        <v>515</v>
      </c>
      <c r="C349" s="340" t="s">
        <v>348</v>
      </c>
      <c r="D349" s="341" t="s">
        <v>516</v>
      </c>
      <c r="E349" s="340" t="s">
        <v>1413</v>
      </c>
      <c r="F349" s="341" t="s">
        <v>1414</v>
      </c>
      <c r="G349" s="340" t="s">
        <v>1196</v>
      </c>
      <c r="H349" s="340" t="s">
        <v>1197</v>
      </c>
      <c r="I349" s="342">
        <v>2.94</v>
      </c>
      <c r="J349" s="342">
        <v>400</v>
      </c>
      <c r="K349" s="343">
        <v>1175.73</v>
      </c>
    </row>
    <row r="350" spans="1:11" ht="14.4" customHeight="1" x14ac:dyDescent="0.3">
      <c r="A350" s="338" t="s">
        <v>343</v>
      </c>
      <c r="B350" s="339" t="s">
        <v>515</v>
      </c>
      <c r="C350" s="340" t="s">
        <v>348</v>
      </c>
      <c r="D350" s="341" t="s">
        <v>516</v>
      </c>
      <c r="E350" s="340" t="s">
        <v>1413</v>
      </c>
      <c r="F350" s="341" t="s">
        <v>1414</v>
      </c>
      <c r="G350" s="340" t="s">
        <v>1198</v>
      </c>
      <c r="H350" s="340" t="s">
        <v>1199</v>
      </c>
      <c r="I350" s="342">
        <v>16.210000000000004</v>
      </c>
      <c r="J350" s="342">
        <v>875</v>
      </c>
      <c r="K350" s="343">
        <v>14187.450000000003</v>
      </c>
    </row>
    <row r="351" spans="1:11" ht="14.4" customHeight="1" x14ac:dyDescent="0.3">
      <c r="A351" s="338" t="s">
        <v>343</v>
      </c>
      <c r="B351" s="339" t="s">
        <v>515</v>
      </c>
      <c r="C351" s="340" t="s">
        <v>348</v>
      </c>
      <c r="D351" s="341" t="s">
        <v>516</v>
      </c>
      <c r="E351" s="340" t="s">
        <v>1413</v>
      </c>
      <c r="F351" s="341" t="s">
        <v>1414</v>
      </c>
      <c r="G351" s="340" t="s">
        <v>1200</v>
      </c>
      <c r="H351" s="340" t="s">
        <v>1201</v>
      </c>
      <c r="I351" s="342">
        <v>11.015000000000001</v>
      </c>
      <c r="J351" s="342">
        <v>635</v>
      </c>
      <c r="K351" s="343">
        <v>6992.63</v>
      </c>
    </row>
    <row r="352" spans="1:11" ht="14.4" customHeight="1" x14ac:dyDescent="0.3">
      <c r="A352" s="338" t="s">
        <v>343</v>
      </c>
      <c r="B352" s="339" t="s">
        <v>515</v>
      </c>
      <c r="C352" s="340" t="s">
        <v>348</v>
      </c>
      <c r="D352" s="341" t="s">
        <v>516</v>
      </c>
      <c r="E352" s="340" t="s">
        <v>1413</v>
      </c>
      <c r="F352" s="341" t="s">
        <v>1414</v>
      </c>
      <c r="G352" s="340" t="s">
        <v>1202</v>
      </c>
      <c r="H352" s="340" t="s">
        <v>1203</v>
      </c>
      <c r="I352" s="342">
        <v>11.01</v>
      </c>
      <c r="J352" s="342">
        <v>480</v>
      </c>
      <c r="K352" s="343">
        <v>5284.8</v>
      </c>
    </row>
    <row r="353" spans="1:11" ht="14.4" customHeight="1" x14ac:dyDescent="0.3">
      <c r="A353" s="338" t="s">
        <v>343</v>
      </c>
      <c r="B353" s="339" t="s">
        <v>515</v>
      </c>
      <c r="C353" s="340" t="s">
        <v>348</v>
      </c>
      <c r="D353" s="341" t="s">
        <v>516</v>
      </c>
      <c r="E353" s="340" t="s">
        <v>1413</v>
      </c>
      <c r="F353" s="341" t="s">
        <v>1414</v>
      </c>
      <c r="G353" s="340" t="s">
        <v>1204</v>
      </c>
      <c r="H353" s="340" t="s">
        <v>1205</v>
      </c>
      <c r="I353" s="342">
        <v>11.01</v>
      </c>
      <c r="J353" s="342">
        <v>2160</v>
      </c>
      <c r="K353" s="343">
        <v>23781.599999999999</v>
      </c>
    </row>
    <row r="354" spans="1:11" ht="14.4" customHeight="1" x14ac:dyDescent="0.3">
      <c r="A354" s="338" t="s">
        <v>343</v>
      </c>
      <c r="B354" s="339" t="s">
        <v>515</v>
      </c>
      <c r="C354" s="340" t="s">
        <v>348</v>
      </c>
      <c r="D354" s="341" t="s">
        <v>516</v>
      </c>
      <c r="E354" s="340" t="s">
        <v>1413</v>
      </c>
      <c r="F354" s="341" t="s">
        <v>1414</v>
      </c>
      <c r="G354" s="340" t="s">
        <v>1206</v>
      </c>
      <c r="H354" s="340" t="s">
        <v>1207</v>
      </c>
      <c r="I354" s="342">
        <v>11.01</v>
      </c>
      <c r="J354" s="342">
        <v>1920</v>
      </c>
      <c r="K354" s="343">
        <v>21139.200000000001</v>
      </c>
    </row>
    <row r="355" spans="1:11" ht="14.4" customHeight="1" x14ac:dyDescent="0.3">
      <c r="A355" s="338" t="s">
        <v>343</v>
      </c>
      <c r="B355" s="339" t="s">
        <v>515</v>
      </c>
      <c r="C355" s="340" t="s">
        <v>348</v>
      </c>
      <c r="D355" s="341" t="s">
        <v>516</v>
      </c>
      <c r="E355" s="340" t="s">
        <v>1413</v>
      </c>
      <c r="F355" s="341" t="s">
        <v>1414</v>
      </c>
      <c r="G355" s="340" t="s">
        <v>1208</v>
      </c>
      <c r="H355" s="340" t="s">
        <v>1209</v>
      </c>
      <c r="I355" s="342">
        <v>11.01</v>
      </c>
      <c r="J355" s="342">
        <v>1440</v>
      </c>
      <c r="K355" s="343">
        <v>15854.4</v>
      </c>
    </row>
    <row r="356" spans="1:11" ht="14.4" customHeight="1" x14ac:dyDescent="0.3">
      <c r="A356" s="338" t="s">
        <v>343</v>
      </c>
      <c r="B356" s="339" t="s">
        <v>515</v>
      </c>
      <c r="C356" s="340" t="s">
        <v>348</v>
      </c>
      <c r="D356" s="341" t="s">
        <v>516</v>
      </c>
      <c r="E356" s="340" t="s">
        <v>1413</v>
      </c>
      <c r="F356" s="341" t="s">
        <v>1414</v>
      </c>
      <c r="G356" s="340" t="s">
        <v>1210</v>
      </c>
      <c r="H356" s="340" t="s">
        <v>1211</v>
      </c>
      <c r="I356" s="342">
        <v>10.55</v>
      </c>
      <c r="J356" s="342">
        <v>640</v>
      </c>
      <c r="K356" s="343">
        <v>6752.54</v>
      </c>
    </row>
    <row r="357" spans="1:11" ht="14.4" customHeight="1" x14ac:dyDescent="0.3">
      <c r="A357" s="338" t="s">
        <v>343</v>
      </c>
      <c r="B357" s="339" t="s">
        <v>515</v>
      </c>
      <c r="C357" s="340" t="s">
        <v>348</v>
      </c>
      <c r="D357" s="341" t="s">
        <v>516</v>
      </c>
      <c r="E357" s="340" t="s">
        <v>1413</v>
      </c>
      <c r="F357" s="341" t="s">
        <v>1414</v>
      </c>
      <c r="G357" s="340" t="s">
        <v>1212</v>
      </c>
      <c r="H357" s="340" t="s">
        <v>1213</v>
      </c>
      <c r="I357" s="342">
        <v>10.549999999999999</v>
      </c>
      <c r="J357" s="342">
        <v>1840</v>
      </c>
      <c r="K357" s="343">
        <v>19414.349999999999</v>
      </c>
    </row>
    <row r="358" spans="1:11" ht="14.4" customHeight="1" x14ac:dyDescent="0.3">
      <c r="A358" s="338" t="s">
        <v>343</v>
      </c>
      <c r="B358" s="339" t="s">
        <v>515</v>
      </c>
      <c r="C358" s="340" t="s">
        <v>348</v>
      </c>
      <c r="D358" s="341" t="s">
        <v>516</v>
      </c>
      <c r="E358" s="340" t="s">
        <v>1413</v>
      </c>
      <c r="F358" s="341" t="s">
        <v>1414</v>
      </c>
      <c r="G358" s="340" t="s">
        <v>1214</v>
      </c>
      <c r="H358" s="340" t="s">
        <v>1215</v>
      </c>
      <c r="I358" s="342">
        <v>10.55</v>
      </c>
      <c r="J358" s="342">
        <v>480</v>
      </c>
      <c r="K358" s="343">
        <v>5064.29</v>
      </c>
    </row>
    <row r="359" spans="1:11" ht="14.4" customHeight="1" x14ac:dyDescent="0.3">
      <c r="A359" s="338" t="s">
        <v>343</v>
      </c>
      <c r="B359" s="339" t="s">
        <v>515</v>
      </c>
      <c r="C359" s="340" t="s">
        <v>348</v>
      </c>
      <c r="D359" s="341" t="s">
        <v>516</v>
      </c>
      <c r="E359" s="340" t="s">
        <v>1413</v>
      </c>
      <c r="F359" s="341" t="s">
        <v>1414</v>
      </c>
      <c r="G359" s="340" t="s">
        <v>1214</v>
      </c>
      <c r="H359" s="340" t="s">
        <v>1216</v>
      </c>
      <c r="I359" s="342">
        <v>10.55</v>
      </c>
      <c r="J359" s="342">
        <v>240</v>
      </c>
      <c r="K359" s="343">
        <v>2532.29</v>
      </c>
    </row>
    <row r="360" spans="1:11" ht="14.4" customHeight="1" x14ac:dyDescent="0.3">
      <c r="A360" s="338" t="s">
        <v>343</v>
      </c>
      <c r="B360" s="339" t="s">
        <v>515</v>
      </c>
      <c r="C360" s="340" t="s">
        <v>348</v>
      </c>
      <c r="D360" s="341" t="s">
        <v>516</v>
      </c>
      <c r="E360" s="340" t="s">
        <v>1413</v>
      </c>
      <c r="F360" s="341" t="s">
        <v>1414</v>
      </c>
      <c r="G360" s="340" t="s">
        <v>1217</v>
      </c>
      <c r="H360" s="340" t="s">
        <v>1218</v>
      </c>
      <c r="I360" s="342">
        <v>16.21</v>
      </c>
      <c r="J360" s="342">
        <v>525</v>
      </c>
      <c r="K360" s="343">
        <v>8512.34</v>
      </c>
    </row>
    <row r="361" spans="1:11" ht="14.4" customHeight="1" x14ac:dyDescent="0.3">
      <c r="A361" s="338" t="s">
        <v>343</v>
      </c>
      <c r="B361" s="339" t="s">
        <v>515</v>
      </c>
      <c r="C361" s="340" t="s">
        <v>348</v>
      </c>
      <c r="D361" s="341" t="s">
        <v>516</v>
      </c>
      <c r="E361" s="340" t="s">
        <v>1413</v>
      </c>
      <c r="F361" s="341" t="s">
        <v>1414</v>
      </c>
      <c r="G361" s="340" t="s">
        <v>1219</v>
      </c>
      <c r="H361" s="340" t="s">
        <v>1220</v>
      </c>
      <c r="I361" s="342">
        <v>16.21</v>
      </c>
      <c r="J361" s="342">
        <v>525</v>
      </c>
      <c r="K361" s="343">
        <v>8512.35</v>
      </c>
    </row>
    <row r="362" spans="1:11" ht="14.4" customHeight="1" x14ac:dyDescent="0.3">
      <c r="A362" s="338" t="s">
        <v>343</v>
      </c>
      <c r="B362" s="339" t="s">
        <v>515</v>
      </c>
      <c r="C362" s="340" t="s">
        <v>348</v>
      </c>
      <c r="D362" s="341" t="s">
        <v>516</v>
      </c>
      <c r="E362" s="340" t="s">
        <v>1413</v>
      </c>
      <c r="F362" s="341" t="s">
        <v>1414</v>
      </c>
      <c r="G362" s="340" t="s">
        <v>1221</v>
      </c>
      <c r="H362" s="340" t="s">
        <v>1222</v>
      </c>
      <c r="I362" s="342">
        <v>11.01</v>
      </c>
      <c r="J362" s="342">
        <v>240</v>
      </c>
      <c r="K362" s="343">
        <v>2642.64</v>
      </c>
    </row>
    <row r="363" spans="1:11" ht="14.4" customHeight="1" x14ac:dyDescent="0.3">
      <c r="A363" s="338" t="s">
        <v>343</v>
      </c>
      <c r="B363" s="339" t="s">
        <v>515</v>
      </c>
      <c r="C363" s="340" t="s">
        <v>348</v>
      </c>
      <c r="D363" s="341" t="s">
        <v>516</v>
      </c>
      <c r="E363" s="340" t="s">
        <v>1413</v>
      </c>
      <c r="F363" s="341" t="s">
        <v>1414</v>
      </c>
      <c r="G363" s="340" t="s">
        <v>1223</v>
      </c>
      <c r="H363" s="340" t="s">
        <v>1224</v>
      </c>
      <c r="I363" s="342">
        <v>10.55</v>
      </c>
      <c r="J363" s="342">
        <v>240</v>
      </c>
      <c r="K363" s="343">
        <v>2532.3000000000002</v>
      </c>
    </row>
    <row r="364" spans="1:11" ht="14.4" customHeight="1" x14ac:dyDescent="0.3">
      <c r="A364" s="338" t="s">
        <v>343</v>
      </c>
      <c r="B364" s="339" t="s">
        <v>515</v>
      </c>
      <c r="C364" s="340" t="s">
        <v>348</v>
      </c>
      <c r="D364" s="341" t="s">
        <v>516</v>
      </c>
      <c r="E364" s="340" t="s">
        <v>1413</v>
      </c>
      <c r="F364" s="341" t="s">
        <v>1414</v>
      </c>
      <c r="G364" s="340" t="s">
        <v>1225</v>
      </c>
      <c r="H364" s="340" t="s">
        <v>1226</v>
      </c>
      <c r="I364" s="342">
        <v>13.89</v>
      </c>
      <c r="J364" s="342">
        <v>50</v>
      </c>
      <c r="K364" s="343">
        <v>694.3</v>
      </c>
    </row>
    <row r="365" spans="1:11" ht="14.4" customHeight="1" x14ac:dyDescent="0.3">
      <c r="A365" s="338" t="s">
        <v>343</v>
      </c>
      <c r="B365" s="339" t="s">
        <v>515</v>
      </c>
      <c r="C365" s="340" t="s">
        <v>348</v>
      </c>
      <c r="D365" s="341" t="s">
        <v>516</v>
      </c>
      <c r="E365" s="340" t="s">
        <v>1413</v>
      </c>
      <c r="F365" s="341" t="s">
        <v>1414</v>
      </c>
      <c r="G365" s="340" t="s">
        <v>1227</v>
      </c>
      <c r="H365" s="340" t="s">
        <v>1228</v>
      </c>
      <c r="I365" s="342">
        <v>0.71</v>
      </c>
      <c r="J365" s="342">
        <v>18000</v>
      </c>
      <c r="K365" s="343">
        <v>12780</v>
      </c>
    </row>
    <row r="366" spans="1:11" ht="14.4" customHeight="1" x14ac:dyDescent="0.3">
      <c r="A366" s="338" t="s">
        <v>343</v>
      </c>
      <c r="B366" s="339" t="s">
        <v>515</v>
      </c>
      <c r="C366" s="340" t="s">
        <v>348</v>
      </c>
      <c r="D366" s="341" t="s">
        <v>516</v>
      </c>
      <c r="E366" s="340" t="s">
        <v>1413</v>
      </c>
      <c r="F366" s="341" t="s">
        <v>1414</v>
      </c>
      <c r="G366" s="340" t="s">
        <v>1229</v>
      </c>
      <c r="H366" s="340" t="s">
        <v>1230</v>
      </c>
      <c r="I366" s="342">
        <v>0.71</v>
      </c>
      <c r="J366" s="342">
        <v>56400</v>
      </c>
      <c r="K366" s="343">
        <v>40044</v>
      </c>
    </row>
    <row r="367" spans="1:11" ht="14.4" customHeight="1" x14ac:dyDescent="0.3">
      <c r="A367" s="338" t="s">
        <v>343</v>
      </c>
      <c r="B367" s="339" t="s">
        <v>515</v>
      </c>
      <c r="C367" s="340" t="s">
        <v>348</v>
      </c>
      <c r="D367" s="341" t="s">
        <v>516</v>
      </c>
      <c r="E367" s="340" t="s">
        <v>1413</v>
      </c>
      <c r="F367" s="341" t="s">
        <v>1414</v>
      </c>
      <c r="G367" s="340" t="s">
        <v>1231</v>
      </c>
      <c r="H367" s="340" t="s">
        <v>1232</v>
      </c>
      <c r="I367" s="342">
        <v>12.421818181818184</v>
      </c>
      <c r="J367" s="342">
        <v>4340</v>
      </c>
      <c r="K367" s="343">
        <v>53757.11</v>
      </c>
    </row>
    <row r="368" spans="1:11" ht="14.4" customHeight="1" x14ac:dyDescent="0.3">
      <c r="A368" s="338" t="s">
        <v>343</v>
      </c>
      <c r="B368" s="339" t="s">
        <v>515</v>
      </c>
      <c r="C368" s="340" t="s">
        <v>348</v>
      </c>
      <c r="D368" s="341" t="s">
        <v>516</v>
      </c>
      <c r="E368" s="340" t="s">
        <v>1413</v>
      </c>
      <c r="F368" s="341" t="s">
        <v>1414</v>
      </c>
      <c r="G368" s="340" t="s">
        <v>1233</v>
      </c>
      <c r="H368" s="340" t="s">
        <v>1234</v>
      </c>
      <c r="I368" s="342">
        <v>12.5825</v>
      </c>
      <c r="J368" s="342">
        <v>4560</v>
      </c>
      <c r="K368" s="343">
        <v>57379.19999999999</v>
      </c>
    </row>
    <row r="369" spans="1:11" ht="14.4" customHeight="1" x14ac:dyDescent="0.3">
      <c r="A369" s="338" t="s">
        <v>343</v>
      </c>
      <c r="B369" s="339" t="s">
        <v>515</v>
      </c>
      <c r="C369" s="340" t="s">
        <v>348</v>
      </c>
      <c r="D369" s="341" t="s">
        <v>516</v>
      </c>
      <c r="E369" s="340" t="s">
        <v>1413</v>
      </c>
      <c r="F369" s="341" t="s">
        <v>1414</v>
      </c>
      <c r="G369" s="340" t="s">
        <v>1235</v>
      </c>
      <c r="H369" s="340" t="s">
        <v>1236</v>
      </c>
      <c r="I369" s="342">
        <v>12.583333333333334</v>
      </c>
      <c r="J369" s="342">
        <v>2965</v>
      </c>
      <c r="K369" s="343">
        <v>37305.299999999996</v>
      </c>
    </row>
    <row r="370" spans="1:11" ht="14.4" customHeight="1" x14ac:dyDescent="0.3">
      <c r="A370" s="338" t="s">
        <v>343</v>
      </c>
      <c r="B370" s="339" t="s">
        <v>515</v>
      </c>
      <c r="C370" s="340" t="s">
        <v>348</v>
      </c>
      <c r="D370" s="341" t="s">
        <v>516</v>
      </c>
      <c r="E370" s="340" t="s">
        <v>1413</v>
      </c>
      <c r="F370" s="341" t="s">
        <v>1414</v>
      </c>
      <c r="G370" s="340" t="s">
        <v>1237</v>
      </c>
      <c r="H370" s="340" t="s">
        <v>1238</v>
      </c>
      <c r="I370" s="342">
        <v>12.585714285714287</v>
      </c>
      <c r="J370" s="342">
        <v>1920</v>
      </c>
      <c r="K370" s="343">
        <v>24163.32</v>
      </c>
    </row>
    <row r="371" spans="1:11" ht="14.4" customHeight="1" x14ac:dyDescent="0.3">
      <c r="A371" s="338" t="s">
        <v>343</v>
      </c>
      <c r="B371" s="339" t="s">
        <v>515</v>
      </c>
      <c r="C371" s="340" t="s">
        <v>348</v>
      </c>
      <c r="D371" s="341" t="s">
        <v>516</v>
      </c>
      <c r="E371" s="340" t="s">
        <v>1413</v>
      </c>
      <c r="F371" s="341" t="s">
        <v>1414</v>
      </c>
      <c r="G371" s="340" t="s">
        <v>1239</v>
      </c>
      <c r="H371" s="340" t="s">
        <v>1240</v>
      </c>
      <c r="I371" s="342">
        <v>12.583333333333334</v>
      </c>
      <c r="J371" s="342">
        <v>1680</v>
      </c>
      <c r="K371" s="343">
        <v>21141.599999999999</v>
      </c>
    </row>
    <row r="372" spans="1:11" ht="14.4" customHeight="1" x14ac:dyDescent="0.3">
      <c r="A372" s="338" t="s">
        <v>343</v>
      </c>
      <c r="B372" s="339" t="s">
        <v>515</v>
      </c>
      <c r="C372" s="340" t="s">
        <v>348</v>
      </c>
      <c r="D372" s="341" t="s">
        <v>516</v>
      </c>
      <c r="E372" s="340" t="s">
        <v>1413</v>
      </c>
      <c r="F372" s="341" t="s">
        <v>1414</v>
      </c>
      <c r="G372" s="340" t="s">
        <v>1241</v>
      </c>
      <c r="H372" s="340" t="s">
        <v>1242</v>
      </c>
      <c r="I372" s="342">
        <v>2.94</v>
      </c>
      <c r="J372" s="342">
        <v>100</v>
      </c>
      <c r="K372" s="343">
        <v>293.93</v>
      </c>
    </row>
    <row r="373" spans="1:11" ht="14.4" customHeight="1" x14ac:dyDescent="0.3">
      <c r="A373" s="338" t="s">
        <v>343</v>
      </c>
      <c r="B373" s="339" t="s">
        <v>515</v>
      </c>
      <c r="C373" s="340" t="s">
        <v>348</v>
      </c>
      <c r="D373" s="341" t="s">
        <v>516</v>
      </c>
      <c r="E373" s="340" t="s">
        <v>1413</v>
      </c>
      <c r="F373" s="341" t="s">
        <v>1414</v>
      </c>
      <c r="G373" s="340" t="s">
        <v>1243</v>
      </c>
      <c r="H373" s="340" t="s">
        <v>1244</v>
      </c>
      <c r="I373" s="342">
        <v>12.324999999999999</v>
      </c>
      <c r="J373" s="342">
        <v>720</v>
      </c>
      <c r="K373" s="343">
        <v>8815.2000000000007</v>
      </c>
    </row>
    <row r="374" spans="1:11" ht="14.4" customHeight="1" x14ac:dyDescent="0.3">
      <c r="A374" s="338" t="s">
        <v>343</v>
      </c>
      <c r="B374" s="339" t="s">
        <v>515</v>
      </c>
      <c r="C374" s="340" t="s">
        <v>348</v>
      </c>
      <c r="D374" s="341" t="s">
        <v>516</v>
      </c>
      <c r="E374" s="340" t="s">
        <v>1413</v>
      </c>
      <c r="F374" s="341" t="s">
        <v>1414</v>
      </c>
      <c r="G374" s="340" t="s">
        <v>1245</v>
      </c>
      <c r="H374" s="340" t="s">
        <v>1236</v>
      </c>
      <c r="I374" s="342">
        <v>12.585000000000001</v>
      </c>
      <c r="J374" s="342">
        <v>705</v>
      </c>
      <c r="K374" s="343">
        <v>8870.76</v>
      </c>
    </row>
    <row r="375" spans="1:11" ht="14.4" customHeight="1" x14ac:dyDescent="0.3">
      <c r="A375" s="338" t="s">
        <v>343</v>
      </c>
      <c r="B375" s="339" t="s">
        <v>515</v>
      </c>
      <c r="C375" s="340" t="s">
        <v>348</v>
      </c>
      <c r="D375" s="341" t="s">
        <v>516</v>
      </c>
      <c r="E375" s="340" t="s">
        <v>1415</v>
      </c>
      <c r="F375" s="341" t="s">
        <v>1416</v>
      </c>
      <c r="G375" s="340" t="s">
        <v>1246</v>
      </c>
      <c r="H375" s="340" t="s">
        <v>1247</v>
      </c>
      <c r="I375" s="342">
        <v>631.35</v>
      </c>
      <c r="J375" s="342">
        <v>12</v>
      </c>
      <c r="K375" s="343">
        <v>7576.2</v>
      </c>
    </row>
    <row r="376" spans="1:11" ht="14.4" customHeight="1" x14ac:dyDescent="0.3">
      <c r="A376" s="338" t="s">
        <v>343</v>
      </c>
      <c r="B376" s="339" t="s">
        <v>515</v>
      </c>
      <c r="C376" s="340" t="s">
        <v>348</v>
      </c>
      <c r="D376" s="341" t="s">
        <v>516</v>
      </c>
      <c r="E376" s="340" t="s">
        <v>1415</v>
      </c>
      <c r="F376" s="341" t="s">
        <v>1416</v>
      </c>
      <c r="G376" s="340" t="s">
        <v>1248</v>
      </c>
      <c r="H376" s="340" t="s">
        <v>1249</v>
      </c>
      <c r="I376" s="342">
        <v>631.35</v>
      </c>
      <c r="J376" s="342">
        <v>12</v>
      </c>
      <c r="K376" s="343">
        <v>7576.2</v>
      </c>
    </row>
    <row r="377" spans="1:11" ht="14.4" customHeight="1" x14ac:dyDescent="0.3">
      <c r="A377" s="338" t="s">
        <v>343</v>
      </c>
      <c r="B377" s="339" t="s">
        <v>515</v>
      </c>
      <c r="C377" s="340" t="s">
        <v>348</v>
      </c>
      <c r="D377" s="341" t="s">
        <v>516</v>
      </c>
      <c r="E377" s="340" t="s">
        <v>1415</v>
      </c>
      <c r="F377" s="341" t="s">
        <v>1416</v>
      </c>
      <c r="G377" s="340" t="s">
        <v>1250</v>
      </c>
      <c r="H377" s="340" t="s">
        <v>1251</v>
      </c>
      <c r="I377" s="342">
        <v>104.19</v>
      </c>
      <c r="J377" s="342">
        <v>72</v>
      </c>
      <c r="K377" s="343">
        <v>7501.34</v>
      </c>
    </row>
    <row r="378" spans="1:11" ht="14.4" customHeight="1" x14ac:dyDescent="0.3">
      <c r="A378" s="338" t="s">
        <v>343</v>
      </c>
      <c r="B378" s="339" t="s">
        <v>515</v>
      </c>
      <c r="C378" s="340" t="s">
        <v>348</v>
      </c>
      <c r="D378" s="341" t="s">
        <v>516</v>
      </c>
      <c r="E378" s="340" t="s">
        <v>1417</v>
      </c>
      <c r="F378" s="341" t="s">
        <v>1418</v>
      </c>
      <c r="G378" s="340" t="s">
        <v>1252</v>
      </c>
      <c r="H378" s="340" t="s">
        <v>1253</v>
      </c>
      <c r="I378" s="342">
        <v>58.125</v>
      </c>
      <c r="J378" s="342">
        <v>290</v>
      </c>
      <c r="K378" s="343">
        <v>16080.3</v>
      </c>
    </row>
    <row r="379" spans="1:11" ht="14.4" customHeight="1" x14ac:dyDescent="0.3">
      <c r="A379" s="338" t="s">
        <v>343</v>
      </c>
      <c r="B379" s="339" t="s">
        <v>515</v>
      </c>
      <c r="C379" s="340" t="s">
        <v>348</v>
      </c>
      <c r="D379" s="341" t="s">
        <v>516</v>
      </c>
      <c r="E379" s="340" t="s">
        <v>1417</v>
      </c>
      <c r="F379" s="341" t="s">
        <v>1418</v>
      </c>
      <c r="G379" s="340" t="s">
        <v>1254</v>
      </c>
      <c r="H379" s="340" t="s">
        <v>1255</v>
      </c>
      <c r="I379" s="342">
        <v>28.8</v>
      </c>
      <c r="J379" s="342">
        <v>150</v>
      </c>
      <c r="K379" s="343">
        <v>4319.7</v>
      </c>
    </row>
    <row r="380" spans="1:11" ht="14.4" customHeight="1" x14ac:dyDescent="0.3">
      <c r="A380" s="338" t="s">
        <v>343</v>
      </c>
      <c r="B380" s="339" t="s">
        <v>515</v>
      </c>
      <c r="C380" s="340" t="s">
        <v>348</v>
      </c>
      <c r="D380" s="341" t="s">
        <v>516</v>
      </c>
      <c r="E380" s="340" t="s">
        <v>1417</v>
      </c>
      <c r="F380" s="341" t="s">
        <v>1418</v>
      </c>
      <c r="G380" s="340" t="s">
        <v>1256</v>
      </c>
      <c r="H380" s="340" t="s">
        <v>1257</v>
      </c>
      <c r="I380" s="342">
        <v>56.388999999999996</v>
      </c>
      <c r="J380" s="342">
        <v>1920</v>
      </c>
      <c r="K380" s="343">
        <v>108260.64</v>
      </c>
    </row>
    <row r="381" spans="1:11" ht="14.4" customHeight="1" x14ac:dyDescent="0.3">
      <c r="A381" s="338" t="s">
        <v>343</v>
      </c>
      <c r="B381" s="339" t="s">
        <v>515</v>
      </c>
      <c r="C381" s="340" t="s">
        <v>348</v>
      </c>
      <c r="D381" s="341" t="s">
        <v>516</v>
      </c>
      <c r="E381" s="340" t="s">
        <v>1417</v>
      </c>
      <c r="F381" s="341" t="s">
        <v>1418</v>
      </c>
      <c r="G381" s="340" t="s">
        <v>1258</v>
      </c>
      <c r="H381" s="340" t="s">
        <v>1259</v>
      </c>
      <c r="I381" s="342">
        <v>13.79</v>
      </c>
      <c r="J381" s="342">
        <v>200</v>
      </c>
      <c r="K381" s="343">
        <v>2758.8</v>
      </c>
    </row>
    <row r="382" spans="1:11" ht="14.4" customHeight="1" x14ac:dyDescent="0.3">
      <c r="A382" s="338" t="s">
        <v>343</v>
      </c>
      <c r="B382" s="339" t="s">
        <v>515</v>
      </c>
      <c r="C382" s="340" t="s">
        <v>348</v>
      </c>
      <c r="D382" s="341" t="s">
        <v>516</v>
      </c>
      <c r="E382" s="340" t="s">
        <v>1417</v>
      </c>
      <c r="F382" s="341" t="s">
        <v>1418</v>
      </c>
      <c r="G382" s="340" t="s">
        <v>1260</v>
      </c>
      <c r="H382" s="340" t="s">
        <v>1261</v>
      </c>
      <c r="I382" s="342">
        <v>31.34</v>
      </c>
      <c r="J382" s="342">
        <v>160</v>
      </c>
      <c r="K382" s="343">
        <v>5014.2</v>
      </c>
    </row>
    <row r="383" spans="1:11" ht="14.4" customHeight="1" x14ac:dyDescent="0.3">
      <c r="A383" s="338" t="s">
        <v>343</v>
      </c>
      <c r="B383" s="339" t="s">
        <v>515</v>
      </c>
      <c r="C383" s="340" t="s">
        <v>348</v>
      </c>
      <c r="D383" s="341" t="s">
        <v>516</v>
      </c>
      <c r="E383" s="340" t="s">
        <v>1417</v>
      </c>
      <c r="F383" s="341" t="s">
        <v>1418</v>
      </c>
      <c r="G383" s="340" t="s">
        <v>822</v>
      </c>
      <c r="H383" s="340" t="s">
        <v>823</v>
      </c>
      <c r="I383" s="342">
        <v>50.65</v>
      </c>
      <c r="J383" s="342">
        <v>1400</v>
      </c>
      <c r="K383" s="343">
        <v>70911.14</v>
      </c>
    </row>
    <row r="384" spans="1:11" ht="14.4" customHeight="1" x14ac:dyDescent="0.3">
      <c r="A384" s="338" t="s">
        <v>343</v>
      </c>
      <c r="B384" s="339" t="s">
        <v>515</v>
      </c>
      <c r="C384" s="340" t="s">
        <v>348</v>
      </c>
      <c r="D384" s="341" t="s">
        <v>516</v>
      </c>
      <c r="E384" s="340" t="s">
        <v>1417</v>
      </c>
      <c r="F384" s="341" t="s">
        <v>1418</v>
      </c>
      <c r="G384" s="340" t="s">
        <v>1262</v>
      </c>
      <c r="H384" s="340" t="s">
        <v>1263</v>
      </c>
      <c r="I384" s="342">
        <v>10.739999999999998</v>
      </c>
      <c r="J384" s="342">
        <v>750</v>
      </c>
      <c r="K384" s="343">
        <v>8058.6</v>
      </c>
    </row>
    <row r="385" spans="1:11" ht="14.4" customHeight="1" x14ac:dyDescent="0.3">
      <c r="A385" s="338" t="s">
        <v>343</v>
      </c>
      <c r="B385" s="339" t="s">
        <v>515</v>
      </c>
      <c r="C385" s="340" t="s">
        <v>348</v>
      </c>
      <c r="D385" s="341" t="s">
        <v>516</v>
      </c>
      <c r="E385" s="340" t="s">
        <v>1417</v>
      </c>
      <c r="F385" s="341" t="s">
        <v>1418</v>
      </c>
      <c r="G385" s="340" t="s">
        <v>1262</v>
      </c>
      <c r="H385" s="340" t="s">
        <v>1264</v>
      </c>
      <c r="I385" s="342">
        <v>10.74</v>
      </c>
      <c r="J385" s="342">
        <v>100</v>
      </c>
      <c r="K385" s="343">
        <v>1074.48</v>
      </c>
    </row>
    <row r="386" spans="1:11" ht="14.4" customHeight="1" x14ac:dyDescent="0.3">
      <c r="A386" s="338" t="s">
        <v>343</v>
      </c>
      <c r="B386" s="339" t="s">
        <v>515</v>
      </c>
      <c r="C386" s="340" t="s">
        <v>348</v>
      </c>
      <c r="D386" s="341" t="s">
        <v>516</v>
      </c>
      <c r="E386" s="340" t="s">
        <v>1417</v>
      </c>
      <c r="F386" s="341" t="s">
        <v>1418</v>
      </c>
      <c r="G386" s="340" t="s">
        <v>1265</v>
      </c>
      <c r="H386" s="340" t="s">
        <v>1266</v>
      </c>
      <c r="I386" s="342">
        <v>91.84</v>
      </c>
      <c r="J386" s="342">
        <v>210</v>
      </c>
      <c r="K386" s="343">
        <v>19286.16</v>
      </c>
    </row>
    <row r="387" spans="1:11" ht="14.4" customHeight="1" x14ac:dyDescent="0.3">
      <c r="A387" s="338" t="s">
        <v>343</v>
      </c>
      <c r="B387" s="339" t="s">
        <v>515</v>
      </c>
      <c r="C387" s="340" t="s">
        <v>353</v>
      </c>
      <c r="D387" s="341" t="s">
        <v>517</v>
      </c>
      <c r="E387" s="340" t="s">
        <v>1395</v>
      </c>
      <c r="F387" s="341" t="s">
        <v>1396</v>
      </c>
      <c r="G387" s="340" t="s">
        <v>1267</v>
      </c>
      <c r="H387" s="340" t="s">
        <v>1268</v>
      </c>
      <c r="I387" s="342">
        <v>156.1</v>
      </c>
      <c r="J387" s="342">
        <v>2</v>
      </c>
      <c r="K387" s="343">
        <v>312.2</v>
      </c>
    </row>
    <row r="388" spans="1:11" ht="14.4" customHeight="1" x14ac:dyDescent="0.3">
      <c r="A388" s="338" t="s">
        <v>343</v>
      </c>
      <c r="B388" s="339" t="s">
        <v>515</v>
      </c>
      <c r="C388" s="340" t="s">
        <v>353</v>
      </c>
      <c r="D388" s="341" t="s">
        <v>517</v>
      </c>
      <c r="E388" s="340" t="s">
        <v>1395</v>
      </c>
      <c r="F388" s="341" t="s">
        <v>1396</v>
      </c>
      <c r="G388" s="340" t="s">
        <v>527</v>
      </c>
      <c r="H388" s="340" t="s">
        <v>528</v>
      </c>
      <c r="I388" s="342">
        <v>183.09</v>
      </c>
      <c r="J388" s="342">
        <v>5</v>
      </c>
      <c r="K388" s="343">
        <v>915.45</v>
      </c>
    </row>
    <row r="389" spans="1:11" ht="14.4" customHeight="1" x14ac:dyDescent="0.3">
      <c r="A389" s="338" t="s">
        <v>343</v>
      </c>
      <c r="B389" s="339" t="s">
        <v>515</v>
      </c>
      <c r="C389" s="340" t="s">
        <v>353</v>
      </c>
      <c r="D389" s="341" t="s">
        <v>517</v>
      </c>
      <c r="E389" s="340" t="s">
        <v>1395</v>
      </c>
      <c r="F389" s="341" t="s">
        <v>1396</v>
      </c>
      <c r="G389" s="340" t="s">
        <v>529</v>
      </c>
      <c r="H389" s="340" t="s">
        <v>530</v>
      </c>
      <c r="I389" s="342">
        <v>129.26</v>
      </c>
      <c r="J389" s="342">
        <v>2</v>
      </c>
      <c r="K389" s="343">
        <v>258.52</v>
      </c>
    </row>
    <row r="390" spans="1:11" ht="14.4" customHeight="1" x14ac:dyDescent="0.3">
      <c r="A390" s="338" t="s">
        <v>343</v>
      </c>
      <c r="B390" s="339" t="s">
        <v>515</v>
      </c>
      <c r="C390" s="340" t="s">
        <v>353</v>
      </c>
      <c r="D390" s="341" t="s">
        <v>517</v>
      </c>
      <c r="E390" s="340" t="s">
        <v>1395</v>
      </c>
      <c r="F390" s="341" t="s">
        <v>1396</v>
      </c>
      <c r="G390" s="340" t="s">
        <v>1269</v>
      </c>
      <c r="H390" s="340" t="s">
        <v>1270</v>
      </c>
      <c r="I390" s="342">
        <v>260.3</v>
      </c>
      <c r="J390" s="342">
        <v>1</v>
      </c>
      <c r="K390" s="343">
        <v>260.3</v>
      </c>
    </row>
    <row r="391" spans="1:11" ht="14.4" customHeight="1" x14ac:dyDescent="0.3">
      <c r="A391" s="338" t="s">
        <v>343</v>
      </c>
      <c r="B391" s="339" t="s">
        <v>515</v>
      </c>
      <c r="C391" s="340" t="s">
        <v>353</v>
      </c>
      <c r="D391" s="341" t="s">
        <v>517</v>
      </c>
      <c r="E391" s="340" t="s">
        <v>1395</v>
      </c>
      <c r="F391" s="341" t="s">
        <v>1396</v>
      </c>
      <c r="G391" s="340" t="s">
        <v>531</v>
      </c>
      <c r="H391" s="340" t="s">
        <v>532</v>
      </c>
      <c r="I391" s="342">
        <v>2.4</v>
      </c>
      <c r="J391" s="342">
        <v>120</v>
      </c>
      <c r="K391" s="343">
        <v>288</v>
      </c>
    </row>
    <row r="392" spans="1:11" ht="14.4" customHeight="1" x14ac:dyDescent="0.3">
      <c r="A392" s="338" t="s">
        <v>343</v>
      </c>
      <c r="B392" s="339" t="s">
        <v>515</v>
      </c>
      <c r="C392" s="340" t="s">
        <v>353</v>
      </c>
      <c r="D392" s="341" t="s">
        <v>517</v>
      </c>
      <c r="E392" s="340" t="s">
        <v>1395</v>
      </c>
      <c r="F392" s="341" t="s">
        <v>1396</v>
      </c>
      <c r="G392" s="340" t="s">
        <v>545</v>
      </c>
      <c r="H392" s="340" t="s">
        <v>546</v>
      </c>
      <c r="I392" s="342">
        <v>8.19</v>
      </c>
      <c r="J392" s="342">
        <v>15</v>
      </c>
      <c r="K392" s="343">
        <v>122.85</v>
      </c>
    </row>
    <row r="393" spans="1:11" ht="14.4" customHeight="1" x14ac:dyDescent="0.3">
      <c r="A393" s="338" t="s">
        <v>343</v>
      </c>
      <c r="B393" s="339" t="s">
        <v>515</v>
      </c>
      <c r="C393" s="340" t="s">
        <v>353</v>
      </c>
      <c r="D393" s="341" t="s">
        <v>517</v>
      </c>
      <c r="E393" s="340" t="s">
        <v>1395</v>
      </c>
      <c r="F393" s="341" t="s">
        <v>1396</v>
      </c>
      <c r="G393" s="340" t="s">
        <v>1271</v>
      </c>
      <c r="H393" s="340" t="s">
        <v>1272</v>
      </c>
      <c r="I393" s="342">
        <v>0.4</v>
      </c>
      <c r="J393" s="342">
        <v>24000</v>
      </c>
      <c r="K393" s="343">
        <v>9600</v>
      </c>
    </row>
    <row r="394" spans="1:11" ht="14.4" customHeight="1" x14ac:dyDescent="0.3">
      <c r="A394" s="338" t="s">
        <v>343</v>
      </c>
      <c r="B394" s="339" t="s">
        <v>515</v>
      </c>
      <c r="C394" s="340" t="s">
        <v>353</v>
      </c>
      <c r="D394" s="341" t="s">
        <v>517</v>
      </c>
      <c r="E394" s="340" t="s">
        <v>1395</v>
      </c>
      <c r="F394" s="341" t="s">
        <v>1396</v>
      </c>
      <c r="G394" s="340" t="s">
        <v>547</v>
      </c>
      <c r="H394" s="340" t="s">
        <v>548</v>
      </c>
      <c r="I394" s="342">
        <v>28.03</v>
      </c>
      <c r="J394" s="342">
        <v>34</v>
      </c>
      <c r="K394" s="343">
        <v>962.26</v>
      </c>
    </row>
    <row r="395" spans="1:11" ht="14.4" customHeight="1" x14ac:dyDescent="0.3">
      <c r="A395" s="338" t="s">
        <v>343</v>
      </c>
      <c r="B395" s="339" t="s">
        <v>515</v>
      </c>
      <c r="C395" s="340" t="s">
        <v>353</v>
      </c>
      <c r="D395" s="341" t="s">
        <v>517</v>
      </c>
      <c r="E395" s="340" t="s">
        <v>1395</v>
      </c>
      <c r="F395" s="341" t="s">
        <v>1396</v>
      </c>
      <c r="G395" s="340" t="s">
        <v>557</v>
      </c>
      <c r="H395" s="340" t="s">
        <v>1273</v>
      </c>
      <c r="I395" s="342">
        <v>65.2</v>
      </c>
      <c r="J395" s="342">
        <v>160</v>
      </c>
      <c r="K395" s="343">
        <v>10431.99</v>
      </c>
    </row>
    <row r="396" spans="1:11" ht="14.4" customHeight="1" x14ac:dyDescent="0.3">
      <c r="A396" s="338" t="s">
        <v>343</v>
      </c>
      <c r="B396" s="339" t="s">
        <v>515</v>
      </c>
      <c r="C396" s="340" t="s">
        <v>353</v>
      </c>
      <c r="D396" s="341" t="s">
        <v>517</v>
      </c>
      <c r="E396" s="340" t="s">
        <v>1395</v>
      </c>
      <c r="F396" s="341" t="s">
        <v>1396</v>
      </c>
      <c r="G396" s="340" t="s">
        <v>557</v>
      </c>
      <c r="H396" s="340" t="s">
        <v>558</v>
      </c>
      <c r="I396" s="342">
        <v>65.2</v>
      </c>
      <c r="J396" s="342">
        <v>80</v>
      </c>
      <c r="K396" s="343">
        <v>5216</v>
      </c>
    </row>
    <row r="397" spans="1:11" ht="14.4" customHeight="1" x14ac:dyDescent="0.3">
      <c r="A397" s="338" t="s">
        <v>343</v>
      </c>
      <c r="B397" s="339" t="s">
        <v>515</v>
      </c>
      <c r="C397" s="340" t="s">
        <v>353</v>
      </c>
      <c r="D397" s="341" t="s">
        <v>517</v>
      </c>
      <c r="E397" s="340" t="s">
        <v>1395</v>
      </c>
      <c r="F397" s="341" t="s">
        <v>1396</v>
      </c>
      <c r="G397" s="340" t="s">
        <v>559</v>
      </c>
      <c r="H397" s="340" t="s">
        <v>560</v>
      </c>
      <c r="I397" s="342">
        <v>0.14000000000000001</v>
      </c>
      <c r="J397" s="342">
        <v>100</v>
      </c>
      <c r="K397" s="343">
        <v>14</v>
      </c>
    </row>
    <row r="398" spans="1:11" ht="14.4" customHeight="1" x14ac:dyDescent="0.3">
      <c r="A398" s="338" t="s">
        <v>343</v>
      </c>
      <c r="B398" s="339" t="s">
        <v>515</v>
      </c>
      <c r="C398" s="340" t="s">
        <v>353</v>
      </c>
      <c r="D398" s="341" t="s">
        <v>517</v>
      </c>
      <c r="E398" s="340" t="s">
        <v>1395</v>
      </c>
      <c r="F398" s="341" t="s">
        <v>1396</v>
      </c>
      <c r="G398" s="340" t="s">
        <v>561</v>
      </c>
      <c r="H398" s="340" t="s">
        <v>562</v>
      </c>
      <c r="I398" s="342">
        <v>15.529999999999998</v>
      </c>
      <c r="J398" s="342">
        <v>340</v>
      </c>
      <c r="K398" s="343">
        <v>5280.17</v>
      </c>
    </row>
    <row r="399" spans="1:11" ht="14.4" customHeight="1" x14ac:dyDescent="0.3">
      <c r="A399" s="338" t="s">
        <v>343</v>
      </c>
      <c r="B399" s="339" t="s">
        <v>515</v>
      </c>
      <c r="C399" s="340" t="s">
        <v>353</v>
      </c>
      <c r="D399" s="341" t="s">
        <v>517</v>
      </c>
      <c r="E399" s="340" t="s">
        <v>1395</v>
      </c>
      <c r="F399" s="341" t="s">
        <v>1396</v>
      </c>
      <c r="G399" s="340" t="s">
        <v>565</v>
      </c>
      <c r="H399" s="340" t="s">
        <v>566</v>
      </c>
      <c r="I399" s="342">
        <v>0.43</v>
      </c>
      <c r="J399" s="342">
        <v>5000</v>
      </c>
      <c r="K399" s="343">
        <v>2150</v>
      </c>
    </row>
    <row r="400" spans="1:11" ht="14.4" customHeight="1" x14ac:dyDescent="0.3">
      <c r="A400" s="338" t="s">
        <v>343</v>
      </c>
      <c r="B400" s="339" t="s">
        <v>515</v>
      </c>
      <c r="C400" s="340" t="s">
        <v>353</v>
      </c>
      <c r="D400" s="341" t="s">
        <v>517</v>
      </c>
      <c r="E400" s="340" t="s">
        <v>1395</v>
      </c>
      <c r="F400" s="341" t="s">
        <v>1396</v>
      </c>
      <c r="G400" s="340" t="s">
        <v>567</v>
      </c>
      <c r="H400" s="340" t="s">
        <v>568</v>
      </c>
      <c r="I400" s="342">
        <v>61.21</v>
      </c>
      <c r="J400" s="342">
        <v>2</v>
      </c>
      <c r="K400" s="343">
        <v>122.42</v>
      </c>
    </row>
    <row r="401" spans="1:11" ht="14.4" customHeight="1" x14ac:dyDescent="0.3">
      <c r="A401" s="338" t="s">
        <v>343</v>
      </c>
      <c r="B401" s="339" t="s">
        <v>515</v>
      </c>
      <c r="C401" s="340" t="s">
        <v>353</v>
      </c>
      <c r="D401" s="341" t="s">
        <v>517</v>
      </c>
      <c r="E401" s="340" t="s">
        <v>1395</v>
      </c>
      <c r="F401" s="341" t="s">
        <v>1396</v>
      </c>
      <c r="G401" s="340" t="s">
        <v>569</v>
      </c>
      <c r="H401" s="340" t="s">
        <v>570</v>
      </c>
      <c r="I401" s="342">
        <v>54.86</v>
      </c>
      <c r="J401" s="342">
        <v>300</v>
      </c>
      <c r="K401" s="343">
        <v>16457.990000000002</v>
      </c>
    </row>
    <row r="402" spans="1:11" ht="14.4" customHeight="1" x14ac:dyDescent="0.3">
      <c r="A402" s="338" t="s">
        <v>343</v>
      </c>
      <c r="B402" s="339" t="s">
        <v>515</v>
      </c>
      <c r="C402" s="340" t="s">
        <v>353</v>
      </c>
      <c r="D402" s="341" t="s">
        <v>517</v>
      </c>
      <c r="E402" s="340" t="s">
        <v>1395</v>
      </c>
      <c r="F402" s="341" t="s">
        <v>1396</v>
      </c>
      <c r="G402" s="340" t="s">
        <v>1274</v>
      </c>
      <c r="H402" s="340" t="s">
        <v>1275</v>
      </c>
      <c r="I402" s="342">
        <v>18.399999999999999</v>
      </c>
      <c r="J402" s="342">
        <v>40</v>
      </c>
      <c r="K402" s="343">
        <v>736</v>
      </c>
    </row>
    <row r="403" spans="1:11" ht="14.4" customHeight="1" x14ac:dyDescent="0.3">
      <c r="A403" s="338" t="s">
        <v>343</v>
      </c>
      <c r="B403" s="339" t="s">
        <v>515</v>
      </c>
      <c r="C403" s="340" t="s">
        <v>353</v>
      </c>
      <c r="D403" s="341" t="s">
        <v>517</v>
      </c>
      <c r="E403" s="340" t="s">
        <v>1395</v>
      </c>
      <c r="F403" s="341" t="s">
        <v>1396</v>
      </c>
      <c r="G403" s="340" t="s">
        <v>1276</v>
      </c>
      <c r="H403" s="340" t="s">
        <v>1277</v>
      </c>
      <c r="I403" s="342">
        <v>0.44</v>
      </c>
      <c r="J403" s="342">
        <v>1000</v>
      </c>
      <c r="K403" s="343">
        <v>440</v>
      </c>
    </row>
    <row r="404" spans="1:11" ht="14.4" customHeight="1" x14ac:dyDescent="0.3">
      <c r="A404" s="338" t="s">
        <v>343</v>
      </c>
      <c r="B404" s="339" t="s">
        <v>515</v>
      </c>
      <c r="C404" s="340" t="s">
        <v>353</v>
      </c>
      <c r="D404" s="341" t="s">
        <v>517</v>
      </c>
      <c r="E404" s="340" t="s">
        <v>1395</v>
      </c>
      <c r="F404" s="341" t="s">
        <v>1396</v>
      </c>
      <c r="G404" s="340" t="s">
        <v>1278</v>
      </c>
      <c r="H404" s="340" t="s">
        <v>1279</v>
      </c>
      <c r="I404" s="342">
        <v>9.11</v>
      </c>
      <c r="J404" s="342">
        <v>400</v>
      </c>
      <c r="K404" s="343">
        <v>3643.2</v>
      </c>
    </row>
    <row r="405" spans="1:11" ht="14.4" customHeight="1" x14ac:dyDescent="0.3">
      <c r="A405" s="338" t="s">
        <v>343</v>
      </c>
      <c r="B405" s="339" t="s">
        <v>515</v>
      </c>
      <c r="C405" s="340" t="s">
        <v>353</v>
      </c>
      <c r="D405" s="341" t="s">
        <v>517</v>
      </c>
      <c r="E405" s="340" t="s">
        <v>1395</v>
      </c>
      <c r="F405" s="341" t="s">
        <v>1396</v>
      </c>
      <c r="G405" s="340" t="s">
        <v>586</v>
      </c>
      <c r="H405" s="340" t="s">
        <v>587</v>
      </c>
      <c r="I405" s="342">
        <v>355.2399999999999</v>
      </c>
      <c r="J405" s="342">
        <v>444</v>
      </c>
      <c r="K405" s="343">
        <v>157531.53999999998</v>
      </c>
    </row>
    <row r="406" spans="1:11" ht="14.4" customHeight="1" x14ac:dyDescent="0.3">
      <c r="A406" s="338" t="s">
        <v>343</v>
      </c>
      <c r="B406" s="339" t="s">
        <v>515</v>
      </c>
      <c r="C406" s="340" t="s">
        <v>353</v>
      </c>
      <c r="D406" s="341" t="s">
        <v>517</v>
      </c>
      <c r="E406" s="340" t="s">
        <v>1395</v>
      </c>
      <c r="F406" s="341" t="s">
        <v>1396</v>
      </c>
      <c r="G406" s="340" t="s">
        <v>590</v>
      </c>
      <c r="H406" s="340" t="s">
        <v>591</v>
      </c>
      <c r="I406" s="342">
        <v>65.989999999999995</v>
      </c>
      <c r="J406" s="342">
        <v>276</v>
      </c>
      <c r="K406" s="343">
        <v>18303.82</v>
      </c>
    </row>
    <row r="407" spans="1:11" ht="14.4" customHeight="1" x14ac:dyDescent="0.3">
      <c r="A407" s="338" t="s">
        <v>343</v>
      </c>
      <c r="B407" s="339" t="s">
        <v>515</v>
      </c>
      <c r="C407" s="340" t="s">
        <v>353</v>
      </c>
      <c r="D407" s="341" t="s">
        <v>517</v>
      </c>
      <c r="E407" s="340" t="s">
        <v>1395</v>
      </c>
      <c r="F407" s="341" t="s">
        <v>1396</v>
      </c>
      <c r="G407" s="340" t="s">
        <v>1280</v>
      </c>
      <c r="H407" s="340" t="s">
        <v>1281</v>
      </c>
      <c r="I407" s="342">
        <v>0.63</v>
      </c>
      <c r="J407" s="342">
        <v>3000</v>
      </c>
      <c r="K407" s="343">
        <v>1890</v>
      </c>
    </row>
    <row r="408" spans="1:11" ht="14.4" customHeight="1" x14ac:dyDescent="0.3">
      <c r="A408" s="338" t="s">
        <v>343</v>
      </c>
      <c r="B408" s="339" t="s">
        <v>515</v>
      </c>
      <c r="C408" s="340" t="s">
        <v>353</v>
      </c>
      <c r="D408" s="341" t="s">
        <v>517</v>
      </c>
      <c r="E408" s="340" t="s">
        <v>1395</v>
      </c>
      <c r="F408" s="341" t="s">
        <v>1396</v>
      </c>
      <c r="G408" s="340" t="s">
        <v>592</v>
      </c>
      <c r="H408" s="340" t="s">
        <v>593</v>
      </c>
      <c r="I408" s="342">
        <v>10.99</v>
      </c>
      <c r="J408" s="342">
        <v>240</v>
      </c>
      <c r="K408" s="343">
        <v>2637.36</v>
      </c>
    </row>
    <row r="409" spans="1:11" ht="14.4" customHeight="1" x14ac:dyDescent="0.3">
      <c r="A409" s="338" t="s">
        <v>343</v>
      </c>
      <c r="B409" s="339" t="s">
        <v>515</v>
      </c>
      <c r="C409" s="340" t="s">
        <v>353</v>
      </c>
      <c r="D409" s="341" t="s">
        <v>517</v>
      </c>
      <c r="E409" s="340" t="s">
        <v>1395</v>
      </c>
      <c r="F409" s="341" t="s">
        <v>1396</v>
      </c>
      <c r="G409" s="340" t="s">
        <v>594</v>
      </c>
      <c r="H409" s="340" t="s">
        <v>595</v>
      </c>
      <c r="I409" s="342">
        <v>9.5766666666666662</v>
      </c>
      <c r="J409" s="342">
        <v>480</v>
      </c>
      <c r="K409" s="343">
        <v>4615.08</v>
      </c>
    </row>
    <row r="410" spans="1:11" ht="14.4" customHeight="1" x14ac:dyDescent="0.3">
      <c r="A410" s="338" t="s">
        <v>343</v>
      </c>
      <c r="B410" s="339" t="s">
        <v>515</v>
      </c>
      <c r="C410" s="340" t="s">
        <v>353</v>
      </c>
      <c r="D410" s="341" t="s">
        <v>517</v>
      </c>
      <c r="E410" s="340" t="s">
        <v>1395</v>
      </c>
      <c r="F410" s="341" t="s">
        <v>1396</v>
      </c>
      <c r="G410" s="340" t="s">
        <v>613</v>
      </c>
      <c r="H410" s="340" t="s">
        <v>614</v>
      </c>
      <c r="I410" s="342">
        <v>216.61</v>
      </c>
      <c r="J410" s="342">
        <v>34</v>
      </c>
      <c r="K410" s="343">
        <v>7380.1600000000008</v>
      </c>
    </row>
    <row r="411" spans="1:11" ht="14.4" customHeight="1" x14ac:dyDescent="0.3">
      <c r="A411" s="338" t="s">
        <v>343</v>
      </c>
      <c r="B411" s="339" t="s">
        <v>515</v>
      </c>
      <c r="C411" s="340" t="s">
        <v>353</v>
      </c>
      <c r="D411" s="341" t="s">
        <v>517</v>
      </c>
      <c r="E411" s="340" t="s">
        <v>1395</v>
      </c>
      <c r="F411" s="341" t="s">
        <v>1396</v>
      </c>
      <c r="G411" s="340" t="s">
        <v>1282</v>
      </c>
      <c r="H411" s="340" t="s">
        <v>1283</v>
      </c>
      <c r="I411" s="342">
        <v>0.89</v>
      </c>
      <c r="J411" s="342">
        <v>500</v>
      </c>
      <c r="K411" s="343">
        <v>443.46</v>
      </c>
    </row>
    <row r="412" spans="1:11" ht="14.4" customHeight="1" x14ac:dyDescent="0.3">
      <c r="A412" s="338" t="s">
        <v>343</v>
      </c>
      <c r="B412" s="339" t="s">
        <v>515</v>
      </c>
      <c r="C412" s="340" t="s">
        <v>353</v>
      </c>
      <c r="D412" s="341" t="s">
        <v>517</v>
      </c>
      <c r="E412" s="340" t="s">
        <v>1395</v>
      </c>
      <c r="F412" s="341" t="s">
        <v>1396</v>
      </c>
      <c r="G412" s="340" t="s">
        <v>621</v>
      </c>
      <c r="H412" s="340" t="s">
        <v>622</v>
      </c>
      <c r="I412" s="342">
        <v>0.85499999999999998</v>
      </c>
      <c r="J412" s="342">
        <v>1700</v>
      </c>
      <c r="K412" s="343">
        <v>1454</v>
      </c>
    </row>
    <row r="413" spans="1:11" ht="14.4" customHeight="1" x14ac:dyDescent="0.3">
      <c r="A413" s="338" t="s">
        <v>343</v>
      </c>
      <c r="B413" s="339" t="s">
        <v>515</v>
      </c>
      <c r="C413" s="340" t="s">
        <v>353</v>
      </c>
      <c r="D413" s="341" t="s">
        <v>517</v>
      </c>
      <c r="E413" s="340" t="s">
        <v>1395</v>
      </c>
      <c r="F413" s="341" t="s">
        <v>1396</v>
      </c>
      <c r="G413" s="340" t="s">
        <v>623</v>
      </c>
      <c r="H413" s="340" t="s">
        <v>624</v>
      </c>
      <c r="I413" s="342">
        <v>1.5125</v>
      </c>
      <c r="J413" s="342">
        <v>1600</v>
      </c>
      <c r="K413" s="343">
        <v>2420</v>
      </c>
    </row>
    <row r="414" spans="1:11" ht="14.4" customHeight="1" x14ac:dyDescent="0.3">
      <c r="A414" s="338" t="s">
        <v>343</v>
      </c>
      <c r="B414" s="339" t="s">
        <v>515</v>
      </c>
      <c r="C414" s="340" t="s">
        <v>353</v>
      </c>
      <c r="D414" s="341" t="s">
        <v>517</v>
      </c>
      <c r="E414" s="340" t="s">
        <v>1395</v>
      </c>
      <c r="F414" s="341" t="s">
        <v>1396</v>
      </c>
      <c r="G414" s="340" t="s">
        <v>625</v>
      </c>
      <c r="H414" s="340" t="s">
        <v>626</v>
      </c>
      <c r="I414" s="342">
        <v>2.063333333333333</v>
      </c>
      <c r="J414" s="342">
        <v>1200</v>
      </c>
      <c r="K414" s="343">
        <v>2476</v>
      </c>
    </row>
    <row r="415" spans="1:11" ht="14.4" customHeight="1" x14ac:dyDescent="0.3">
      <c r="A415" s="338" t="s">
        <v>343</v>
      </c>
      <c r="B415" s="339" t="s">
        <v>515</v>
      </c>
      <c r="C415" s="340" t="s">
        <v>353</v>
      </c>
      <c r="D415" s="341" t="s">
        <v>517</v>
      </c>
      <c r="E415" s="340" t="s">
        <v>1395</v>
      </c>
      <c r="F415" s="341" t="s">
        <v>1396</v>
      </c>
      <c r="G415" s="340" t="s">
        <v>1284</v>
      </c>
      <c r="H415" s="340" t="s">
        <v>1285</v>
      </c>
      <c r="I415" s="342">
        <v>3.36</v>
      </c>
      <c r="J415" s="342">
        <v>1200</v>
      </c>
      <c r="K415" s="343">
        <v>4032</v>
      </c>
    </row>
    <row r="416" spans="1:11" ht="14.4" customHeight="1" x14ac:dyDescent="0.3">
      <c r="A416" s="338" t="s">
        <v>343</v>
      </c>
      <c r="B416" s="339" t="s">
        <v>515</v>
      </c>
      <c r="C416" s="340" t="s">
        <v>353</v>
      </c>
      <c r="D416" s="341" t="s">
        <v>517</v>
      </c>
      <c r="E416" s="340" t="s">
        <v>1395</v>
      </c>
      <c r="F416" s="341" t="s">
        <v>1396</v>
      </c>
      <c r="G416" s="340" t="s">
        <v>627</v>
      </c>
      <c r="H416" s="340" t="s">
        <v>628</v>
      </c>
      <c r="I416" s="342">
        <v>114.105</v>
      </c>
      <c r="J416" s="342">
        <v>60</v>
      </c>
      <c r="K416" s="343">
        <v>6846.34</v>
      </c>
    </row>
    <row r="417" spans="1:11" ht="14.4" customHeight="1" x14ac:dyDescent="0.3">
      <c r="A417" s="338" t="s">
        <v>343</v>
      </c>
      <c r="B417" s="339" t="s">
        <v>515</v>
      </c>
      <c r="C417" s="340" t="s">
        <v>353</v>
      </c>
      <c r="D417" s="341" t="s">
        <v>517</v>
      </c>
      <c r="E417" s="340" t="s">
        <v>1395</v>
      </c>
      <c r="F417" s="341" t="s">
        <v>1396</v>
      </c>
      <c r="G417" s="340" t="s">
        <v>629</v>
      </c>
      <c r="H417" s="340" t="s">
        <v>630</v>
      </c>
      <c r="I417" s="342">
        <v>66.834999999999994</v>
      </c>
      <c r="J417" s="342">
        <v>120</v>
      </c>
      <c r="K417" s="343">
        <v>8019.88</v>
      </c>
    </row>
    <row r="418" spans="1:11" ht="14.4" customHeight="1" x14ac:dyDescent="0.3">
      <c r="A418" s="338" t="s">
        <v>343</v>
      </c>
      <c r="B418" s="339" t="s">
        <v>515</v>
      </c>
      <c r="C418" s="340" t="s">
        <v>353</v>
      </c>
      <c r="D418" s="341" t="s">
        <v>517</v>
      </c>
      <c r="E418" s="340" t="s">
        <v>1395</v>
      </c>
      <c r="F418" s="341" t="s">
        <v>1396</v>
      </c>
      <c r="G418" s="340" t="s">
        <v>1286</v>
      </c>
      <c r="H418" s="340" t="s">
        <v>1287</v>
      </c>
      <c r="I418" s="342">
        <v>0.29000000000000004</v>
      </c>
      <c r="J418" s="342">
        <v>48000</v>
      </c>
      <c r="K418" s="343">
        <v>13862.1</v>
      </c>
    </row>
    <row r="419" spans="1:11" ht="14.4" customHeight="1" x14ac:dyDescent="0.3">
      <c r="A419" s="338" t="s">
        <v>343</v>
      </c>
      <c r="B419" s="339" t="s">
        <v>515</v>
      </c>
      <c r="C419" s="340" t="s">
        <v>353</v>
      </c>
      <c r="D419" s="341" t="s">
        <v>517</v>
      </c>
      <c r="E419" s="340" t="s">
        <v>1395</v>
      </c>
      <c r="F419" s="341" t="s">
        <v>1396</v>
      </c>
      <c r="G419" s="340" t="s">
        <v>644</v>
      </c>
      <c r="H419" s="340" t="s">
        <v>645</v>
      </c>
      <c r="I419" s="342">
        <v>663.03666666666663</v>
      </c>
      <c r="J419" s="342">
        <v>444</v>
      </c>
      <c r="K419" s="343">
        <v>294351.7</v>
      </c>
    </row>
    <row r="420" spans="1:11" ht="14.4" customHeight="1" x14ac:dyDescent="0.3">
      <c r="A420" s="338" t="s">
        <v>343</v>
      </c>
      <c r="B420" s="339" t="s">
        <v>515</v>
      </c>
      <c r="C420" s="340" t="s">
        <v>353</v>
      </c>
      <c r="D420" s="341" t="s">
        <v>517</v>
      </c>
      <c r="E420" s="340" t="s">
        <v>1395</v>
      </c>
      <c r="F420" s="341" t="s">
        <v>1396</v>
      </c>
      <c r="G420" s="340" t="s">
        <v>646</v>
      </c>
      <c r="H420" s="340" t="s">
        <v>647</v>
      </c>
      <c r="I420" s="342">
        <v>7.17</v>
      </c>
      <c r="J420" s="342">
        <v>4000</v>
      </c>
      <c r="K420" s="343">
        <v>28699.47</v>
      </c>
    </row>
    <row r="421" spans="1:11" ht="14.4" customHeight="1" x14ac:dyDescent="0.3">
      <c r="A421" s="338" t="s">
        <v>343</v>
      </c>
      <c r="B421" s="339" t="s">
        <v>515</v>
      </c>
      <c r="C421" s="340" t="s">
        <v>353</v>
      </c>
      <c r="D421" s="341" t="s">
        <v>517</v>
      </c>
      <c r="E421" s="340" t="s">
        <v>1395</v>
      </c>
      <c r="F421" s="341" t="s">
        <v>1396</v>
      </c>
      <c r="G421" s="340" t="s">
        <v>672</v>
      </c>
      <c r="H421" s="340" t="s">
        <v>673</v>
      </c>
      <c r="I421" s="342">
        <v>167.83</v>
      </c>
      <c r="J421" s="342">
        <v>195</v>
      </c>
      <c r="K421" s="343">
        <v>32726.87</v>
      </c>
    </row>
    <row r="422" spans="1:11" ht="14.4" customHeight="1" x14ac:dyDescent="0.3">
      <c r="A422" s="338" t="s">
        <v>343</v>
      </c>
      <c r="B422" s="339" t="s">
        <v>515</v>
      </c>
      <c r="C422" s="340" t="s">
        <v>353</v>
      </c>
      <c r="D422" s="341" t="s">
        <v>517</v>
      </c>
      <c r="E422" s="340" t="s">
        <v>1395</v>
      </c>
      <c r="F422" s="341" t="s">
        <v>1396</v>
      </c>
      <c r="G422" s="340" t="s">
        <v>674</v>
      </c>
      <c r="H422" s="340" t="s">
        <v>675</v>
      </c>
      <c r="I422" s="342">
        <v>2.62</v>
      </c>
      <c r="J422" s="342">
        <v>600</v>
      </c>
      <c r="K422" s="343">
        <v>1573</v>
      </c>
    </row>
    <row r="423" spans="1:11" ht="14.4" customHeight="1" x14ac:dyDescent="0.3">
      <c r="A423" s="338" t="s">
        <v>343</v>
      </c>
      <c r="B423" s="339" t="s">
        <v>515</v>
      </c>
      <c r="C423" s="340" t="s">
        <v>353</v>
      </c>
      <c r="D423" s="341" t="s">
        <v>517</v>
      </c>
      <c r="E423" s="340" t="s">
        <v>1395</v>
      </c>
      <c r="F423" s="341" t="s">
        <v>1396</v>
      </c>
      <c r="G423" s="340" t="s">
        <v>1288</v>
      </c>
      <c r="H423" s="340" t="s">
        <v>1289</v>
      </c>
      <c r="I423" s="342">
        <v>4.5199999999999996</v>
      </c>
      <c r="J423" s="342">
        <v>1000</v>
      </c>
      <c r="K423" s="343">
        <v>4519.5</v>
      </c>
    </row>
    <row r="424" spans="1:11" ht="14.4" customHeight="1" x14ac:dyDescent="0.3">
      <c r="A424" s="338" t="s">
        <v>343</v>
      </c>
      <c r="B424" s="339" t="s">
        <v>515</v>
      </c>
      <c r="C424" s="340" t="s">
        <v>353</v>
      </c>
      <c r="D424" s="341" t="s">
        <v>517</v>
      </c>
      <c r="E424" s="340" t="s">
        <v>1395</v>
      </c>
      <c r="F424" s="341" t="s">
        <v>1396</v>
      </c>
      <c r="G424" s="340" t="s">
        <v>676</v>
      </c>
      <c r="H424" s="340" t="s">
        <v>677</v>
      </c>
      <c r="I424" s="342">
        <v>138</v>
      </c>
      <c r="J424" s="342">
        <v>15</v>
      </c>
      <c r="K424" s="343">
        <v>2070</v>
      </c>
    </row>
    <row r="425" spans="1:11" ht="14.4" customHeight="1" x14ac:dyDescent="0.3">
      <c r="A425" s="338" t="s">
        <v>343</v>
      </c>
      <c r="B425" s="339" t="s">
        <v>515</v>
      </c>
      <c r="C425" s="340" t="s">
        <v>353</v>
      </c>
      <c r="D425" s="341" t="s">
        <v>517</v>
      </c>
      <c r="E425" s="340" t="s">
        <v>1395</v>
      </c>
      <c r="F425" s="341" t="s">
        <v>1396</v>
      </c>
      <c r="G425" s="340" t="s">
        <v>680</v>
      </c>
      <c r="H425" s="340" t="s">
        <v>681</v>
      </c>
      <c r="I425" s="342">
        <v>264.91666666666669</v>
      </c>
      <c r="J425" s="342">
        <v>192</v>
      </c>
      <c r="K425" s="343">
        <v>51078.400000000001</v>
      </c>
    </row>
    <row r="426" spans="1:11" ht="14.4" customHeight="1" x14ac:dyDescent="0.3">
      <c r="A426" s="338" t="s">
        <v>343</v>
      </c>
      <c r="B426" s="339" t="s">
        <v>515</v>
      </c>
      <c r="C426" s="340" t="s">
        <v>353</v>
      </c>
      <c r="D426" s="341" t="s">
        <v>517</v>
      </c>
      <c r="E426" s="340" t="s">
        <v>1395</v>
      </c>
      <c r="F426" s="341" t="s">
        <v>1396</v>
      </c>
      <c r="G426" s="340" t="s">
        <v>1290</v>
      </c>
      <c r="H426" s="340" t="s">
        <v>1291</v>
      </c>
      <c r="I426" s="342">
        <v>5478.6</v>
      </c>
      <c r="J426" s="342">
        <v>6</v>
      </c>
      <c r="K426" s="343">
        <v>32871.599999999999</v>
      </c>
    </row>
    <row r="427" spans="1:11" ht="14.4" customHeight="1" x14ac:dyDescent="0.3">
      <c r="A427" s="338" t="s">
        <v>343</v>
      </c>
      <c r="B427" s="339" t="s">
        <v>515</v>
      </c>
      <c r="C427" s="340" t="s">
        <v>353</v>
      </c>
      <c r="D427" s="341" t="s">
        <v>517</v>
      </c>
      <c r="E427" s="340" t="s">
        <v>1395</v>
      </c>
      <c r="F427" s="341" t="s">
        <v>1396</v>
      </c>
      <c r="G427" s="340" t="s">
        <v>685</v>
      </c>
      <c r="H427" s="340" t="s">
        <v>686</v>
      </c>
      <c r="I427" s="342">
        <v>69</v>
      </c>
      <c r="J427" s="342">
        <v>80</v>
      </c>
      <c r="K427" s="343">
        <v>5520</v>
      </c>
    </row>
    <row r="428" spans="1:11" ht="14.4" customHeight="1" x14ac:dyDescent="0.3">
      <c r="A428" s="338" t="s">
        <v>343</v>
      </c>
      <c r="B428" s="339" t="s">
        <v>515</v>
      </c>
      <c r="C428" s="340" t="s">
        <v>353</v>
      </c>
      <c r="D428" s="341" t="s">
        <v>517</v>
      </c>
      <c r="E428" s="340" t="s">
        <v>1395</v>
      </c>
      <c r="F428" s="341" t="s">
        <v>1396</v>
      </c>
      <c r="G428" s="340" t="s">
        <v>687</v>
      </c>
      <c r="H428" s="340" t="s">
        <v>688</v>
      </c>
      <c r="I428" s="342">
        <v>123.05</v>
      </c>
      <c r="J428" s="342">
        <v>100</v>
      </c>
      <c r="K428" s="343">
        <v>12305</v>
      </c>
    </row>
    <row r="429" spans="1:11" ht="14.4" customHeight="1" x14ac:dyDescent="0.3">
      <c r="A429" s="338" t="s">
        <v>343</v>
      </c>
      <c r="B429" s="339" t="s">
        <v>515</v>
      </c>
      <c r="C429" s="340" t="s">
        <v>353</v>
      </c>
      <c r="D429" s="341" t="s">
        <v>517</v>
      </c>
      <c r="E429" s="340" t="s">
        <v>1395</v>
      </c>
      <c r="F429" s="341" t="s">
        <v>1396</v>
      </c>
      <c r="G429" s="340" t="s">
        <v>1292</v>
      </c>
      <c r="H429" s="340" t="s">
        <v>1293</v>
      </c>
      <c r="I429" s="342">
        <v>1147.32</v>
      </c>
      <c r="J429" s="342">
        <v>24</v>
      </c>
      <c r="K429" s="343">
        <v>27535.599999999999</v>
      </c>
    </row>
    <row r="430" spans="1:11" ht="14.4" customHeight="1" x14ac:dyDescent="0.3">
      <c r="A430" s="338" t="s">
        <v>343</v>
      </c>
      <c r="B430" s="339" t="s">
        <v>515</v>
      </c>
      <c r="C430" s="340" t="s">
        <v>353</v>
      </c>
      <c r="D430" s="341" t="s">
        <v>517</v>
      </c>
      <c r="E430" s="340" t="s">
        <v>1395</v>
      </c>
      <c r="F430" s="341" t="s">
        <v>1396</v>
      </c>
      <c r="G430" s="340" t="s">
        <v>691</v>
      </c>
      <c r="H430" s="340" t="s">
        <v>692</v>
      </c>
      <c r="I430" s="342">
        <v>517.5</v>
      </c>
      <c r="J430" s="342">
        <v>90</v>
      </c>
      <c r="K430" s="343">
        <v>46575</v>
      </c>
    </row>
    <row r="431" spans="1:11" ht="14.4" customHeight="1" x14ac:dyDescent="0.3">
      <c r="A431" s="338" t="s">
        <v>343</v>
      </c>
      <c r="B431" s="339" t="s">
        <v>515</v>
      </c>
      <c r="C431" s="340" t="s">
        <v>353</v>
      </c>
      <c r="D431" s="341" t="s">
        <v>517</v>
      </c>
      <c r="E431" s="340" t="s">
        <v>1395</v>
      </c>
      <c r="F431" s="341" t="s">
        <v>1396</v>
      </c>
      <c r="G431" s="340" t="s">
        <v>700</v>
      </c>
      <c r="H431" s="340" t="s">
        <v>701</v>
      </c>
      <c r="I431" s="342">
        <v>5.64</v>
      </c>
      <c r="J431" s="342">
        <v>5400</v>
      </c>
      <c r="K431" s="343">
        <v>30456</v>
      </c>
    </row>
    <row r="432" spans="1:11" ht="14.4" customHeight="1" x14ac:dyDescent="0.3">
      <c r="A432" s="338" t="s">
        <v>343</v>
      </c>
      <c r="B432" s="339" t="s">
        <v>515</v>
      </c>
      <c r="C432" s="340" t="s">
        <v>353</v>
      </c>
      <c r="D432" s="341" t="s">
        <v>517</v>
      </c>
      <c r="E432" s="340" t="s">
        <v>1395</v>
      </c>
      <c r="F432" s="341" t="s">
        <v>1396</v>
      </c>
      <c r="G432" s="340" t="s">
        <v>703</v>
      </c>
      <c r="H432" s="340" t="s">
        <v>704</v>
      </c>
      <c r="I432" s="342">
        <v>0.9</v>
      </c>
      <c r="J432" s="342">
        <v>6000</v>
      </c>
      <c r="K432" s="343">
        <v>5400</v>
      </c>
    </row>
    <row r="433" spans="1:11" ht="14.4" customHeight="1" x14ac:dyDescent="0.3">
      <c r="A433" s="338" t="s">
        <v>343</v>
      </c>
      <c r="B433" s="339" t="s">
        <v>515</v>
      </c>
      <c r="C433" s="340" t="s">
        <v>353</v>
      </c>
      <c r="D433" s="341" t="s">
        <v>517</v>
      </c>
      <c r="E433" s="340" t="s">
        <v>1395</v>
      </c>
      <c r="F433" s="341" t="s">
        <v>1396</v>
      </c>
      <c r="G433" s="340" t="s">
        <v>707</v>
      </c>
      <c r="H433" s="340" t="s">
        <v>708</v>
      </c>
      <c r="I433" s="342">
        <v>2.54</v>
      </c>
      <c r="J433" s="342">
        <v>3000</v>
      </c>
      <c r="K433" s="343">
        <v>7617.6</v>
      </c>
    </row>
    <row r="434" spans="1:11" ht="14.4" customHeight="1" x14ac:dyDescent="0.3">
      <c r="A434" s="338" t="s">
        <v>343</v>
      </c>
      <c r="B434" s="339" t="s">
        <v>515</v>
      </c>
      <c r="C434" s="340" t="s">
        <v>353</v>
      </c>
      <c r="D434" s="341" t="s">
        <v>517</v>
      </c>
      <c r="E434" s="340" t="s">
        <v>1395</v>
      </c>
      <c r="F434" s="341" t="s">
        <v>1396</v>
      </c>
      <c r="G434" s="340" t="s">
        <v>709</v>
      </c>
      <c r="H434" s="340" t="s">
        <v>710</v>
      </c>
      <c r="I434" s="342">
        <v>0.53</v>
      </c>
      <c r="J434" s="342">
        <v>6000</v>
      </c>
      <c r="K434" s="343">
        <v>3174</v>
      </c>
    </row>
    <row r="435" spans="1:11" ht="14.4" customHeight="1" x14ac:dyDescent="0.3">
      <c r="A435" s="338" t="s">
        <v>343</v>
      </c>
      <c r="B435" s="339" t="s">
        <v>515</v>
      </c>
      <c r="C435" s="340" t="s">
        <v>353</v>
      </c>
      <c r="D435" s="341" t="s">
        <v>517</v>
      </c>
      <c r="E435" s="340" t="s">
        <v>1395</v>
      </c>
      <c r="F435" s="341" t="s">
        <v>1396</v>
      </c>
      <c r="G435" s="340" t="s">
        <v>1294</v>
      </c>
      <c r="H435" s="340" t="s">
        <v>1295</v>
      </c>
      <c r="I435" s="342">
        <v>8696.2999999999993</v>
      </c>
      <c r="J435" s="342">
        <v>6</v>
      </c>
      <c r="K435" s="343">
        <v>52177.8</v>
      </c>
    </row>
    <row r="436" spans="1:11" ht="14.4" customHeight="1" x14ac:dyDescent="0.3">
      <c r="A436" s="338" t="s">
        <v>343</v>
      </c>
      <c r="B436" s="339" t="s">
        <v>515</v>
      </c>
      <c r="C436" s="340" t="s">
        <v>353</v>
      </c>
      <c r="D436" s="341" t="s">
        <v>517</v>
      </c>
      <c r="E436" s="340" t="s">
        <v>1397</v>
      </c>
      <c r="F436" s="341" t="s">
        <v>1398</v>
      </c>
      <c r="G436" s="340" t="s">
        <v>723</v>
      </c>
      <c r="H436" s="340" t="s">
        <v>724</v>
      </c>
      <c r="I436" s="342">
        <v>11.66</v>
      </c>
      <c r="J436" s="342">
        <v>140</v>
      </c>
      <c r="K436" s="343">
        <v>1632</v>
      </c>
    </row>
    <row r="437" spans="1:11" ht="14.4" customHeight="1" x14ac:dyDescent="0.3">
      <c r="A437" s="338" t="s">
        <v>343</v>
      </c>
      <c r="B437" s="339" t="s">
        <v>515</v>
      </c>
      <c r="C437" s="340" t="s">
        <v>353</v>
      </c>
      <c r="D437" s="341" t="s">
        <v>517</v>
      </c>
      <c r="E437" s="340" t="s">
        <v>1397</v>
      </c>
      <c r="F437" s="341" t="s">
        <v>1398</v>
      </c>
      <c r="G437" s="340" t="s">
        <v>725</v>
      </c>
      <c r="H437" s="340" t="s">
        <v>726</v>
      </c>
      <c r="I437" s="342">
        <v>16.399999999999999</v>
      </c>
      <c r="J437" s="342">
        <v>80</v>
      </c>
      <c r="K437" s="343">
        <v>1311.64</v>
      </c>
    </row>
    <row r="438" spans="1:11" ht="14.4" customHeight="1" x14ac:dyDescent="0.3">
      <c r="A438" s="338" t="s">
        <v>343</v>
      </c>
      <c r="B438" s="339" t="s">
        <v>515</v>
      </c>
      <c r="C438" s="340" t="s">
        <v>353</v>
      </c>
      <c r="D438" s="341" t="s">
        <v>517</v>
      </c>
      <c r="E438" s="340" t="s">
        <v>1397</v>
      </c>
      <c r="F438" s="341" t="s">
        <v>1398</v>
      </c>
      <c r="G438" s="340" t="s">
        <v>731</v>
      </c>
      <c r="H438" s="340" t="s">
        <v>732</v>
      </c>
      <c r="I438" s="342">
        <v>7.43</v>
      </c>
      <c r="J438" s="342">
        <v>50</v>
      </c>
      <c r="K438" s="343">
        <v>371.5</v>
      </c>
    </row>
    <row r="439" spans="1:11" ht="14.4" customHeight="1" x14ac:dyDescent="0.3">
      <c r="A439" s="338" t="s">
        <v>343</v>
      </c>
      <c r="B439" s="339" t="s">
        <v>515</v>
      </c>
      <c r="C439" s="340" t="s">
        <v>353</v>
      </c>
      <c r="D439" s="341" t="s">
        <v>517</v>
      </c>
      <c r="E439" s="340" t="s">
        <v>1397</v>
      </c>
      <c r="F439" s="341" t="s">
        <v>1398</v>
      </c>
      <c r="G439" s="340" t="s">
        <v>733</v>
      </c>
      <c r="H439" s="340" t="s">
        <v>734</v>
      </c>
      <c r="I439" s="342">
        <v>8.4700000000000006</v>
      </c>
      <c r="J439" s="342">
        <v>100</v>
      </c>
      <c r="K439" s="343">
        <v>847</v>
      </c>
    </row>
    <row r="440" spans="1:11" ht="14.4" customHeight="1" x14ac:dyDescent="0.3">
      <c r="A440" s="338" t="s">
        <v>343</v>
      </c>
      <c r="B440" s="339" t="s">
        <v>515</v>
      </c>
      <c r="C440" s="340" t="s">
        <v>353</v>
      </c>
      <c r="D440" s="341" t="s">
        <v>517</v>
      </c>
      <c r="E440" s="340" t="s">
        <v>1397</v>
      </c>
      <c r="F440" s="341" t="s">
        <v>1398</v>
      </c>
      <c r="G440" s="340" t="s">
        <v>735</v>
      </c>
      <c r="H440" s="340" t="s">
        <v>736</v>
      </c>
      <c r="I440" s="342">
        <v>8.51</v>
      </c>
      <c r="J440" s="342">
        <v>100</v>
      </c>
      <c r="K440" s="343">
        <v>851</v>
      </c>
    </row>
    <row r="441" spans="1:11" ht="14.4" customHeight="1" x14ac:dyDescent="0.3">
      <c r="A441" s="338" t="s">
        <v>343</v>
      </c>
      <c r="B441" s="339" t="s">
        <v>515</v>
      </c>
      <c r="C441" s="340" t="s">
        <v>353</v>
      </c>
      <c r="D441" s="341" t="s">
        <v>517</v>
      </c>
      <c r="E441" s="340" t="s">
        <v>1397</v>
      </c>
      <c r="F441" s="341" t="s">
        <v>1398</v>
      </c>
      <c r="G441" s="340" t="s">
        <v>739</v>
      </c>
      <c r="H441" s="340" t="s">
        <v>740</v>
      </c>
      <c r="I441" s="342">
        <v>1.0900000000000001</v>
      </c>
      <c r="J441" s="342">
        <v>300</v>
      </c>
      <c r="K441" s="343">
        <v>327</v>
      </c>
    </row>
    <row r="442" spans="1:11" ht="14.4" customHeight="1" x14ac:dyDescent="0.3">
      <c r="A442" s="338" t="s">
        <v>343</v>
      </c>
      <c r="B442" s="339" t="s">
        <v>515</v>
      </c>
      <c r="C442" s="340" t="s">
        <v>353</v>
      </c>
      <c r="D442" s="341" t="s">
        <v>517</v>
      </c>
      <c r="E442" s="340" t="s">
        <v>1397</v>
      </c>
      <c r="F442" s="341" t="s">
        <v>1398</v>
      </c>
      <c r="G442" s="340" t="s">
        <v>741</v>
      </c>
      <c r="H442" s="340" t="s">
        <v>742</v>
      </c>
      <c r="I442" s="342">
        <v>1.67</v>
      </c>
      <c r="J442" s="342">
        <v>100</v>
      </c>
      <c r="K442" s="343">
        <v>167</v>
      </c>
    </row>
    <row r="443" spans="1:11" ht="14.4" customHeight="1" x14ac:dyDescent="0.3">
      <c r="A443" s="338" t="s">
        <v>343</v>
      </c>
      <c r="B443" s="339" t="s">
        <v>515</v>
      </c>
      <c r="C443" s="340" t="s">
        <v>353</v>
      </c>
      <c r="D443" s="341" t="s">
        <v>517</v>
      </c>
      <c r="E443" s="340" t="s">
        <v>1397</v>
      </c>
      <c r="F443" s="341" t="s">
        <v>1398</v>
      </c>
      <c r="G443" s="340" t="s">
        <v>743</v>
      </c>
      <c r="H443" s="340" t="s">
        <v>744</v>
      </c>
      <c r="I443" s="342">
        <v>0.48</v>
      </c>
      <c r="J443" s="342">
        <v>100</v>
      </c>
      <c r="K443" s="343">
        <v>48</v>
      </c>
    </row>
    <row r="444" spans="1:11" ht="14.4" customHeight="1" x14ac:dyDescent="0.3">
      <c r="A444" s="338" t="s">
        <v>343</v>
      </c>
      <c r="B444" s="339" t="s">
        <v>515</v>
      </c>
      <c r="C444" s="340" t="s">
        <v>353</v>
      </c>
      <c r="D444" s="341" t="s">
        <v>517</v>
      </c>
      <c r="E444" s="340" t="s">
        <v>1397</v>
      </c>
      <c r="F444" s="341" t="s">
        <v>1398</v>
      </c>
      <c r="G444" s="340" t="s">
        <v>747</v>
      </c>
      <c r="H444" s="340" t="s">
        <v>748</v>
      </c>
      <c r="I444" s="342">
        <v>3.13</v>
      </c>
      <c r="J444" s="342">
        <v>62</v>
      </c>
      <c r="K444" s="343">
        <v>194.06</v>
      </c>
    </row>
    <row r="445" spans="1:11" ht="14.4" customHeight="1" x14ac:dyDescent="0.3">
      <c r="A445" s="338" t="s">
        <v>343</v>
      </c>
      <c r="B445" s="339" t="s">
        <v>515</v>
      </c>
      <c r="C445" s="340" t="s">
        <v>353</v>
      </c>
      <c r="D445" s="341" t="s">
        <v>517</v>
      </c>
      <c r="E445" s="340" t="s">
        <v>1397</v>
      </c>
      <c r="F445" s="341" t="s">
        <v>1398</v>
      </c>
      <c r="G445" s="340" t="s">
        <v>1296</v>
      </c>
      <c r="H445" s="340" t="s">
        <v>1297</v>
      </c>
      <c r="I445" s="342">
        <v>1.97</v>
      </c>
      <c r="J445" s="342">
        <v>40</v>
      </c>
      <c r="K445" s="343">
        <v>78.8</v>
      </c>
    </row>
    <row r="446" spans="1:11" ht="14.4" customHeight="1" x14ac:dyDescent="0.3">
      <c r="A446" s="338" t="s">
        <v>343</v>
      </c>
      <c r="B446" s="339" t="s">
        <v>515</v>
      </c>
      <c r="C446" s="340" t="s">
        <v>353</v>
      </c>
      <c r="D446" s="341" t="s">
        <v>517</v>
      </c>
      <c r="E446" s="340" t="s">
        <v>1397</v>
      </c>
      <c r="F446" s="341" t="s">
        <v>1398</v>
      </c>
      <c r="G446" s="340" t="s">
        <v>755</v>
      </c>
      <c r="H446" s="340" t="s">
        <v>756</v>
      </c>
      <c r="I446" s="342">
        <v>80.575999999999993</v>
      </c>
      <c r="J446" s="342">
        <v>760</v>
      </c>
      <c r="K446" s="343">
        <v>61236.799999999996</v>
      </c>
    </row>
    <row r="447" spans="1:11" ht="14.4" customHeight="1" x14ac:dyDescent="0.3">
      <c r="A447" s="338" t="s">
        <v>343</v>
      </c>
      <c r="B447" s="339" t="s">
        <v>515</v>
      </c>
      <c r="C447" s="340" t="s">
        <v>353</v>
      </c>
      <c r="D447" s="341" t="s">
        <v>517</v>
      </c>
      <c r="E447" s="340" t="s">
        <v>1397</v>
      </c>
      <c r="F447" s="341" t="s">
        <v>1398</v>
      </c>
      <c r="G447" s="340" t="s">
        <v>1298</v>
      </c>
      <c r="H447" s="340" t="s">
        <v>1299</v>
      </c>
      <c r="I447" s="342">
        <v>2.0299999999999998</v>
      </c>
      <c r="J447" s="342">
        <v>100</v>
      </c>
      <c r="K447" s="343">
        <v>203</v>
      </c>
    </row>
    <row r="448" spans="1:11" ht="14.4" customHeight="1" x14ac:dyDescent="0.3">
      <c r="A448" s="338" t="s">
        <v>343</v>
      </c>
      <c r="B448" s="339" t="s">
        <v>515</v>
      </c>
      <c r="C448" s="340" t="s">
        <v>353</v>
      </c>
      <c r="D448" s="341" t="s">
        <v>517</v>
      </c>
      <c r="E448" s="340" t="s">
        <v>1397</v>
      </c>
      <c r="F448" s="341" t="s">
        <v>1398</v>
      </c>
      <c r="G448" s="340" t="s">
        <v>786</v>
      </c>
      <c r="H448" s="340" t="s">
        <v>787</v>
      </c>
      <c r="I448" s="342">
        <v>37.15</v>
      </c>
      <c r="J448" s="342">
        <v>120</v>
      </c>
      <c r="K448" s="343">
        <v>4457.6400000000003</v>
      </c>
    </row>
    <row r="449" spans="1:11" ht="14.4" customHeight="1" x14ac:dyDescent="0.3">
      <c r="A449" s="338" t="s">
        <v>343</v>
      </c>
      <c r="B449" s="339" t="s">
        <v>515</v>
      </c>
      <c r="C449" s="340" t="s">
        <v>353</v>
      </c>
      <c r="D449" s="341" t="s">
        <v>517</v>
      </c>
      <c r="E449" s="340" t="s">
        <v>1397</v>
      </c>
      <c r="F449" s="341" t="s">
        <v>1398</v>
      </c>
      <c r="G449" s="340" t="s">
        <v>790</v>
      </c>
      <c r="H449" s="340" t="s">
        <v>791</v>
      </c>
      <c r="I449" s="342">
        <v>91.72</v>
      </c>
      <c r="J449" s="342">
        <v>70</v>
      </c>
      <c r="K449" s="343">
        <v>6420.24</v>
      </c>
    </row>
    <row r="450" spans="1:11" ht="14.4" customHeight="1" x14ac:dyDescent="0.3">
      <c r="A450" s="338" t="s">
        <v>343</v>
      </c>
      <c r="B450" s="339" t="s">
        <v>515</v>
      </c>
      <c r="C450" s="340" t="s">
        <v>353</v>
      </c>
      <c r="D450" s="341" t="s">
        <v>517</v>
      </c>
      <c r="E450" s="340" t="s">
        <v>1397</v>
      </c>
      <c r="F450" s="341" t="s">
        <v>1398</v>
      </c>
      <c r="G450" s="340" t="s">
        <v>806</v>
      </c>
      <c r="H450" s="340" t="s">
        <v>807</v>
      </c>
      <c r="I450" s="342">
        <v>6.66</v>
      </c>
      <c r="J450" s="342">
        <v>50</v>
      </c>
      <c r="K450" s="343">
        <v>333</v>
      </c>
    </row>
    <row r="451" spans="1:11" ht="14.4" customHeight="1" x14ac:dyDescent="0.3">
      <c r="A451" s="338" t="s">
        <v>343</v>
      </c>
      <c r="B451" s="339" t="s">
        <v>515</v>
      </c>
      <c r="C451" s="340" t="s">
        <v>353</v>
      </c>
      <c r="D451" s="341" t="s">
        <v>517</v>
      </c>
      <c r="E451" s="340" t="s">
        <v>1397</v>
      </c>
      <c r="F451" s="341" t="s">
        <v>1398</v>
      </c>
      <c r="G451" s="340" t="s">
        <v>808</v>
      </c>
      <c r="H451" s="340" t="s">
        <v>809</v>
      </c>
      <c r="I451" s="342">
        <v>6.66</v>
      </c>
      <c r="J451" s="342">
        <v>100</v>
      </c>
      <c r="K451" s="343">
        <v>666</v>
      </c>
    </row>
    <row r="452" spans="1:11" ht="14.4" customHeight="1" x14ac:dyDescent="0.3">
      <c r="A452" s="338" t="s">
        <v>343</v>
      </c>
      <c r="B452" s="339" t="s">
        <v>515</v>
      </c>
      <c r="C452" s="340" t="s">
        <v>353</v>
      </c>
      <c r="D452" s="341" t="s">
        <v>517</v>
      </c>
      <c r="E452" s="340" t="s">
        <v>1397</v>
      </c>
      <c r="F452" s="341" t="s">
        <v>1398</v>
      </c>
      <c r="G452" s="340" t="s">
        <v>810</v>
      </c>
      <c r="H452" s="340" t="s">
        <v>811</v>
      </c>
      <c r="I452" s="342">
        <v>6.66</v>
      </c>
      <c r="J452" s="342">
        <v>30</v>
      </c>
      <c r="K452" s="343">
        <v>199.8</v>
      </c>
    </row>
    <row r="453" spans="1:11" ht="14.4" customHeight="1" x14ac:dyDescent="0.3">
      <c r="A453" s="338" t="s">
        <v>343</v>
      </c>
      <c r="B453" s="339" t="s">
        <v>515</v>
      </c>
      <c r="C453" s="340" t="s">
        <v>353</v>
      </c>
      <c r="D453" s="341" t="s">
        <v>517</v>
      </c>
      <c r="E453" s="340" t="s">
        <v>1397</v>
      </c>
      <c r="F453" s="341" t="s">
        <v>1398</v>
      </c>
      <c r="G453" s="340" t="s">
        <v>1300</v>
      </c>
      <c r="H453" s="340" t="s">
        <v>836</v>
      </c>
      <c r="I453" s="342">
        <v>601.37</v>
      </c>
      <c r="J453" s="342">
        <v>1</v>
      </c>
      <c r="K453" s="343">
        <v>601.37</v>
      </c>
    </row>
    <row r="454" spans="1:11" ht="14.4" customHeight="1" x14ac:dyDescent="0.3">
      <c r="A454" s="338" t="s">
        <v>343</v>
      </c>
      <c r="B454" s="339" t="s">
        <v>515</v>
      </c>
      <c r="C454" s="340" t="s">
        <v>353</v>
      </c>
      <c r="D454" s="341" t="s">
        <v>517</v>
      </c>
      <c r="E454" s="340" t="s">
        <v>1397</v>
      </c>
      <c r="F454" s="341" t="s">
        <v>1398</v>
      </c>
      <c r="G454" s="340" t="s">
        <v>1301</v>
      </c>
      <c r="H454" s="340" t="s">
        <v>1302</v>
      </c>
      <c r="I454" s="342">
        <v>3749.5</v>
      </c>
      <c r="J454" s="342">
        <v>10</v>
      </c>
      <c r="K454" s="343">
        <v>37495</v>
      </c>
    </row>
    <row r="455" spans="1:11" ht="14.4" customHeight="1" x14ac:dyDescent="0.3">
      <c r="A455" s="338" t="s">
        <v>343</v>
      </c>
      <c r="B455" s="339" t="s">
        <v>515</v>
      </c>
      <c r="C455" s="340" t="s">
        <v>353</v>
      </c>
      <c r="D455" s="341" t="s">
        <v>517</v>
      </c>
      <c r="E455" s="340" t="s">
        <v>1397</v>
      </c>
      <c r="F455" s="341" t="s">
        <v>1398</v>
      </c>
      <c r="G455" s="340" t="s">
        <v>820</v>
      </c>
      <c r="H455" s="340" t="s">
        <v>821</v>
      </c>
      <c r="I455" s="342">
        <v>30.86</v>
      </c>
      <c r="J455" s="342">
        <v>100</v>
      </c>
      <c r="K455" s="343">
        <v>3085.5</v>
      </c>
    </row>
    <row r="456" spans="1:11" ht="14.4" customHeight="1" x14ac:dyDescent="0.3">
      <c r="A456" s="338" t="s">
        <v>343</v>
      </c>
      <c r="B456" s="339" t="s">
        <v>515</v>
      </c>
      <c r="C456" s="340" t="s">
        <v>353</v>
      </c>
      <c r="D456" s="341" t="s">
        <v>517</v>
      </c>
      <c r="E456" s="340" t="s">
        <v>1397</v>
      </c>
      <c r="F456" s="341" t="s">
        <v>1398</v>
      </c>
      <c r="G456" s="340" t="s">
        <v>1303</v>
      </c>
      <c r="H456" s="340" t="s">
        <v>1304</v>
      </c>
      <c r="I456" s="342">
        <v>350.9</v>
      </c>
      <c r="J456" s="342">
        <v>40</v>
      </c>
      <c r="K456" s="343">
        <v>14036</v>
      </c>
    </row>
    <row r="457" spans="1:11" ht="14.4" customHeight="1" x14ac:dyDescent="0.3">
      <c r="A457" s="338" t="s">
        <v>343</v>
      </c>
      <c r="B457" s="339" t="s">
        <v>515</v>
      </c>
      <c r="C457" s="340" t="s">
        <v>353</v>
      </c>
      <c r="D457" s="341" t="s">
        <v>517</v>
      </c>
      <c r="E457" s="340" t="s">
        <v>1397</v>
      </c>
      <c r="F457" s="341" t="s">
        <v>1398</v>
      </c>
      <c r="G457" s="340" t="s">
        <v>1305</v>
      </c>
      <c r="H457" s="340" t="s">
        <v>1306</v>
      </c>
      <c r="I457" s="342">
        <v>64.13</v>
      </c>
      <c r="J457" s="342">
        <v>48</v>
      </c>
      <c r="K457" s="343">
        <v>3078.24</v>
      </c>
    </row>
    <row r="458" spans="1:11" ht="14.4" customHeight="1" x14ac:dyDescent="0.3">
      <c r="A458" s="338" t="s">
        <v>343</v>
      </c>
      <c r="B458" s="339" t="s">
        <v>515</v>
      </c>
      <c r="C458" s="340" t="s">
        <v>353</v>
      </c>
      <c r="D458" s="341" t="s">
        <v>517</v>
      </c>
      <c r="E458" s="340" t="s">
        <v>1397</v>
      </c>
      <c r="F458" s="341" t="s">
        <v>1398</v>
      </c>
      <c r="G458" s="340" t="s">
        <v>837</v>
      </c>
      <c r="H458" s="340" t="s">
        <v>838</v>
      </c>
      <c r="I458" s="342">
        <v>111.55</v>
      </c>
      <c r="J458" s="342">
        <v>40</v>
      </c>
      <c r="K458" s="343">
        <v>4462</v>
      </c>
    </row>
    <row r="459" spans="1:11" ht="14.4" customHeight="1" x14ac:dyDescent="0.3">
      <c r="A459" s="338" t="s">
        <v>343</v>
      </c>
      <c r="B459" s="339" t="s">
        <v>515</v>
      </c>
      <c r="C459" s="340" t="s">
        <v>353</v>
      </c>
      <c r="D459" s="341" t="s">
        <v>517</v>
      </c>
      <c r="E459" s="340" t="s">
        <v>1397</v>
      </c>
      <c r="F459" s="341" t="s">
        <v>1398</v>
      </c>
      <c r="G459" s="340" t="s">
        <v>841</v>
      </c>
      <c r="H459" s="340" t="s">
        <v>1307</v>
      </c>
      <c r="I459" s="342">
        <v>5596.76</v>
      </c>
      <c r="J459" s="342">
        <v>4</v>
      </c>
      <c r="K459" s="343">
        <v>22387.05</v>
      </c>
    </row>
    <row r="460" spans="1:11" ht="14.4" customHeight="1" x14ac:dyDescent="0.3">
      <c r="A460" s="338" t="s">
        <v>343</v>
      </c>
      <c r="B460" s="339" t="s">
        <v>515</v>
      </c>
      <c r="C460" s="340" t="s">
        <v>353</v>
      </c>
      <c r="D460" s="341" t="s">
        <v>517</v>
      </c>
      <c r="E460" s="340" t="s">
        <v>1397</v>
      </c>
      <c r="F460" s="341" t="s">
        <v>1398</v>
      </c>
      <c r="G460" s="340" t="s">
        <v>843</v>
      </c>
      <c r="H460" s="340" t="s">
        <v>844</v>
      </c>
      <c r="I460" s="342">
        <v>482.79</v>
      </c>
      <c r="J460" s="342">
        <v>25</v>
      </c>
      <c r="K460" s="343">
        <v>12069.75</v>
      </c>
    </row>
    <row r="461" spans="1:11" ht="14.4" customHeight="1" x14ac:dyDescent="0.3">
      <c r="A461" s="338" t="s">
        <v>343</v>
      </c>
      <c r="B461" s="339" t="s">
        <v>515</v>
      </c>
      <c r="C461" s="340" t="s">
        <v>353</v>
      </c>
      <c r="D461" s="341" t="s">
        <v>517</v>
      </c>
      <c r="E461" s="340" t="s">
        <v>1397</v>
      </c>
      <c r="F461" s="341" t="s">
        <v>1398</v>
      </c>
      <c r="G461" s="340" t="s">
        <v>845</v>
      </c>
      <c r="H461" s="340" t="s">
        <v>846</v>
      </c>
      <c r="I461" s="342">
        <v>6.05</v>
      </c>
      <c r="J461" s="342">
        <v>680</v>
      </c>
      <c r="K461" s="343">
        <v>4114</v>
      </c>
    </row>
    <row r="462" spans="1:11" ht="14.4" customHeight="1" x14ac:dyDescent="0.3">
      <c r="A462" s="338" t="s">
        <v>343</v>
      </c>
      <c r="B462" s="339" t="s">
        <v>515</v>
      </c>
      <c r="C462" s="340" t="s">
        <v>353</v>
      </c>
      <c r="D462" s="341" t="s">
        <v>517</v>
      </c>
      <c r="E462" s="340" t="s">
        <v>1397</v>
      </c>
      <c r="F462" s="341" t="s">
        <v>1398</v>
      </c>
      <c r="G462" s="340" t="s">
        <v>855</v>
      </c>
      <c r="H462" s="340" t="s">
        <v>856</v>
      </c>
      <c r="I462" s="342">
        <v>144.80000000000001</v>
      </c>
      <c r="J462" s="342">
        <v>20</v>
      </c>
      <c r="K462" s="343">
        <v>2896.02</v>
      </c>
    </row>
    <row r="463" spans="1:11" ht="14.4" customHeight="1" x14ac:dyDescent="0.3">
      <c r="A463" s="338" t="s">
        <v>343</v>
      </c>
      <c r="B463" s="339" t="s">
        <v>515</v>
      </c>
      <c r="C463" s="340" t="s">
        <v>353</v>
      </c>
      <c r="D463" s="341" t="s">
        <v>517</v>
      </c>
      <c r="E463" s="340" t="s">
        <v>1397</v>
      </c>
      <c r="F463" s="341" t="s">
        <v>1398</v>
      </c>
      <c r="G463" s="340" t="s">
        <v>1308</v>
      </c>
      <c r="H463" s="340" t="s">
        <v>1309</v>
      </c>
      <c r="I463" s="342">
        <v>2142.5500000000002</v>
      </c>
      <c r="J463" s="342">
        <v>5</v>
      </c>
      <c r="K463" s="343">
        <v>10712.74</v>
      </c>
    </row>
    <row r="464" spans="1:11" ht="14.4" customHeight="1" x14ac:dyDescent="0.3">
      <c r="A464" s="338" t="s">
        <v>343</v>
      </c>
      <c r="B464" s="339" t="s">
        <v>515</v>
      </c>
      <c r="C464" s="340" t="s">
        <v>353</v>
      </c>
      <c r="D464" s="341" t="s">
        <v>517</v>
      </c>
      <c r="E464" s="340" t="s">
        <v>1397</v>
      </c>
      <c r="F464" s="341" t="s">
        <v>1398</v>
      </c>
      <c r="G464" s="340" t="s">
        <v>857</v>
      </c>
      <c r="H464" s="340" t="s">
        <v>858</v>
      </c>
      <c r="I464" s="342">
        <v>115</v>
      </c>
      <c r="J464" s="342">
        <v>24</v>
      </c>
      <c r="K464" s="343">
        <v>2760</v>
      </c>
    </row>
    <row r="465" spans="1:11" ht="14.4" customHeight="1" x14ac:dyDescent="0.3">
      <c r="A465" s="338" t="s">
        <v>343</v>
      </c>
      <c r="B465" s="339" t="s">
        <v>515</v>
      </c>
      <c r="C465" s="340" t="s">
        <v>353</v>
      </c>
      <c r="D465" s="341" t="s">
        <v>517</v>
      </c>
      <c r="E465" s="340" t="s">
        <v>1397</v>
      </c>
      <c r="F465" s="341" t="s">
        <v>1398</v>
      </c>
      <c r="G465" s="340" t="s">
        <v>1310</v>
      </c>
      <c r="H465" s="340" t="s">
        <v>1311</v>
      </c>
      <c r="I465" s="342">
        <v>1457.26</v>
      </c>
      <c r="J465" s="342">
        <v>4</v>
      </c>
      <c r="K465" s="343">
        <v>5829.05</v>
      </c>
    </row>
    <row r="466" spans="1:11" ht="14.4" customHeight="1" x14ac:dyDescent="0.3">
      <c r="A466" s="338" t="s">
        <v>343</v>
      </c>
      <c r="B466" s="339" t="s">
        <v>515</v>
      </c>
      <c r="C466" s="340" t="s">
        <v>353</v>
      </c>
      <c r="D466" s="341" t="s">
        <v>517</v>
      </c>
      <c r="E466" s="340" t="s">
        <v>1397</v>
      </c>
      <c r="F466" s="341" t="s">
        <v>1398</v>
      </c>
      <c r="G466" s="340" t="s">
        <v>1312</v>
      </c>
      <c r="H466" s="340" t="s">
        <v>1313</v>
      </c>
      <c r="I466" s="342">
        <v>37.51</v>
      </c>
      <c r="J466" s="342">
        <v>160</v>
      </c>
      <c r="K466" s="343">
        <v>6001.6</v>
      </c>
    </row>
    <row r="467" spans="1:11" ht="14.4" customHeight="1" x14ac:dyDescent="0.3">
      <c r="A467" s="338" t="s">
        <v>343</v>
      </c>
      <c r="B467" s="339" t="s">
        <v>515</v>
      </c>
      <c r="C467" s="340" t="s">
        <v>353</v>
      </c>
      <c r="D467" s="341" t="s">
        <v>517</v>
      </c>
      <c r="E467" s="340" t="s">
        <v>1397</v>
      </c>
      <c r="F467" s="341" t="s">
        <v>1398</v>
      </c>
      <c r="G467" s="340" t="s">
        <v>1314</v>
      </c>
      <c r="H467" s="340" t="s">
        <v>1315</v>
      </c>
      <c r="I467" s="342">
        <v>200.05</v>
      </c>
      <c r="J467" s="342">
        <v>18</v>
      </c>
      <c r="K467" s="343">
        <v>3600.96</v>
      </c>
    </row>
    <row r="468" spans="1:11" ht="14.4" customHeight="1" x14ac:dyDescent="0.3">
      <c r="A468" s="338" t="s">
        <v>343</v>
      </c>
      <c r="B468" s="339" t="s">
        <v>515</v>
      </c>
      <c r="C468" s="340" t="s">
        <v>353</v>
      </c>
      <c r="D468" s="341" t="s">
        <v>517</v>
      </c>
      <c r="E468" s="340" t="s">
        <v>1397</v>
      </c>
      <c r="F468" s="341" t="s">
        <v>1398</v>
      </c>
      <c r="G468" s="340" t="s">
        <v>1316</v>
      </c>
      <c r="H468" s="340" t="s">
        <v>1317</v>
      </c>
      <c r="I468" s="342">
        <v>1094.45</v>
      </c>
      <c r="J468" s="342">
        <v>5</v>
      </c>
      <c r="K468" s="343">
        <v>5472.23</v>
      </c>
    </row>
    <row r="469" spans="1:11" ht="14.4" customHeight="1" x14ac:dyDescent="0.3">
      <c r="A469" s="338" t="s">
        <v>343</v>
      </c>
      <c r="B469" s="339" t="s">
        <v>515</v>
      </c>
      <c r="C469" s="340" t="s">
        <v>353</v>
      </c>
      <c r="D469" s="341" t="s">
        <v>517</v>
      </c>
      <c r="E469" s="340" t="s">
        <v>1397</v>
      </c>
      <c r="F469" s="341" t="s">
        <v>1398</v>
      </c>
      <c r="G469" s="340" t="s">
        <v>869</v>
      </c>
      <c r="H469" s="340" t="s">
        <v>870</v>
      </c>
      <c r="I469" s="342">
        <v>2307.875</v>
      </c>
      <c r="J469" s="342">
        <v>40</v>
      </c>
      <c r="K469" s="343">
        <v>92315.1</v>
      </c>
    </row>
    <row r="470" spans="1:11" ht="14.4" customHeight="1" x14ac:dyDescent="0.3">
      <c r="A470" s="338" t="s">
        <v>343</v>
      </c>
      <c r="B470" s="339" t="s">
        <v>515</v>
      </c>
      <c r="C470" s="340" t="s">
        <v>353</v>
      </c>
      <c r="D470" s="341" t="s">
        <v>517</v>
      </c>
      <c r="E470" s="340" t="s">
        <v>1397</v>
      </c>
      <c r="F470" s="341" t="s">
        <v>1398</v>
      </c>
      <c r="G470" s="340" t="s">
        <v>875</v>
      </c>
      <c r="H470" s="340" t="s">
        <v>876</v>
      </c>
      <c r="I470" s="342">
        <v>135.69999999999999</v>
      </c>
      <c r="J470" s="342">
        <v>40</v>
      </c>
      <c r="K470" s="343">
        <v>5428</v>
      </c>
    </row>
    <row r="471" spans="1:11" ht="14.4" customHeight="1" x14ac:dyDescent="0.3">
      <c r="A471" s="338" t="s">
        <v>343</v>
      </c>
      <c r="B471" s="339" t="s">
        <v>515</v>
      </c>
      <c r="C471" s="340" t="s">
        <v>353</v>
      </c>
      <c r="D471" s="341" t="s">
        <v>517</v>
      </c>
      <c r="E471" s="340" t="s">
        <v>1397</v>
      </c>
      <c r="F471" s="341" t="s">
        <v>1398</v>
      </c>
      <c r="G471" s="340" t="s">
        <v>1318</v>
      </c>
      <c r="H471" s="340" t="s">
        <v>1319</v>
      </c>
      <c r="I471" s="342">
        <v>153.22</v>
      </c>
      <c r="J471" s="342">
        <v>6</v>
      </c>
      <c r="K471" s="343">
        <v>919.34</v>
      </c>
    </row>
    <row r="472" spans="1:11" ht="14.4" customHeight="1" x14ac:dyDescent="0.3">
      <c r="A472" s="338" t="s">
        <v>343</v>
      </c>
      <c r="B472" s="339" t="s">
        <v>515</v>
      </c>
      <c r="C472" s="340" t="s">
        <v>353</v>
      </c>
      <c r="D472" s="341" t="s">
        <v>517</v>
      </c>
      <c r="E472" s="340" t="s">
        <v>1397</v>
      </c>
      <c r="F472" s="341" t="s">
        <v>1398</v>
      </c>
      <c r="G472" s="340" t="s">
        <v>1320</v>
      </c>
      <c r="H472" s="340" t="s">
        <v>1321</v>
      </c>
      <c r="I472" s="342">
        <v>141.79</v>
      </c>
      <c r="J472" s="342">
        <v>6</v>
      </c>
      <c r="K472" s="343">
        <v>850.72</v>
      </c>
    </row>
    <row r="473" spans="1:11" ht="14.4" customHeight="1" x14ac:dyDescent="0.3">
      <c r="A473" s="338" t="s">
        <v>343</v>
      </c>
      <c r="B473" s="339" t="s">
        <v>515</v>
      </c>
      <c r="C473" s="340" t="s">
        <v>353</v>
      </c>
      <c r="D473" s="341" t="s">
        <v>517</v>
      </c>
      <c r="E473" s="340" t="s">
        <v>1397</v>
      </c>
      <c r="F473" s="341" t="s">
        <v>1398</v>
      </c>
      <c r="G473" s="340" t="s">
        <v>1322</v>
      </c>
      <c r="H473" s="340" t="s">
        <v>1323</v>
      </c>
      <c r="I473" s="342">
        <v>5929</v>
      </c>
      <c r="J473" s="342">
        <v>1</v>
      </c>
      <c r="K473" s="343">
        <v>5929</v>
      </c>
    </row>
    <row r="474" spans="1:11" ht="14.4" customHeight="1" x14ac:dyDescent="0.3">
      <c r="A474" s="338" t="s">
        <v>343</v>
      </c>
      <c r="B474" s="339" t="s">
        <v>515</v>
      </c>
      <c r="C474" s="340" t="s">
        <v>353</v>
      </c>
      <c r="D474" s="341" t="s">
        <v>517</v>
      </c>
      <c r="E474" s="340" t="s">
        <v>1397</v>
      </c>
      <c r="F474" s="341" t="s">
        <v>1398</v>
      </c>
      <c r="G474" s="340" t="s">
        <v>1324</v>
      </c>
      <c r="H474" s="340" t="s">
        <v>1325</v>
      </c>
      <c r="I474" s="342">
        <v>2779.73</v>
      </c>
      <c r="J474" s="342">
        <v>6</v>
      </c>
      <c r="K474" s="343">
        <v>16678.36</v>
      </c>
    </row>
    <row r="475" spans="1:11" ht="14.4" customHeight="1" x14ac:dyDescent="0.3">
      <c r="A475" s="338" t="s">
        <v>343</v>
      </c>
      <c r="B475" s="339" t="s">
        <v>515</v>
      </c>
      <c r="C475" s="340" t="s">
        <v>353</v>
      </c>
      <c r="D475" s="341" t="s">
        <v>517</v>
      </c>
      <c r="E475" s="340" t="s">
        <v>1397</v>
      </c>
      <c r="F475" s="341" t="s">
        <v>1398</v>
      </c>
      <c r="G475" s="340" t="s">
        <v>1326</v>
      </c>
      <c r="H475" s="340" t="s">
        <v>1327</v>
      </c>
      <c r="I475" s="342">
        <v>5853.32</v>
      </c>
      <c r="J475" s="342">
        <v>12</v>
      </c>
      <c r="K475" s="343">
        <v>70239.839999999997</v>
      </c>
    </row>
    <row r="476" spans="1:11" ht="14.4" customHeight="1" x14ac:dyDescent="0.3">
      <c r="A476" s="338" t="s">
        <v>343</v>
      </c>
      <c r="B476" s="339" t="s">
        <v>515</v>
      </c>
      <c r="C476" s="340" t="s">
        <v>353</v>
      </c>
      <c r="D476" s="341" t="s">
        <v>517</v>
      </c>
      <c r="E476" s="340" t="s">
        <v>1397</v>
      </c>
      <c r="F476" s="341" t="s">
        <v>1398</v>
      </c>
      <c r="G476" s="340" t="s">
        <v>1328</v>
      </c>
      <c r="H476" s="340" t="s">
        <v>1329</v>
      </c>
      <c r="I476" s="342">
        <v>1748.33</v>
      </c>
      <c r="J476" s="342">
        <v>10</v>
      </c>
      <c r="K476" s="343">
        <v>17483.349999999999</v>
      </c>
    </row>
    <row r="477" spans="1:11" ht="14.4" customHeight="1" x14ac:dyDescent="0.3">
      <c r="A477" s="338" t="s">
        <v>343</v>
      </c>
      <c r="B477" s="339" t="s">
        <v>515</v>
      </c>
      <c r="C477" s="340" t="s">
        <v>353</v>
      </c>
      <c r="D477" s="341" t="s">
        <v>517</v>
      </c>
      <c r="E477" s="340" t="s">
        <v>1397</v>
      </c>
      <c r="F477" s="341" t="s">
        <v>1398</v>
      </c>
      <c r="G477" s="340" t="s">
        <v>1330</v>
      </c>
      <c r="H477" s="340" t="s">
        <v>1331</v>
      </c>
      <c r="I477" s="342">
        <v>2955.82</v>
      </c>
      <c r="J477" s="342">
        <v>6</v>
      </c>
      <c r="K477" s="343">
        <v>17734.91</v>
      </c>
    </row>
    <row r="478" spans="1:11" ht="14.4" customHeight="1" x14ac:dyDescent="0.3">
      <c r="A478" s="338" t="s">
        <v>343</v>
      </c>
      <c r="B478" s="339" t="s">
        <v>515</v>
      </c>
      <c r="C478" s="340" t="s">
        <v>353</v>
      </c>
      <c r="D478" s="341" t="s">
        <v>517</v>
      </c>
      <c r="E478" s="340" t="s">
        <v>1397</v>
      </c>
      <c r="F478" s="341" t="s">
        <v>1398</v>
      </c>
      <c r="G478" s="340" t="s">
        <v>1330</v>
      </c>
      <c r="H478" s="340" t="s">
        <v>1332</v>
      </c>
      <c r="I478" s="342">
        <v>2955.82</v>
      </c>
      <c r="J478" s="342">
        <v>10</v>
      </c>
      <c r="K478" s="343">
        <v>29558.18</v>
      </c>
    </row>
    <row r="479" spans="1:11" ht="14.4" customHeight="1" x14ac:dyDescent="0.3">
      <c r="A479" s="338" t="s">
        <v>343</v>
      </c>
      <c r="B479" s="339" t="s">
        <v>515</v>
      </c>
      <c r="C479" s="340" t="s">
        <v>353</v>
      </c>
      <c r="D479" s="341" t="s">
        <v>517</v>
      </c>
      <c r="E479" s="340" t="s">
        <v>1397</v>
      </c>
      <c r="F479" s="341" t="s">
        <v>1398</v>
      </c>
      <c r="G479" s="340" t="s">
        <v>1333</v>
      </c>
      <c r="H479" s="340" t="s">
        <v>1334</v>
      </c>
      <c r="I479" s="342">
        <v>1837.53</v>
      </c>
      <c r="J479" s="342">
        <v>4</v>
      </c>
      <c r="K479" s="343">
        <v>7350.1</v>
      </c>
    </row>
    <row r="480" spans="1:11" ht="14.4" customHeight="1" x14ac:dyDescent="0.3">
      <c r="A480" s="338" t="s">
        <v>343</v>
      </c>
      <c r="B480" s="339" t="s">
        <v>515</v>
      </c>
      <c r="C480" s="340" t="s">
        <v>353</v>
      </c>
      <c r="D480" s="341" t="s">
        <v>517</v>
      </c>
      <c r="E480" s="340" t="s">
        <v>1397</v>
      </c>
      <c r="F480" s="341" t="s">
        <v>1398</v>
      </c>
      <c r="G480" s="340" t="s">
        <v>1335</v>
      </c>
      <c r="H480" s="340" t="s">
        <v>1336</v>
      </c>
      <c r="I480" s="342">
        <v>555.72</v>
      </c>
      <c r="J480" s="342">
        <v>6</v>
      </c>
      <c r="K480" s="343">
        <v>3334.3</v>
      </c>
    </row>
    <row r="481" spans="1:11" ht="14.4" customHeight="1" x14ac:dyDescent="0.3">
      <c r="A481" s="338" t="s">
        <v>343</v>
      </c>
      <c r="B481" s="339" t="s">
        <v>515</v>
      </c>
      <c r="C481" s="340" t="s">
        <v>353</v>
      </c>
      <c r="D481" s="341" t="s">
        <v>517</v>
      </c>
      <c r="E481" s="340" t="s">
        <v>1397</v>
      </c>
      <c r="F481" s="341" t="s">
        <v>1398</v>
      </c>
      <c r="G481" s="340" t="s">
        <v>1337</v>
      </c>
      <c r="H481" s="340" t="s">
        <v>1338</v>
      </c>
      <c r="I481" s="342">
        <v>2930.62</v>
      </c>
      <c r="J481" s="342">
        <v>1</v>
      </c>
      <c r="K481" s="343">
        <v>2930.62</v>
      </c>
    </row>
    <row r="482" spans="1:11" ht="14.4" customHeight="1" x14ac:dyDescent="0.3">
      <c r="A482" s="338" t="s">
        <v>343</v>
      </c>
      <c r="B482" s="339" t="s">
        <v>515</v>
      </c>
      <c r="C482" s="340" t="s">
        <v>353</v>
      </c>
      <c r="D482" s="341" t="s">
        <v>517</v>
      </c>
      <c r="E482" s="340" t="s">
        <v>1397</v>
      </c>
      <c r="F482" s="341" t="s">
        <v>1398</v>
      </c>
      <c r="G482" s="340" t="s">
        <v>1339</v>
      </c>
      <c r="H482" s="340" t="s">
        <v>1340</v>
      </c>
      <c r="I482" s="342">
        <v>543.29</v>
      </c>
      <c r="J482" s="342">
        <v>1</v>
      </c>
      <c r="K482" s="343">
        <v>543.29</v>
      </c>
    </row>
    <row r="483" spans="1:11" ht="14.4" customHeight="1" x14ac:dyDescent="0.3">
      <c r="A483" s="338" t="s">
        <v>343</v>
      </c>
      <c r="B483" s="339" t="s">
        <v>515</v>
      </c>
      <c r="C483" s="340" t="s">
        <v>353</v>
      </c>
      <c r="D483" s="341" t="s">
        <v>517</v>
      </c>
      <c r="E483" s="340" t="s">
        <v>1397</v>
      </c>
      <c r="F483" s="341" t="s">
        <v>1398</v>
      </c>
      <c r="G483" s="340" t="s">
        <v>881</v>
      </c>
      <c r="H483" s="340" t="s">
        <v>882</v>
      </c>
      <c r="I483" s="342">
        <v>48.28</v>
      </c>
      <c r="J483" s="342">
        <v>400</v>
      </c>
      <c r="K483" s="343">
        <v>19311.599999999999</v>
      </c>
    </row>
    <row r="484" spans="1:11" ht="14.4" customHeight="1" x14ac:dyDescent="0.3">
      <c r="A484" s="338" t="s">
        <v>343</v>
      </c>
      <c r="B484" s="339" t="s">
        <v>515</v>
      </c>
      <c r="C484" s="340" t="s">
        <v>353</v>
      </c>
      <c r="D484" s="341" t="s">
        <v>517</v>
      </c>
      <c r="E484" s="340" t="s">
        <v>1397</v>
      </c>
      <c r="F484" s="341" t="s">
        <v>1398</v>
      </c>
      <c r="G484" s="340" t="s">
        <v>883</v>
      </c>
      <c r="H484" s="340" t="s">
        <v>884</v>
      </c>
      <c r="I484" s="342">
        <v>48.28</v>
      </c>
      <c r="J484" s="342">
        <v>110</v>
      </c>
      <c r="K484" s="343">
        <v>5310.69</v>
      </c>
    </row>
    <row r="485" spans="1:11" ht="14.4" customHeight="1" x14ac:dyDescent="0.3">
      <c r="A485" s="338" t="s">
        <v>343</v>
      </c>
      <c r="B485" s="339" t="s">
        <v>515</v>
      </c>
      <c r="C485" s="340" t="s">
        <v>353</v>
      </c>
      <c r="D485" s="341" t="s">
        <v>517</v>
      </c>
      <c r="E485" s="340" t="s">
        <v>1397</v>
      </c>
      <c r="F485" s="341" t="s">
        <v>1398</v>
      </c>
      <c r="G485" s="340" t="s">
        <v>885</v>
      </c>
      <c r="H485" s="340" t="s">
        <v>886</v>
      </c>
      <c r="I485" s="342">
        <v>48.28</v>
      </c>
      <c r="J485" s="342">
        <v>110</v>
      </c>
      <c r="K485" s="343">
        <v>5310.69</v>
      </c>
    </row>
    <row r="486" spans="1:11" ht="14.4" customHeight="1" x14ac:dyDescent="0.3">
      <c r="A486" s="338" t="s">
        <v>343</v>
      </c>
      <c r="B486" s="339" t="s">
        <v>515</v>
      </c>
      <c r="C486" s="340" t="s">
        <v>353</v>
      </c>
      <c r="D486" s="341" t="s">
        <v>517</v>
      </c>
      <c r="E486" s="340" t="s">
        <v>1397</v>
      </c>
      <c r="F486" s="341" t="s">
        <v>1398</v>
      </c>
      <c r="G486" s="340" t="s">
        <v>891</v>
      </c>
      <c r="H486" s="340" t="s">
        <v>892</v>
      </c>
      <c r="I486" s="342">
        <v>36.54</v>
      </c>
      <c r="J486" s="342">
        <v>75</v>
      </c>
      <c r="K486" s="343">
        <v>2740.5</v>
      </c>
    </row>
    <row r="487" spans="1:11" ht="14.4" customHeight="1" x14ac:dyDescent="0.3">
      <c r="A487" s="338" t="s">
        <v>343</v>
      </c>
      <c r="B487" s="339" t="s">
        <v>515</v>
      </c>
      <c r="C487" s="340" t="s">
        <v>353</v>
      </c>
      <c r="D487" s="341" t="s">
        <v>517</v>
      </c>
      <c r="E487" s="340" t="s">
        <v>1397</v>
      </c>
      <c r="F487" s="341" t="s">
        <v>1398</v>
      </c>
      <c r="G487" s="340" t="s">
        <v>1341</v>
      </c>
      <c r="H487" s="340" t="s">
        <v>1342</v>
      </c>
      <c r="I487" s="342">
        <v>4475.46</v>
      </c>
      <c r="J487" s="342">
        <v>6</v>
      </c>
      <c r="K487" s="343">
        <v>26852.78</v>
      </c>
    </row>
    <row r="488" spans="1:11" ht="14.4" customHeight="1" x14ac:dyDescent="0.3">
      <c r="A488" s="338" t="s">
        <v>343</v>
      </c>
      <c r="B488" s="339" t="s">
        <v>515</v>
      </c>
      <c r="C488" s="340" t="s">
        <v>353</v>
      </c>
      <c r="D488" s="341" t="s">
        <v>517</v>
      </c>
      <c r="E488" s="340" t="s">
        <v>1397</v>
      </c>
      <c r="F488" s="341" t="s">
        <v>1398</v>
      </c>
      <c r="G488" s="340" t="s">
        <v>1343</v>
      </c>
      <c r="H488" s="340" t="s">
        <v>1344</v>
      </c>
      <c r="I488" s="342">
        <v>2866.63</v>
      </c>
      <c r="J488" s="342">
        <v>10</v>
      </c>
      <c r="K488" s="343">
        <v>28666.29</v>
      </c>
    </row>
    <row r="489" spans="1:11" ht="14.4" customHeight="1" x14ac:dyDescent="0.3">
      <c r="A489" s="338" t="s">
        <v>343</v>
      </c>
      <c r="B489" s="339" t="s">
        <v>515</v>
      </c>
      <c r="C489" s="340" t="s">
        <v>353</v>
      </c>
      <c r="D489" s="341" t="s">
        <v>517</v>
      </c>
      <c r="E489" s="340" t="s">
        <v>1397</v>
      </c>
      <c r="F489" s="341" t="s">
        <v>1398</v>
      </c>
      <c r="G489" s="340" t="s">
        <v>1345</v>
      </c>
      <c r="H489" s="340" t="s">
        <v>1346</v>
      </c>
      <c r="I489" s="342">
        <v>9431.18</v>
      </c>
      <c r="J489" s="342">
        <v>6</v>
      </c>
      <c r="K489" s="343">
        <v>56587.05</v>
      </c>
    </row>
    <row r="490" spans="1:11" ht="14.4" customHeight="1" x14ac:dyDescent="0.3">
      <c r="A490" s="338" t="s">
        <v>343</v>
      </c>
      <c r="B490" s="339" t="s">
        <v>515</v>
      </c>
      <c r="C490" s="340" t="s">
        <v>353</v>
      </c>
      <c r="D490" s="341" t="s">
        <v>517</v>
      </c>
      <c r="E490" s="340" t="s">
        <v>1397</v>
      </c>
      <c r="F490" s="341" t="s">
        <v>1398</v>
      </c>
      <c r="G490" s="340" t="s">
        <v>1347</v>
      </c>
      <c r="H490" s="340" t="s">
        <v>1348</v>
      </c>
      <c r="I490" s="342">
        <v>1083.99</v>
      </c>
      <c r="J490" s="342">
        <v>16</v>
      </c>
      <c r="K490" s="343">
        <v>17343.849999999999</v>
      </c>
    </row>
    <row r="491" spans="1:11" ht="14.4" customHeight="1" x14ac:dyDescent="0.3">
      <c r="A491" s="338" t="s">
        <v>343</v>
      </c>
      <c r="B491" s="339" t="s">
        <v>515</v>
      </c>
      <c r="C491" s="340" t="s">
        <v>353</v>
      </c>
      <c r="D491" s="341" t="s">
        <v>517</v>
      </c>
      <c r="E491" s="340" t="s">
        <v>1397</v>
      </c>
      <c r="F491" s="341" t="s">
        <v>1398</v>
      </c>
      <c r="G491" s="340" t="s">
        <v>1349</v>
      </c>
      <c r="H491" s="340" t="s">
        <v>1350</v>
      </c>
      <c r="I491" s="342">
        <v>2710.4</v>
      </c>
      <c r="J491" s="342">
        <v>2</v>
      </c>
      <c r="K491" s="343">
        <v>5420.8</v>
      </c>
    </row>
    <row r="492" spans="1:11" ht="14.4" customHeight="1" x14ac:dyDescent="0.3">
      <c r="A492" s="338" t="s">
        <v>343</v>
      </c>
      <c r="B492" s="339" t="s">
        <v>515</v>
      </c>
      <c r="C492" s="340" t="s">
        <v>353</v>
      </c>
      <c r="D492" s="341" t="s">
        <v>517</v>
      </c>
      <c r="E492" s="340" t="s">
        <v>1397</v>
      </c>
      <c r="F492" s="341" t="s">
        <v>1398</v>
      </c>
      <c r="G492" s="340" t="s">
        <v>1351</v>
      </c>
      <c r="H492" s="340" t="s">
        <v>1352</v>
      </c>
      <c r="I492" s="342">
        <v>2164.6999999999998</v>
      </c>
      <c r="J492" s="342">
        <v>20</v>
      </c>
      <c r="K492" s="343">
        <v>43294.04</v>
      </c>
    </row>
    <row r="493" spans="1:11" ht="14.4" customHeight="1" x14ac:dyDescent="0.3">
      <c r="A493" s="338" t="s">
        <v>343</v>
      </c>
      <c r="B493" s="339" t="s">
        <v>515</v>
      </c>
      <c r="C493" s="340" t="s">
        <v>353</v>
      </c>
      <c r="D493" s="341" t="s">
        <v>517</v>
      </c>
      <c r="E493" s="340" t="s">
        <v>1397</v>
      </c>
      <c r="F493" s="341" t="s">
        <v>1398</v>
      </c>
      <c r="G493" s="340" t="s">
        <v>1353</v>
      </c>
      <c r="H493" s="340" t="s">
        <v>1354</v>
      </c>
      <c r="I493" s="342">
        <v>1702.15</v>
      </c>
      <c r="J493" s="342">
        <v>5</v>
      </c>
      <c r="K493" s="343">
        <v>8510.75</v>
      </c>
    </row>
    <row r="494" spans="1:11" ht="14.4" customHeight="1" x14ac:dyDescent="0.3">
      <c r="A494" s="338" t="s">
        <v>343</v>
      </c>
      <c r="B494" s="339" t="s">
        <v>515</v>
      </c>
      <c r="C494" s="340" t="s">
        <v>353</v>
      </c>
      <c r="D494" s="341" t="s">
        <v>517</v>
      </c>
      <c r="E494" s="340" t="s">
        <v>1397</v>
      </c>
      <c r="F494" s="341" t="s">
        <v>1398</v>
      </c>
      <c r="G494" s="340" t="s">
        <v>1355</v>
      </c>
      <c r="H494" s="340" t="s">
        <v>1356</v>
      </c>
      <c r="I494" s="342">
        <v>2791.16</v>
      </c>
      <c r="J494" s="342">
        <v>2</v>
      </c>
      <c r="K494" s="343">
        <v>5582.32</v>
      </c>
    </row>
    <row r="495" spans="1:11" ht="14.4" customHeight="1" x14ac:dyDescent="0.3">
      <c r="A495" s="338" t="s">
        <v>343</v>
      </c>
      <c r="B495" s="339" t="s">
        <v>515</v>
      </c>
      <c r="C495" s="340" t="s">
        <v>353</v>
      </c>
      <c r="D495" s="341" t="s">
        <v>517</v>
      </c>
      <c r="E495" s="340" t="s">
        <v>1405</v>
      </c>
      <c r="F495" s="341" t="s">
        <v>1406</v>
      </c>
      <c r="G495" s="340" t="s">
        <v>1357</v>
      </c>
      <c r="H495" s="340" t="s">
        <v>1358</v>
      </c>
      <c r="I495" s="342">
        <v>20013.400000000001</v>
      </c>
      <c r="J495" s="342">
        <v>2</v>
      </c>
      <c r="K495" s="343">
        <v>40026.800000000003</v>
      </c>
    </row>
    <row r="496" spans="1:11" ht="14.4" customHeight="1" x14ac:dyDescent="0.3">
      <c r="A496" s="338" t="s">
        <v>343</v>
      </c>
      <c r="B496" s="339" t="s">
        <v>515</v>
      </c>
      <c r="C496" s="340" t="s">
        <v>353</v>
      </c>
      <c r="D496" s="341" t="s">
        <v>517</v>
      </c>
      <c r="E496" s="340" t="s">
        <v>1405</v>
      </c>
      <c r="F496" s="341" t="s">
        <v>1406</v>
      </c>
      <c r="G496" s="340" t="s">
        <v>1357</v>
      </c>
      <c r="H496" s="340" t="s">
        <v>1359</v>
      </c>
      <c r="I496" s="342">
        <v>20013.245000000003</v>
      </c>
      <c r="J496" s="342">
        <v>4</v>
      </c>
      <c r="K496" s="343">
        <v>80052.679999999993</v>
      </c>
    </row>
    <row r="497" spans="1:11" ht="14.4" customHeight="1" x14ac:dyDescent="0.3">
      <c r="A497" s="338" t="s">
        <v>343</v>
      </c>
      <c r="B497" s="339" t="s">
        <v>515</v>
      </c>
      <c r="C497" s="340" t="s">
        <v>353</v>
      </c>
      <c r="D497" s="341" t="s">
        <v>517</v>
      </c>
      <c r="E497" s="340" t="s">
        <v>1405</v>
      </c>
      <c r="F497" s="341" t="s">
        <v>1406</v>
      </c>
      <c r="G497" s="340" t="s">
        <v>946</v>
      </c>
      <c r="H497" s="340" t="s">
        <v>947</v>
      </c>
      <c r="I497" s="342">
        <v>95.72</v>
      </c>
      <c r="J497" s="342">
        <v>360</v>
      </c>
      <c r="K497" s="343">
        <v>34459.839999999997</v>
      </c>
    </row>
    <row r="498" spans="1:11" ht="14.4" customHeight="1" x14ac:dyDescent="0.3">
      <c r="A498" s="338" t="s">
        <v>343</v>
      </c>
      <c r="B498" s="339" t="s">
        <v>515</v>
      </c>
      <c r="C498" s="340" t="s">
        <v>353</v>
      </c>
      <c r="D498" s="341" t="s">
        <v>517</v>
      </c>
      <c r="E498" s="340" t="s">
        <v>1405</v>
      </c>
      <c r="F498" s="341" t="s">
        <v>1406</v>
      </c>
      <c r="G498" s="340" t="s">
        <v>1360</v>
      </c>
      <c r="H498" s="340" t="s">
        <v>1361</v>
      </c>
      <c r="I498" s="342">
        <v>66196.320000000007</v>
      </c>
      <c r="J498" s="342">
        <v>3</v>
      </c>
      <c r="K498" s="343">
        <v>198588.96000000002</v>
      </c>
    </row>
    <row r="499" spans="1:11" ht="14.4" customHeight="1" x14ac:dyDescent="0.3">
      <c r="A499" s="338" t="s">
        <v>343</v>
      </c>
      <c r="B499" s="339" t="s">
        <v>515</v>
      </c>
      <c r="C499" s="340" t="s">
        <v>353</v>
      </c>
      <c r="D499" s="341" t="s">
        <v>517</v>
      </c>
      <c r="E499" s="340" t="s">
        <v>1405</v>
      </c>
      <c r="F499" s="341" t="s">
        <v>1406</v>
      </c>
      <c r="G499" s="340" t="s">
        <v>1362</v>
      </c>
      <c r="H499" s="340" t="s">
        <v>1363</v>
      </c>
      <c r="I499" s="342">
        <v>2006.12</v>
      </c>
      <c r="J499" s="342">
        <v>4</v>
      </c>
      <c r="K499" s="343">
        <v>8024.48</v>
      </c>
    </row>
    <row r="500" spans="1:11" ht="14.4" customHeight="1" x14ac:dyDescent="0.3">
      <c r="A500" s="338" t="s">
        <v>343</v>
      </c>
      <c r="B500" s="339" t="s">
        <v>515</v>
      </c>
      <c r="C500" s="340" t="s">
        <v>353</v>
      </c>
      <c r="D500" s="341" t="s">
        <v>517</v>
      </c>
      <c r="E500" s="340" t="s">
        <v>1405</v>
      </c>
      <c r="F500" s="341" t="s">
        <v>1406</v>
      </c>
      <c r="G500" s="340" t="s">
        <v>948</v>
      </c>
      <c r="H500" s="340" t="s">
        <v>949</v>
      </c>
      <c r="I500" s="342">
        <v>16322.9</v>
      </c>
      <c r="J500" s="342">
        <v>7</v>
      </c>
      <c r="K500" s="343">
        <v>114260.3</v>
      </c>
    </row>
    <row r="501" spans="1:11" ht="14.4" customHeight="1" x14ac:dyDescent="0.3">
      <c r="A501" s="338" t="s">
        <v>343</v>
      </c>
      <c r="B501" s="339" t="s">
        <v>515</v>
      </c>
      <c r="C501" s="340" t="s">
        <v>353</v>
      </c>
      <c r="D501" s="341" t="s">
        <v>517</v>
      </c>
      <c r="E501" s="340" t="s">
        <v>1405</v>
      </c>
      <c r="F501" s="341" t="s">
        <v>1406</v>
      </c>
      <c r="G501" s="340" t="s">
        <v>1364</v>
      </c>
      <c r="H501" s="340" t="s">
        <v>1365</v>
      </c>
      <c r="I501" s="342">
        <v>3690.5</v>
      </c>
      <c r="J501" s="342">
        <v>4</v>
      </c>
      <c r="K501" s="343">
        <v>14762</v>
      </c>
    </row>
    <row r="502" spans="1:11" ht="14.4" customHeight="1" x14ac:dyDescent="0.3">
      <c r="A502" s="338" t="s">
        <v>343</v>
      </c>
      <c r="B502" s="339" t="s">
        <v>515</v>
      </c>
      <c r="C502" s="340" t="s">
        <v>353</v>
      </c>
      <c r="D502" s="341" t="s">
        <v>517</v>
      </c>
      <c r="E502" s="340" t="s">
        <v>1405</v>
      </c>
      <c r="F502" s="341" t="s">
        <v>1406</v>
      </c>
      <c r="G502" s="340" t="s">
        <v>1366</v>
      </c>
      <c r="H502" s="340" t="s">
        <v>1367</v>
      </c>
      <c r="I502" s="342">
        <v>18429.509999999998</v>
      </c>
      <c r="J502" s="342">
        <v>1</v>
      </c>
      <c r="K502" s="343">
        <v>18429.509999999998</v>
      </c>
    </row>
    <row r="503" spans="1:11" ht="14.4" customHeight="1" x14ac:dyDescent="0.3">
      <c r="A503" s="338" t="s">
        <v>343</v>
      </c>
      <c r="B503" s="339" t="s">
        <v>515</v>
      </c>
      <c r="C503" s="340" t="s">
        <v>353</v>
      </c>
      <c r="D503" s="341" t="s">
        <v>517</v>
      </c>
      <c r="E503" s="340" t="s">
        <v>1409</v>
      </c>
      <c r="F503" s="341" t="s">
        <v>1410</v>
      </c>
      <c r="G503" s="340" t="s">
        <v>960</v>
      </c>
      <c r="H503" s="340" t="s">
        <v>961</v>
      </c>
      <c r="I503" s="342">
        <v>234.44</v>
      </c>
      <c r="J503" s="342">
        <v>60</v>
      </c>
      <c r="K503" s="343">
        <v>14066.23</v>
      </c>
    </row>
    <row r="504" spans="1:11" ht="14.4" customHeight="1" x14ac:dyDescent="0.3">
      <c r="A504" s="338" t="s">
        <v>343</v>
      </c>
      <c r="B504" s="339" t="s">
        <v>515</v>
      </c>
      <c r="C504" s="340" t="s">
        <v>353</v>
      </c>
      <c r="D504" s="341" t="s">
        <v>517</v>
      </c>
      <c r="E504" s="340" t="s">
        <v>1409</v>
      </c>
      <c r="F504" s="341" t="s">
        <v>1410</v>
      </c>
      <c r="G504" s="340" t="s">
        <v>962</v>
      </c>
      <c r="H504" s="340" t="s">
        <v>963</v>
      </c>
      <c r="I504" s="342">
        <v>50.48</v>
      </c>
      <c r="J504" s="342">
        <v>144</v>
      </c>
      <c r="K504" s="343">
        <v>7268.46</v>
      </c>
    </row>
    <row r="505" spans="1:11" ht="14.4" customHeight="1" x14ac:dyDescent="0.3">
      <c r="A505" s="338" t="s">
        <v>343</v>
      </c>
      <c r="B505" s="339" t="s">
        <v>515</v>
      </c>
      <c r="C505" s="340" t="s">
        <v>353</v>
      </c>
      <c r="D505" s="341" t="s">
        <v>517</v>
      </c>
      <c r="E505" s="340" t="s">
        <v>1409</v>
      </c>
      <c r="F505" s="341" t="s">
        <v>1410</v>
      </c>
      <c r="G505" s="340" t="s">
        <v>972</v>
      </c>
      <c r="H505" s="340" t="s">
        <v>973</v>
      </c>
      <c r="I505" s="342">
        <v>50.11</v>
      </c>
      <c r="J505" s="342">
        <v>72</v>
      </c>
      <c r="K505" s="343">
        <v>3607.78</v>
      </c>
    </row>
    <row r="506" spans="1:11" ht="14.4" customHeight="1" x14ac:dyDescent="0.3">
      <c r="A506" s="338" t="s">
        <v>343</v>
      </c>
      <c r="B506" s="339" t="s">
        <v>515</v>
      </c>
      <c r="C506" s="340" t="s">
        <v>353</v>
      </c>
      <c r="D506" s="341" t="s">
        <v>517</v>
      </c>
      <c r="E506" s="340" t="s">
        <v>1409</v>
      </c>
      <c r="F506" s="341" t="s">
        <v>1410</v>
      </c>
      <c r="G506" s="340" t="s">
        <v>980</v>
      </c>
      <c r="H506" s="340" t="s">
        <v>981</v>
      </c>
      <c r="I506" s="342">
        <v>75.650000000000006</v>
      </c>
      <c r="J506" s="342">
        <v>168</v>
      </c>
      <c r="K506" s="343">
        <v>12709.46</v>
      </c>
    </row>
    <row r="507" spans="1:11" ht="14.4" customHeight="1" x14ac:dyDescent="0.3">
      <c r="A507" s="338" t="s">
        <v>343</v>
      </c>
      <c r="B507" s="339" t="s">
        <v>515</v>
      </c>
      <c r="C507" s="340" t="s">
        <v>353</v>
      </c>
      <c r="D507" s="341" t="s">
        <v>517</v>
      </c>
      <c r="E507" s="340" t="s">
        <v>1409</v>
      </c>
      <c r="F507" s="341" t="s">
        <v>1410</v>
      </c>
      <c r="G507" s="340" t="s">
        <v>984</v>
      </c>
      <c r="H507" s="340" t="s">
        <v>985</v>
      </c>
      <c r="I507" s="342">
        <v>45.61</v>
      </c>
      <c r="J507" s="342">
        <v>288</v>
      </c>
      <c r="K507" s="343">
        <v>13134.84</v>
      </c>
    </row>
    <row r="508" spans="1:11" ht="14.4" customHeight="1" x14ac:dyDescent="0.3">
      <c r="A508" s="338" t="s">
        <v>343</v>
      </c>
      <c r="B508" s="339" t="s">
        <v>515</v>
      </c>
      <c r="C508" s="340" t="s">
        <v>353</v>
      </c>
      <c r="D508" s="341" t="s">
        <v>517</v>
      </c>
      <c r="E508" s="340" t="s">
        <v>1409</v>
      </c>
      <c r="F508" s="341" t="s">
        <v>1410</v>
      </c>
      <c r="G508" s="340" t="s">
        <v>986</v>
      </c>
      <c r="H508" s="340" t="s">
        <v>987</v>
      </c>
      <c r="I508" s="342">
        <v>34.119999999999997</v>
      </c>
      <c r="J508" s="342">
        <v>72</v>
      </c>
      <c r="K508" s="343">
        <v>2456.6799999999998</v>
      </c>
    </row>
    <row r="509" spans="1:11" ht="14.4" customHeight="1" x14ac:dyDescent="0.3">
      <c r="A509" s="338" t="s">
        <v>343</v>
      </c>
      <c r="B509" s="339" t="s">
        <v>515</v>
      </c>
      <c r="C509" s="340" t="s">
        <v>353</v>
      </c>
      <c r="D509" s="341" t="s">
        <v>517</v>
      </c>
      <c r="E509" s="340" t="s">
        <v>1409</v>
      </c>
      <c r="F509" s="341" t="s">
        <v>1410</v>
      </c>
      <c r="G509" s="340" t="s">
        <v>990</v>
      </c>
      <c r="H509" s="340" t="s">
        <v>991</v>
      </c>
      <c r="I509" s="342">
        <v>190.53</v>
      </c>
      <c r="J509" s="342">
        <v>120</v>
      </c>
      <c r="K509" s="343">
        <v>22863.73</v>
      </c>
    </row>
    <row r="510" spans="1:11" ht="14.4" customHeight="1" x14ac:dyDescent="0.3">
      <c r="A510" s="338" t="s">
        <v>343</v>
      </c>
      <c r="B510" s="339" t="s">
        <v>515</v>
      </c>
      <c r="C510" s="340" t="s">
        <v>353</v>
      </c>
      <c r="D510" s="341" t="s">
        <v>517</v>
      </c>
      <c r="E510" s="340" t="s">
        <v>1409</v>
      </c>
      <c r="F510" s="341" t="s">
        <v>1410</v>
      </c>
      <c r="G510" s="340" t="s">
        <v>992</v>
      </c>
      <c r="H510" s="340" t="s">
        <v>993</v>
      </c>
      <c r="I510" s="342">
        <v>31.362500000000001</v>
      </c>
      <c r="J510" s="342">
        <v>1800</v>
      </c>
      <c r="K510" s="343">
        <v>56450.47</v>
      </c>
    </row>
    <row r="511" spans="1:11" ht="14.4" customHeight="1" x14ac:dyDescent="0.3">
      <c r="A511" s="338" t="s">
        <v>343</v>
      </c>
      <c r="B511" s="339" t="s">
        <v>515</v>
      </c>
      <c r="C511" s="340" t="s">
        <v>353</v>
      </c>
      <c r="D511" s="341" t="s">
        <v>517</v>
      </c>
      <c r="E511" s="340" t="s">
        <v>1409</v>
      </c>
      <c r="F511" s="341" t="s">
        <v>1410</v>
      </c>
      <c r="G511" s="340" t="s">
        <v>994</v>
      </c>
      <c r="H511" s="340" t="s">
        <v>995</v>
      </c>
      <c r="I511" s="342">
        <v>30.313333333333333</v>
      </c>
      <c r="J511" s="342">
        <v>1560</v>
      </c>
      <c r="K511" s="343">
        <v>47290.9</v>
      </c>
    </row>
    <row r="512" spans="1:11" ht="14.4" customHeight="1" x14ac:dyDescent="0.3">
      <c r="A512" s="338" t="s">
        <v>343</v>
      </c>
      <c r="B512" s="339" t="s">
        <v>515</v>
      </c>
      <c r="C512" s="340" t="s">
        <v>353</v>
      </c>
      <c r="D512" s="341" t="s">
        <v>517</v>
      </c>
      <c r="E512" s="340" t="s">
        <v>1409</v>
      </c>
      <c r="F512" s="341" t="s">
        <v>1410</v>
      </c>
      <c r="G512" s="340" t="s">
        <v>996</v>
      </c>
      <c r="H512" s="340" t="s">
        <v>997</v>
      </c>
      <c r="I512" s="342">
        <v>32.409999999999997</v>
      </c>
      <c r="J512" s="342">
        <v>600</v>
      </c>
      <c r="K512" s="343">
        <v>19446.48</v>
      </c>
    </row>
    <row r="513" spans="1:11" ht="14.4" customHeight="1" x14ac:dyDescent="0.3">
      <c r="A513" s="338" t="s">
        <v>343</v>
      </c>
      <c r="B513" s="339" t="s">
        <v>515</v>
      </c>
      <c r="C513" s="340" t="s">
        <v>353</v>
      </c>
      <c r="D513" s="341" t="s">
        <v>517</v>
      </c>
      <c r="E513" s="340" t="s">
        <v>1409</v>
      </c>
      <c r="F513" s="341" t="s">
        <v>1410</v>
      </c>
      <c r="G513" s="340" t="s">
        <v>1368</v>
      </c>
      <c r="H513" s="340" t="s">
        <v>1369</v>
      </c>
      <c r="I513" s="342">
        <v>315.33</v>
      </c>
      <c r="J513" s="342">
        <v>36</v>
      </c>
      <c r="K513" s="343">
        <v>11351.71</v>
      </c>
    </row>
    <row r="514" spans="1:11" ht="14.4" customHeight="1" x14ac:dyDescent="0.3">
      <c r="A514" s="338" t="s">
        <v>343</v>
      </c>
      <c r="B514" s="339" t="s">
        <v>515</v>
      </c>
      <c r="C514" s="340" t="s">
        <v>353</v>
      </c>
      <c r="D514" s="341" t="s">
        <v>517</v>
      </c>
      <c r="E514" s="340" t="s">
        <v>1409</v>
      </c>
      <c r="F514" s="341" t="s">
        <v>1410</v>
      </c>
      <c r="G514" s="340" t="s">
        <v>1002</v>
      </c>
      <c r="H514" s="340" t="s">
        <v>1370</v>
      </c>
      <c r="I514" s="342">
        <v>60.55</v>
      </c>
      <c r="J514" s="342">
        <v>36</v>
      </c>
      <c r="K514" s="343">
        <v>2179.8000000000002</v>
      </c>
    </row>
    <row r="515" spans="1:11" ht="14.4" customHeight="1" x14ac:dyDescent="0.3">
      <c r="A515" s="338" t="s">
        <v>343</v>
      </c>
      <c r="B515" s="339" t="s">
        <v>515</v>
      </c>
      <c r="C515" s="340" t="s">
        <v>353</v>
      </c>
      <c r="D515" s="341" t="s">
        <v>517</v>
      </c>
      <c r="E515" s="340" t="s">
        <v>1409</v>
      </c>
      <c r="F515" s="341" t="s">
        <v>1410</v>
      </c>
      <c r="G515" s="340" t="s">
        <v>1004</v>
      </c>
      <c r="H515" s="340" t="s">
        <v>1005</v>
      </c>
      <c r="I515" s="342">
        <v>86.19</v>
      </c>
      <c r="J515" s="342">
        <v>36</v>
      </c>
      <c r="K515" s="343">
        <v>3102.72</v>
      </c>
    </row>
    <row r="516" spans="1:11" ht="14.4" customHeight="1" x14ac:dyDescent="0.3">
      <c r="A516" s="338" t="s">
        <v>343</v>
      </c>
      <c r="B516" s="339" t="s">
        <v>515</v>
      </c>
      <c r="C516" s="340" t="s">
        <v>353</v>
      </c>
      <c r="D516" s="341" t="s">
        <v>517</v>
      </c>
      <c r="E516" s="340" t="s">
        <v>1409</v>
      </c>
      <c r="F516" s="341" t="s">
        <v>1410</v>
      </c>
      <c r="G516" s="340" t="s">
        <v>1006</v>
      </c>
      <c r="H516" s="340" t="s">
        <v>1007</v>
      </c>
      <c r="I516" s="342">
        <v>50.12</v>
      </c>
      <c r="J516" s="342">
        <v>108</v>
      </c>
      <c r="K516" s="343">
        <v>5412.64</v>
      </c>
    </row>
    <row r="517" spans="1:11" ht="14.4" customHeight="1" x14ac:dyDescent="0.3">
      <c r="A517" s="338" t="s">
        <v>343</v>
      </c>
      <c r="B517" s="339" t="s">
        <v>515</v>
      </c>
      <c r="C517" s="340" t="s">
        <v>353</v>
      </c>
      <c r="D517" s="341" t="s">
        <v>517</v>
      </c>
      <c r="E517" s="340" t="s">
        <v>1409</v>
      </c>
      <c r="F517" s="341" t="s">
        <v>1410</v>
      </c>
      <c r="G517" s="340" t="s">
        <v>1371</v>
      </c>
      <c r="H517" s="340" t="s">
        <v>1372</v>
      </c>
      <c r="I517" s="342">
        <v>114.94</v>
      </c>
      <c r="J517" s="342">
        <v>60</v>
      </c>
      <c r="K517" s="343">
        <v>6896.26</v>
      </c>
    </row>
    <row r="518" spans="1:11" ht="14.4" customHeight="1" x14ac:dyDescent="0.3">
      <c r="A518" s="338" t="s">
        <v>343</v>
      </c>
      <c r="B518" s="339" t="s">
        <v>515</v>
      </c>
      <c r="C518" s="340" t="s">
        <v>353</v>
      </c>
      <c r="D518" s="341" t="s">
        <v>517</v>
      </c>
      <c r="E518" s="340" t="s">
        <v>1409</v>
      </c>
      <c r="F518" s="341" t="s">
        <v>1410</v>
      </c>
      <c r="G518" s="340" t="s">
        <v>1032</v>
      </c>
      <c r="H518" s="340" t="s">
        <v>1033</v>
      </c>
      <c r="I518" s="342">
        <v>161.16999999999999</v>
      </c>
      <c r="J518" s="342">
        <v>72</v>
      </c>
      <c r="K518" s="343">
        <v>11604.26</v>
      </c>
    </row>
    <row r="519" spans="1:11" ht="14.4" customHeight="1" x14ac:dyDescent="0.3">
      <c r="A519" s="338" t="s">
        <v>343</v>
      </c>
      <c r="B519" s="339" t="s">
        <v>515</v>
      </c>
      <c r="C519" s="340" t="s">
        <v>353</v>
      </c>
      <c r="D519" s="341" t="s">
        <v>517</v>
      </c>
      <c r="E519" s="340" t="s">
        <v>1409</v>
      </c>
      <c r="F519" s="341" t="s">
        <v>1410</v>
      </c>
      <c r="G519" s="340" t="s">
        <v>1034</v>
      </c>
      <c r="H519" s="340" t="s">
        <v>1035</v>
      </c>
      <c r="I519" s="342">
        <v>114.2</v>
      </c>
      <c r="J519" s="342">
        <v>108</v>
      </c>
      <c r="K519" s="343">
        <v>12334.05</v>
      </c>
    </row>
    <row r="520" spans="1:11" ht="14.4" customHeight="1" x14ac:dyDescent="0.3">
      <c r="A520" s="338" t="s">
        <v>343</v>
      </c>
      <c r="B520" s="339" t="s">
        <v>515</v>
      </c>
      <c r="C520" s="340" t="s">
        <v>353</v>
      </c>
      <c r="D520" s="341" t="s">
        <v>517</v>
      </c>
      <c r="E520" s="340" t="s">
        <v>1409</v>
      </c>
      <c r="F520" s="341" t="s">
        <v>1410</v>
      </c>
      <c r="G520" s="340" t="s">
        <v>1036</v>
      </c>
      <c r="H520" s="340" t="s">
        <v>1037</v>
      </c>
      <c r="I520" s="342">
        <v>130.97999999999999</v>
      </c>
      <c r="J520" s="342">
        <v>36</v>
      </c>
      <c r="K520" s="343">
        <v>4715.18</v>
      </c>
    </row>
    <row r="521" spans="1:11" ht="14.4" customHeight="1" x14ac:dyDescent="0.3">
      <c r="A521" s="338" t="s">
        <v>343</v>
      </c>
      <c r="B521" s="339" t="s">
        <v>515</v>
      </c>
      <c r="C521" s="340" t="s">
        <v>353</v>
      </c>
      <c r="D521" s="341" t="s">
        <v>517</v>
      </c>
      <c r="E521" s="340" t="s">
        <v>1409</v>
      </c>
      <c r="F521" s="341" t="s">
        <v>1410</v>
      </c>
      <c r="G521" s="340" t="s">
        <v>1373</v>
      </c>
      <c r="H521" s="340" t="s">
        <v>1374</v>
      </c>
      <c r="I521" s="342">
        <v>232.16</v>
      </c>
      <c r="J521" s="342">
        <v>60</v>
      </c>
      <c r="K521" s="343">
        <v>13929.38</v>
      </c>
    </row>
    <row r="522" spans="1:11" ht="14.4" customHeight="1" x14ac:dyDescent="0.3">
      <c r="A522" s="338" t="s">
        <v>343</v>
      </c>
      <c r="B522" s="339" t="s">
        <v>515</v>
      </c>
      <c r="C522" s="340" t="s">
        <v>353</v>
      </c>
      <c r="D522" s="341" t="s">
        <v>517</v>
      </c>
      <c r="E522" s="340" t="s">
        <v>1409</v>
      </c>
      <c r="F522" s="341" t="s">
        <v>1410</v>
      </c>
      <c r="G522" s="340" t="s">
        <v>1050</v>
      </c>
      <c r="H522" s="340" t="s">
        <v>1051</v>
      </c>
      <c r="I522" s="342">
        <v>346.44</v>
      </c>
      <c r="J522" s="342">
        <v>36</v>
      </c>
      <c r="K522" s="343">
        <v>12471.75</v>
      </c>
    </row>
    <row r="523" spans="1:11" ht="14.4" customHeight="1" x14ac:dyDescent="0.3">
      <c r="A523" s="338" t="s">
        <v>343</v>
      </c>
      <c r="B523" s="339" t="s">
        <v>515</v>
      </c>
      <c r="C523" s="340" t="s">
        <v>353</v>
      </c>
      <c r="D523" s="341" t="s">
        <v>517</v>
      </c>
      <c r="E523" s="340" t="s">
        <v>1409</v>
      </c>
      <c r="F523" s="341" t="s">
        <v>1410</v>
      </c>
      <c r="G523" s="340" t="s">
        <v>1375</v>
      </c>
      <c r="H523" s="340" t="s">
        <v>1376</v>
      </c>
      <c r="I523" s="342">
        <v>214.24</v>
      </c>
      <c r="J523" s="342">
        <v>48</v>
      </c>
      <c r="K523" s="343">
        <v>10283.299999999999</v>
      </c>
    </row>
    <row r="524" spans="1:11" ht="14.4" customHeight="1" x14ac:dyDescent="0.3">
      <c r="A524" s="338" t="s">
        <v>343</v>
      </c>
      <c r="B524" s="339" t="s">
        <v>515</v>
      </c>
      <c r="C524" s="340" t="s">
        <v>353</v>
      </c>
      <c r="D524" s="341" t="s">
        <v>517</v>
      </c>
      <c r="E524" s="340" t="s">
        <v>1409</v>
      </c>
      <c r="F524" s="341" t="s">
        <v>1410</v>
      </c>
      <c r="G524" s="340" t="s">
        <v>1377</v>
      </c>
      <c r="H524" s="340" t="s">
        <v>1378</v>
      </c>
      <c r="I524" s="342">
        <v>97.34</v>
      </c>
      <c r="J524" s="342">
        <v>36</v>
      </c>
      <c r="K524" s="343">
        <v>3504.34</v>
      </c>
    </row>
    <row r="525" spans="1:11" ht="14.4" customHeight="1" x14ac:dyDescent="0.3">
      <c r="A525" s="338" t="s">
        <v>343</v>
      </c>
      <c r="B525" s="339" t="s">
        <v>515</v>
      </c>
      <c r="C525" s="340" t="s">
        <v>353</v>
      </c>
      <c r="D525" s="341" t="s">
        <v>517</v>
      </c>
      <c r="E525" s="340" t="s">
        <v>1409</v>
      </c>
      <c r="F525" s="341" t="s">
        <v>1410</v>
      </c>
      <c r="G525" s="340" t="s">
        <v>1379</v>
      </c>
      <c r="H525" s="340" t="s">
        <v>1380</v>
      </c>
      <c r="I525" s="342">
        <v>116.57</v>
      </c>
      <c r="J525" s="342">
        <v>144</v>
      </c>
      <c r="K525" s="343">
        <v>16786.32</v>
      </c>
    </row>
    <row r="526" spans="1:11" ht="14.4" customHeight="1" x14ac:dyDescent="0.3">
      <c r="A526" s="338" t="s">
        <v>343</v>
      </c>
      <c r="B526" s="339" t="s">
        <v>515</v>
      </c>
      <c r="C526" s="340" t="s">
        <v>353</v>
      </c>
      <c r="D526" s="341" t="s">
        <v>517</v>
      </c>
      <c r="E526" s="340" t="s">
        <v>1409</v>
      </c>
      <c r="F526" s="341" t="s">
        <v>1410</v>
      </c>
      <c r="G526" s="340" t="s">
        <v>1095</v>
      </c>
      <c r="H526" s="340" t="s">
        <v>1096</v>
      </c>
      <c r="I526" s="342">
        <v>513.48</v>
      </c>
      <c r="J526" s="342">
        <v>12</v>
      </c>
      <c r="K526" s="343">
        <v>6161.7</v>
      </c>
    </row>
    <row r="527" spans="1:11" ht="14.4" customHeight="1" x14ac:dyDescent="0.3">
      <c r="A527" s="338" t="s">
        <v>343</v>
      </c>
      <c r="B527" s="339" t="s">
        <v>515</v>
      </c>
      <c r="C527" s="340" t="s">
        <v>353</v>
      </c>
      <c r="D527" s="341" t="s">
        <v>517</v>
      </c>
      <c r="E527" s="340" t="s">
        <v>1409</v>
      </c>
      <c r="F527" s="341" t="s">
        <v>1410</v>
      </c>
      <c r="G527" s="340" t="s">
        <v>1103</v>
      </c>
      <c r="H527" s="340" t="s">
        <v>1104</v>
      </c>
      <c r="I527" s="342">
        <v>86.754999999999995</v>
      </c>
      <c r="J527" s="342">
        <v>252</v>
      </c>
      <c r="K527" s="343">
        <v>21408.18</v>
      </c>
    </row>
    <row r="528" spans="1:11" ht="14.4" customHeight="1" x14ac:dyDescent="0.3">
      <c r="A528" s="338" t="s">
        <v>343</v>
      </c>
      <c r="B528" s="339" t="s">
        <v>515</v>
      </c>
      <c r="C528" s="340" t="s">
        <v>353</v>
      </c>
      <c r="D528" s="341" t="s">
        <v>517</v>
      </c>
      <c r="E528" s="340" t="s">
        <v>1409</v>
      </c>
      <c r="F528" s="341" t="s">
        <v>1410</v>
      </c>
      <c r="G528" s="340" t="s">
        <v>1381</v>
      </c>
      <c r="H528" s="340" t="s">
        <v>1382</v>
      </c>
      <c r="I528" s="342">
        <v>108.23</v>
      </c>
      <c r="J528" s="342">
        <v>108</v>
      </c>
      <c r="K528" s="343">
        <v>11688.95</v>
      </c>
    </row>
    <row r="529" spans="1:11" ht="14.4" customHeight="1" x14ac:dyDescent="0.3">
      <c r="A529" s="338" t="s">
        <v>343</v>
      </c>
      <c r="B529" s="339" t="s">
        <v>515</v>
      </c>
      <c r="C529" s="340" t="s">
        <v>353</v>
      </c>
      <c r="D529" s="341" t="s">
        <v>517</v>
      </c>
      <c r="E529" s="340" t="s">
        <v>1409</v>
      </c>
      <c r="F529" s="341" t="s">
        <v>1410</v>
      </c>
      <c r="G529" s="340" t="s">
        <v>1383</v>
      </c>
      <c r="H529" s="340" t="s">
        <v>1384</v>
      </c>
      <c r="I529" s="342">
        <v>104.19</v>
      </c>
      <c r="J529" s="342">
        <v>108</v>
      </c>
      <c r="K529" s="343">
        <v>11252</v>
      </c>
    </row>
    <row r="530" spans="1:11" ht="14.4" customHeight="1" x14ac:dyDescent="0.3">
      <c r="A530" s="338" t="s">
        <v>343</v>
      </c>
      <c r="B530" s="339" t="s">
        <v>515</v>
      </c>
      <c r="C530" s="340" t="s">
        <v>353</v>
      </c>
      <c r="D530" s="341" t="s">
        <v>517</v>
      </c>
      <c r="E530" s="340" t="s">
        <v>1409</v>
      </c>
      <c r="F530" s="341" t="s">
        <v>1410</v>
      </c>
      <c r="G530" s="340" t="s">
        <v>1385</v>
      </c>
      <c r="H530" s="340" t="s">
        <v>1386</v>
      </c>
      <c r="I530" s="342">
        <v>57.5</v>
      </c>
      <c r="J530" s="342">
        <v>108</v>
      </c>
      <c r="K530" s="343">
        <v>6210</v>
      </c>
    </row>
    <row r="531" spans="1:11" ht="14.4" customHeight="1" x14ac:dyDescent="0.3">
      <c r="A531" s="338" t="s">
        <v>343</v>
      </c>
      <c r="B531" s="339" t="s">
        <v>515</v>
      </c>
      <c r="C531" s="340" t="s">
        <v>353</v>
      </c>
      <c r="D531" s="341" t="s">
        <v>517</v>
      </c>
      <c r="E531" s="340" t="s">
        <v>1409</v>
      </c>
      <c r="F531" s="341" t="s">
        <v>1410</v>
      </c>
      <c r="G531" s="340" t="s">
        <v>1387</v>
      </c>
      <c r="H531" s="340" t="s">
        <v>1388</v>
      </c>
      <c r="I531" s="342">
        <v>32.9</v>
      </c>
      <c r="J531" s="342">
        <v>80</v>
      </c>
      <c r="K531" s="343">
        <v>2632.03</v>
      </c>
    </row>
    <row r="532" spans="1:11" ht="14.4" customHeight="1" x14ac:dyDescent="0.3">
      <c r="A532" s="338" t="s">
        <v>343</v>
      </c>
      <c r="B532" s="339" t="s">
        <v>515</v>
      </c>
      <c r="C532" s="340" t="s">
        <v>353</v>
      </c>
      <c r="D532" s="341" t="s">
        <v>517</v>
      </c>
      <c r="E532" s="340" t="s">
        <v>1411</v>
      </c>
      <c r="F532" s="341" t="s">
        <v>1412</v>
      </c>
      <c r="G532" s="340" t="s">
        <v>1147</v>
      </c>
      <c r="H532" s="340" t="s">
        <v>1148</v>
      </c>
      <c r="I532" s="342">
        <v>10.99</v>
      </c>
      <c r="J532" s="342">
        <v>80</v>
      </c>
      <c r="K532" s="343">
        <v>879.07</v>
      </c>
    </row>
    <row r="533" spans="1:11" ht="14.4" customHeight="1" x14ac:dyDescent="0.3">
      <c r="A533" s="338" t="s">
        <v>343</v>
      </c>
      <c r="B533" s="339" t="s">
        <v>515</v>
      </c>
      <c r="C533" s="340" t="s">
        <v>353</v>
      </c>
      <c r="D533" s="341" t="s">
        <v>517</v>
      </c>
      <c r="E533" s="340" t="s">
        <v>1411</v>
      </c>
      <c r="F533" s="341" t="s">
        <v>1412</v>
      </c>
      <c r="G533" s="340" t="s">
        <v>1170</v>
      </c>
      <c r="H533" s="340" t="s">
        <v>1171</v>
      </c>
      <c r="I533" s="342">
        <v>13.21</v>
      </c>
      <c r="J533" s="342">
        <v>80</v>
      </c>
      <c r="K533" s="343">
        <v>1057.06</v>
      </c>
    </row>
    <row r="534" spans="1:11" ht="14.4" customHeight="1" x14ac:dyDescent="0.3">
      <c r="A534" s="338" t="s">
        <v>343</v>
      </c>
      <c r="B534" s="339" t="s">
        <v>515</v>
      </c>
      <c r="C534" s="340" t="s">
        <v>353</v>
      </c>
      <c r="D534" s="341" t="s">
        <v>517</v>
      </c>
      <c r="E534" s="340" t="s">
        <v>1413</v>
      </c>
      <c r="F534" s="341" t="s">
        <v>1414</v>
      </c>
      <c r="G534" s="340" t="s">
        <v>1188</v>
      </c>
      <c r="H534" s="340" t="s">
        <v>1189</v>
      </c>
      <c r="I534" s="342">
        <v>20.69</v>
      </c>
      <c r="J534" s="342">
        <v>300</v>
      </c>
      <c r="K534" s="343">
        <v>6207.3</v>
      </c>
    </row>
    <row r="535" spans="1:11" ht="14.4" customHeight="1" x14ac:dyDescent="0.3">
      <c r="A535" s="338" t="s">
        <v>343</v>
      </c>
      <c r="B535" s="339" t="s">
        <v>515</v>
      </c>
      <c r="C535" s="340" t="s">
        <v>353</v>
      </c>
      <c r="D535" s="341" t="s">
        <v>517</v>
      </c>
      <c r="E535" s="340" t="s">
        <v>1413</v>
      </c>
      <c r="F535" s="341" t="s">
        <v>1414</v>
      </c>
      <c r="G535" s="340" t="s">
        <v>1190</v>
      </c>
      <c r="H535" s="340" t="s">
        <v>1191</v>
      </c>
      <c r="I535" s="342">
        <v>16.21</v>
      </c>
      <c r="J535" s="342">
        <v>800</v>
      </c>
      <c r="K535" s="343">
        <v>12968</v>
      </c>
    </row>
    <row r="536" spans="1:11" ht="14.4" customHeight="1" x14ac:dyDescent="0.3">
      <c r="A536" s="338" t="s">
        <v>343</v>
      </c>
      <c r="B536" s="339" t="s">
        <v>515</v>
      </c>
      <c r="C536" s="340" t="s">
        <v>353</v>
      </c>
      <c r="D536" s="341" t="s">
        <v>517</v>
      </c>
      <c r="E536" s="340" t="s">
        <v>1413</v>
      </c>
      <c r="F536" s="341" t="s">
        <v>1414</v>
      </c>
      <c r="G536" s="340" t="s">
        <v>1192</v>
      </c>
      <c r="H536" s="340" t="s">
        <v>1193</v>
      </c>
      <c r="I536" s="342">
        <v>20.69</v>
      </c>
      <c r="J536" s="342">
        <v>500</v>
      </c>
      <c r="K536" s="343">
        <v>10345.35</v>
      </c>
    </row>
    <row r="537" spans="1:11" ht="14.4" customHeight="1" x14ac:dyDescent="0.3">
      <c r="A537" s="338" t="s">
        <v>343</v>
      </c>
      <c r="B537" s="339" t="s">
        <v>515</v>
      </c>
      <c r="C537" s="340" t="s">
        <v>353</v>
      </c>
      <c r="D537" s="341" t="s">
        <v>517</v>
      </c>
      <c r="E537" s="340" t="s">
        <v>1413</v>
      </c>
      <c r="F537" s="341" t="s">
        <v>1414</v>
      </c>
      <c r="G537" s="340" t="s">
        <v>1194</v>
      </c>
      <c r="H537" s="340" t="s">
        <v>1195</v>
      </c>
      <c r="I537" s="342">
        <v>20.69</v>
      </c>
      <c r="J537" s="342">
        <v>500</v>
      </c>
      <c r="K537" s="343">
        <v>10345.35</v>
      </c>
    </row>
    <row r="538" spans="1:11" ht="14.4" customHeight="1" x14ac:dyDescent="0.3">
      <c r="A538" s="338" t="s">
        <v>343</v>
      </c>
      <c r="B538" s="339" t="s">
        <v>515</v>
      </c>
      <c r="C538" s="340" t="s">
        <v>353</v>
      </c>
      <c r="D538" s="341" t="s">
        <v>517</v>
      </c>
      <c r="E538" s="340" t="s">
        <v>1413</v>
      </c>
      <c r="F538" s="341" t="s">
        <v>1414</v>
      </c>
      <c r="G538" s="340" t="s">
        <v>1198</v>
      </c>
      <c r="H538" s="340" t="s">
        <v>1199</v>
      </c>
      <c r="I538" s="342">
        <v>16.21</v>
      </c>
      <c r="J538" s="342">
        <v>1000</v>
      </c>
      <c r="K538" s="343">
        <v>16212.7</v>
      </c>
    </row>
    <row r="539" spans="1:11" ht="14.4" customHeight="1" x14ac:dyDescent="0.3">
      <c r="A539" s="338" t="s">
        <v>343</v>
      </c>
      <c r="B539" s="339" t="s">
        <v>515</v>
      </c>
      <c r="C539" s="340" t="s">
        <v>353</v>
      </c>
      <c r="D539" s="341" t="s">
        <v>517</v>
      </c>
      <c r="E539" s="340" t="s">
        <v>1413</v>
      </c>
      <c r="F539" s="341" t="s">
        <v>1414</v>
      </c>
      <c r="G539" s="340" t="s">
        <v>1206</v>
      </c>
      <c r="H539" s="340" t="s">
        <v>1207</v>
      </c>
      <c r="I539" s="342">
        <v>11.01</v>
      </c>
      <c r="J539" s="342">
        <v>480</v>
      </c>
      <c r="K539" s="343">
        <v>5284.7999999999993</v>
      </c>
    </row>
    <row r="540" spans="1:11" ht="14.4" customHeight="1" x14ac:dyDescent="0.3">
      <c r="A540" s="338" t="s">
        <v>343</v>
      </c>
      <c r="B540" s="339" t="s">
        <v>515</v>
      </c>
      <c r="C540" s="340" t="s">
        <v>353</v>
      </c>
      <c r="D540" s="341" t="s">
        <v>517</v>
      </c>
      <c r="E540" s="340" t="s">
        <v>1413</v>
      </c>
      <c r="F540" s="341" t="s">
        <v>1414</v>
      </c>
      <c r="G540" s="340" t="s">
        <v>1208</v>
      </c>
      <c r="H540" s="340" t="s">
        <v>1209</v>
      </c>
      <c r="I540" s="342">
        <v>11.013333333333334</v>
      </c>
      <c r="J540" s="342">
        <v>1040</v>
      </c>
      <c r="K540" s="343">
        <v>11451.130000000001</v>
      </c>
    </row>
    <row r="541" spans="1:11" ht="14.4" customHeight="1" x14ac:dyDescent="0.3">
      <c r="A541" s="338" t="s">
        <v>343</v>
      </c>
      <c r="B541" s="339" t="s">
        <v>515</v>
      </c>
      <c r="C541" s="340" t="s">
        <v>353</v>
      </c>
      <c r="D541" s="341" t="s">
        <v>517</v>
      </c>
      <c r="E541" s="340" t="s">
        <v>1413</v>
      </c>
      <c r="F541" s="341" t="s">
        <v>1414</v>
      </c>
      <c r="G541" s="340" t="s">
        <v>1210</v>
      </c>
      <c r="H541" s="340" t="s">
        <v>1211</v>
      </c>
      <c r="I541" s="342">
        <v>10.55</v>
      </c>
      <c r="J541" s="342">
        <v>680</v>
      </c>
      <c r="K541" s="343">
        <v>7174</v>
      </c>
    </row>
    <row r="542" spans="1:11" ht="14.4" customHeight="1" x14ac:dyDescent="0.3">
      <c r="A542" s="338" t="s">
        <v>343</v>
      </c>
      <c r="B542" s="339" t="s">
        <v>515</v>
      </c>
      <c r="C542" s="340" t="s">
        <v>353</v>
      </c>
      <c r="D542" s="341" t="s">
        <v>517</v>
      </c>
      <c r="E542" s="340" t="s">
        <v>1413</v>
      </c>
      <c r="F542" s="341" t="s">
        <v>1414</v>
      </c>
      <c r="G542" s="340" t="s">
        <v>1212</v>
      </c>
      <c r="H542" s="340" t="s">
        <v>1213</v>
      </c>
      <c r="I542" s="342">
        <v>10.55</v>
      </c>
      <c r="J542" s="342">
        <v>680</v>
      </c>
      <c r="K542" s="343">
        <v>7174.82</v>
      </c>
    </row>
    <row r="543" spans="1:11" ht="14.4" customHeight="1" x14ac:dyDescent="0.3">
      <c r="A543" s="338" t="s">
        <v>343</v>
      </c>
      <c r="B543" s="339" t="s">
        <v>515</v>
      </c>
      <c r="C543" s="340" t="s">
        <v>353</v>
      </c>
      <c r="D543" s="341" t="s">
        <v>517</v>
      </c>
      <c r="E543" s="340" t="s">
        <v>1413</v>
      </c>
      <c r="F543" s="341" t="s">
        <v>1414</v>
      </c>
      <c r="G543" s="340" t="s">
        <v>1217</v>
      </c>
      <c r="H543" s="340" t="s">
        <v>1218</v>
      </c>
      <c r="I543" s="342">
        <v>16.21</v>
      </c>
      <c r="J543" s="342">
        <v>1300</v>
      </c>
      <c r="K543" s="343">
        <v>21078.2</v>
      </c>
    </row>
    <row r="544" spans="1:11" ht="14.4" customHeight="1" x14ac:dyDescent="0.3">
      <c r="A544" s="338" t="s">
        <v>343</v>
      </c>
      <c r="B544" s="339" t="s">
        <v>515</v>
      </c>
      <c r="C544" s="340" t="s">
        <v>353</v>
      </c>
      <c r="D544" s="341" t="s">
        <v>517</v>
      </c>
      <c r="E544" s="340" t="s">
        <v>1413</v>
      </c>
      <c r="F544" s="341" t="s">
        <v>1414</v>
      </c>
      <c r="G544" s="340" t="s">
        <v>1219</v>
      </c>
      <c r="H544" s="340" t="s">
        <v>1220</v>
      </c>
      <c r="I544" s="342">
        <v>16.21</v>
      </c>
      <c r="J544" s="342">
        <v>50</v>
      </c>
      <c r="K544" s="343">
        <v>810.7</v>
      </c>
    </row>
    <row r="545" spans="1:11" ht="14.4" customHeight="1" x14ac:dyDescent="0.3">
      <c r="A545" s="338" t="s">
        <v>343</v>
      </c>
      <c r="B545" s="339" t="s">
        <v>515</v>
      </c>
      <c r="C545" s="340" t="s">
        <v>353</v>
      </c>
      <c r="D545" s="341" t="s">
        <v>517</v>
      </c>
      <c r="E545" s="340" t="s">
        <v>1413</v>
      </c>
      <c r="F545" s="341" t="s">
        <v>1414</v>
      </c>
      <c r="G545" s="340" t="s">
        <v>1221</v>
      </c>
      <c r="H545" s="340" t="s">
        <v>1222</v>
      </c>
      <c r="I545" s="342">
        <v>11.01</v>
      </c>
      <c r="J545" s="342">
        <v>720</v>
      </c>
      <c r="K545" s="343">
        <v>7927.92</v>
      </c>
    </row>
    <row r="546" spans="1:11" ht="14.4" customHeight="1" x14ac:dyDescent="0.3">
      <c r="A546" s="338" t="s">
        <v>343</v>
      </c>
      <c r="B546" s="339" t="s">
        <v>515</v>
      </c>
      <c r="C546" s="340" t="s">
        <v>353</v>
      </c>
      <c r="D546" s="341" t="s">
        <v>517</v>
      </c>
      <c r="E546" s="340" t="s">
        <v>1413</v>
      </c>
      <c r="F546" s="341" t="s">
        <v>1414</v>
      </c>
      <c r="G546" s="340" t="s">
        <v>1229</v>
      </c>
      <c r="H546" s="340" t="s">
        <v>1230</v>
      </c>
      <c r="I546" s="342">
        <v>0.71</v>
      </c>
      <c r="J546" s="342">
        <v>2000</v>
      </c>
      <c r="K546" s="343">
        <v>1420</v>
      </c>
    </row>
    <row r="547" spans="1:11" ht="14.4" customHeight="1" x14ac:dyDescent="0.3">
      <c r="A547" s="338" t="s">
        <v>343</v>
      </c>
      <c r="B547" s="339" t="s">
        <v>515</v>
      </c>
      <c r="C547" s="340" t="s">
        <v>353</v>
      </c>
      <c r="D547" s="341" t="s">
        <v>517</v>
      </c>
      <c r="E547" s="340" t="s">
        <v>1413</v>
      </c>
      <c r="F547" s="341" t="s">
        <v>1414</v>
      </c>
      <c r="G547" s="340" t="s">
        <v>1389</v>
      </c>
      <c r="H547" s="340" t="s">
        <v>1390</v>
      </c>
      <c r="I547" s="342">
        <v>16.21</v>
      </c>
      <c r="J547" s="342">
        <v>1300</v>
      </c>
      <c r="K547" s="343">
        <v>21078.2</v>
      </c>
    </row>
    <row r="548" spans="1:11" ht="14.4" customHeight="1" x14ac:dyDescent="0.3">
      <c r="A548" s="338" t="s">
        <v>343</v>
      </c>
      <c r="B548" s="339" t="s">
        <v>515</v>
      </c>
      <c r="C548" s="340" t="s">
        <v>353</v>
      </c>
      <c r="D548" s="341" t="s">
        <v>517</v>
      </c>
      <c r="E548" s="340" t="s">
        <v>1413</v>
      </c>
      <c r="F548" s="341" t="s">
        <v>1414</v>
      </c>
      <c r="G548" s="340" t="s">
        <v>1391</v>
      </c>
      <c r="H548" s="340" t="s">
        <v>1392</v>
      </c>
      <c r="I548" s="342">
        <v>20.69</v>
      </c>
      <c r="J548" s="342">
        <v>400</v>
      </c>
      <c r="K548" s="343">
        <v>8276.4</v>
      </c>
    </row>
    <row r="549" spans="1:11" ht="14.4" customHeight="1" x14ac:dyDescent="0.3">
      <c r="A549" s="338" t="s">
        <v>343</v>
      </c>
      <c r="B549" s="339" t="s">
        <v>515</v>
      </c>
      <c r="C549" s="340" t="s">
        <v>353</v>
      </c>
      <c r="D549" s="341" t="s">
        <v>517</v>
      </c>
      <c r="E549" s="340" t="s">
        <v>1417</v>
      </c>
      <c r="F549" s="341" t="s">
        <v>1418</v>
      </c>
      <c r="G549" s="340" t="s">
        <v>749</v>
      </c>
      <c r="H549" s="340" t="s">
        <v>750</v>
      </c>
      <c r="I549" s="342">
        <v>68.510000000000005</v>
      </c>
      <c r="J549" s="342">
        <v>500</v>
      </c>
      <c r="K549" s="343">
        <v>34255.160000000003</v>
      </c>
    </row>
    <row r="550" spans="1:11" ht="14.4" customHeight="1" x14ac:dyDescent="0.3">
      <c r="A550" s="338" t="s">
        <v>343</v>
      </c>
      <c r="B550" s="339" t="s">
        <v>515</v>
      </c>
      <c r="C550" s="340" t="s">
        <v>353</v>
      </c>
      <c r="D550" s="341" t="s">
        <v>517</v>
      </c>
      <c r="E550" s="340" t="s">
        <v>1417</v>
      </c>
      <c r="F550" s="341" t="s">
        <v>1418</v>
      </c>
      <c r="G550" s="340" t="s">
        <v>1252</v>
      </c>
      <c r="H550" s="340" t="s">
        <v>1253</v>
      </c>
      <c r="I550" s="342">
        <v>36.06</v>
      </c>
      <c r="J550" s="342">
        <v>60</v>
      </c>
      <c r="K550" s="343">
        <v>2163.36</v>
      </c>
    </row>
    <row r="551" spans="1:11" ht="14.4" customHeight="1" x14ac:dyDescent="0.3">
      <c r="A551" s="338" t="s">
        <v>343</v>
      </c>
      <c r="B551" s="339" t="s">
        <v>515</v>
      </c>
      <c r="C551" s="340" t="s">
        <v>353</v>
      </c>
      <c r="D551" s="341" t="s">
        <v>517</v>
      </c>
      <c r="E551" s="340" t="s">
        <v>1417</v>
      </c>
      <c r="F551" s="341" t="s">
        <v>1418</v>
      </c>
      <c r="G551" s="340" t="s">
        <v>822</v>
      </c>
      <c r="H551" s="340" t="s">
        <v>823</v>
      </c>
      <c r="I551" s="342">
        <v>50.65</v>
      </c>
      <c r="J551" s="342">
        <v>1200</v>
      </c>
      <c r="K551" s="343">
        <v>60780.36</v>
      </c>
    </row>
    <row r="552" spans="1:11" ht="14.4" customHeight="1" x14ac:dyDescent="0.3">
      <c r="A552" s="338" t="s">
        <v>343</v>
      </c>
      <c r="B552" s="339" t="s">
        <v>515</v>
      </c>
      <c r="C552" s="340" t="s">
        <v>353</v>
      </c>
      <c r="D552" s="341" t="s">
        <v>517</v>
      </c>
      <c r="E552" s="340" t="s">
        <v>1417</v>
      </c>
      <c r="F552" s="341" t="s">
        <v>1418</v>
      </c>
      <c r="G552" s="340" t="s">
        <v>1262</v>
      </c>
      <c r="H552" s="340" t="s">
        <v>1263</v>
      </c>
      <c r="I552" s="342">
        <v>10.74</v>
      </c>
      <c r="J552" s="342">
        <v>50</v>
      </c>
      <c r="K552" s="343">
        <v>537.24</v>
      </c>
    </row>
    <row r="553" spans="1:11" ht="14.4" customHeight="1" thickBot="1" x14ac:dyDescent="0.35">
      <c r="A553" s="344" t="s">
        <v>343</v>
      </c>
      <c r="B553" s="345" t="s">
        <v>515</v>
      </c>
      <c r="C553" s="346" t="s">
        <v>353</v>
      </c>
      <c r="D553" s="347" t="s">
        <v>517</v>
      </c>
      <c r="E553" s="346" t="s">
        <v>1417</v>
      </c>
      <c r="F553" s="347" t="s">
        <v>1418</v>
      </c>
      <c r="G553" s="346" t="s">
        <v>1393</v>
      </c>
      <c r="H553" s="346" t="s">
        <v>1394</v>
      </c>
      <c r="I553" s="348">
        <v>286.41000000000003</v>
      </c>
      <c r="J553" s="348">
        <v>5</v>
      </c>
      <c r="K553" s="349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289" t="s">
        <v>38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2" spans="1:35" ht="15" thickBot="1" x14ac:dyDescent="0.35">
      <c r="A2" s="151" t="s">
        <v>180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5" x14ac:dyDescent="0.3">
      <c r="A3" s="170" t="s">
        <v>119</v>
      </c>
      <c r="B3" s="290" t="s">
        <v>100</v>
      </c>
      <c r="C3" s="153">
        <v>0</v>
      </c>
      <c r="D3" s="154">
        <v>101</v>
      </c>
      <c r="E3" s="154">
        <v>102</v>
      </c>
      <c r="F3" s="173">
        <v>305</v>
      </c>
      <c r="G3" s="173">
        <v>306</v>
      </c>
      <c r="H3" s="173">
        <v>407</v>
      </c>
      <c r="I3" s="173">
        <v>408</v>
      </c>
      <c r="J3" s="173">
        <v>409</v>
      </c>
      <c r="K3" s="173">
        <v>410</v>
      </c>
      <c r="L3" s="173">
        <v>415</v>
      </c>
      <c r="M3" s="173">
        <v>416</v>
      </c>
      <c r="N3" s="173">
        <v>418</v>
      </c>
      <c r="O3" s="173">
        <v>419</v>
      </c>
      <c r="P3" s="173">
        <v>420</v>
      </c>
      <c r="Q3" s="173">
        <v>421</v>
      </c>
      <c r="R3" s="173">
        <v>522</v>
      </c>
      <c r="S3" s="173">
        <v>523</v>
      </c>
      <c r="T3" s="173">
        <v>524</v>
      </c>
      <c r="U3" s="173">
        <v>525</v>
      </c>
      <c r="V3" s="173">
        <v>526</v>
      </c>
      <c r="W3" s="173">
        <v>527</v>
      </c>
      <c r="X3" s="173">
        <v>528</v>
      </c>
      <c r="Y3" s="173">
        <v>629</v>
      </c>
      <c r="Z3" s="173">
        <v>630</v>
      </c>
      <c r="AA3" s="173">
        <v>636</v>
      </c>
      <c r="AB3" s="173">
        <v>637</v>
      </c>
      <c r="AC3" s="173">
        <v>640</v>
      </c>
      <c r="AD3" s="173">
        <v>642</v>
      </c>
      <c r="AE3" s="173">
        <v>743</v>
      </c>
      <c r="AF3" s="154">
        <v>745</v>
      </c>
      <c r="AG3" s="154">
        <v>746</v>
      </c>
      <c r="AH3" s="401">
        <v>930</v>
      </c>
      <c r="AI3" s="417"/>
    </row>
    <row r="4" spans="1:35" ht="36.6" outlineLevel="1" thickBot="1" x14ac:dyDescent="0.35">
      <c r="A4" s="171">
        <v>2015</v>
      </c>
      <c r="B4" s="291"/>
      <c r="C4" s="155" t="s">
        <v>101</v>
      </c>
      <c r="D4" s="156" t="s">
        <v>102</v>
      </c>
      <c r="E4" s="156" t="s">
        <v>103</v>
      </c>
      <c r="F4" s="174" t="s">
        <v>131</v>
      </c>
      <c r="G4" s="174" t="s">
        <v>132</v>
      </c>
      <c r="H4" s="174" t="s">
        <v>179</v>
      </c>
      <c r="I4" s="174" t="s">
        <v>133</v>
      </c>
      <c r="J4" s="174" t="s">
        <v>134</v>
      </c>
      <c r="K4" s="174" t="s">
        <v>135</v>
      </c>
      <c r="L4" s="174" t="s">
        <v>136</v>
      </c>
      <c r="M4" s="174" t="s">
        <v>137</v>
      </c>
      <c r="N4" s="174" t="s">
        <v>138</v>
      </c>
      <c r="O4" s="174" t="s">
        <v>139</v>
      </c>
      <c r="P4" s="174" t="s">
        <v>140</v>
      </c>
      <c r="Q4" s="174" t="s">
        <v>141</v>
      </c>
      <c r="R4" s="174" t="s">
        <v>142</v>
      </c>
      <c r="S4" s="174" t="s">
        <v>143</v>
      </c>
      <c r="T4" s="174" t="s">
        <v>144</v>
      </c>
      <c r="U4" s="174" t="s">
        <v>145</v>
      </c>
      <c r="V4" s="174" t="s">
        <v>146</v>
      </c>
      <c r="W4" s="174" t="s">
        <v>147</v>
      </c>
      <c r="X4" s="174" t="s">
        <v>156</v>
      </c>
      <c r="Y4" s="174" t="s">
        <v>148</v>
      </c>
      <c r="Z4" s="174" t="s">
        <v>157</v>
      </c>
      <c r="AA4" s="174" t="s">
        <v>149</v>
      </c>
      <c r="AB4" s="174" t="s">
        <v>150</v>
      </c>
      <c r="AC4" s="174" t="s">
        <v>151</v>
      </c>
      <c r="AD4" s="174" t="s">
        <v>152</v>
      </c>
      <c r="AE4" s="174" t="s">
        <v>153</v>
      </c>
      <c r="AF4" s="156" t="s">
        <v>154</v>
      </c>
      <c r="AG4" s="156" t="s">
        <v>155</v>
      </c>
      <c r="AH4" s="402" t="s">
        <v>121</v>
      </c>
      <c r="AI4" s="417"/>
    </row>
    <row r="5" spans="1:35" x14ac:dyDescent="0.3">
      <c r="A5" s="157" t="s">
        <v>104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403"/>
      <c r="AI5" s="417"/>
    </row>
    <row r="6" spans="1:35" ht="15" collapsed="1" thickBot="1" x14ac:dyDescent="0.35">
      <c r="A6" s="158" t="s">
        <v>32</v>
      </c>
      <c r="B6" s="196">
        <f xml:space="preserve">
TRUNC(IF($A$4&lt;=12,SUMIFS('ON Data'!F:F,'ON Data'!$D:$D,$A$4,'ON Data'!$E:$E,1),SUMIFS('ON Data'!F:F,'ON Data'!$E:$E,1)/'ON Data'!$D$3),1)</f>
        <v>54.3</v>
      </c>
      <c r="C6" s="197">
        <f xml:space="preserve">
TRUNC(IF($A$4&lt;=12,SUMIFS('ON Data'!G:G,'ON Data'!$D:$D,$A$4,'ON Data'!$E:$E,1),SUMIFS('ON Data'!G:G,'ON Data'!$E:$E,1)/'ON Data'!$D$3),1)</f>
        <v>0</v>
      </c>
      <c r="D6" s="198">
        <f xml:space="preserve">
TRUNC(IF($A$4&lt;=12,SUMIFS('ON Data'!H:H,'ON Data'!$D:$D,$A$4,'ON Data'!$E:$E,1),SUMIFS('ON Data'!H:H,'ON Data'!$E:$E,1)/'ON Data'!$D$3),1)</f>
        <v>0.1</v>
      </c>
      <c r="E6" s="198">
        <f xml:space="preserve">
TRUNC(IF($A$4&lt;=12,SUMIFS('ON Data'!I:I,'ON Data'!$D:$D,$A$4,'ON Data'!$E:$E,1),SUMIFS('ON Data'!I:I,'ON Data'!$E:$E,1)/'ON Data'!$D$3),1)</f>
        <v>0</v>
      </c>
      <c r="F6" s="198">
        <f xml:space="preserve">
TRUNC(IF($A$4&lt;=12,SUMIFS('ON Data'!K:K,'ON Data'!$D:$D,$A$4,'ON Data'!$E:$E,1),SUMIFS('ON Data'!K:K,'ON Data'!$E:$E,1)/'ON Data'!$D$3),1)</f>
        <v>40.9</v>
      </c>
      <c r="G6" s="198">
        <f xml:space="preserve">
TRUNC(IF($A$4&lt;=12,SUMIFS('ON Data'!L:L,'ON Data'!$D:$D,$A$4,'ON Data'!$E:$E,1),SUMIFS('ON Data'!L:L,'ON Data'!$E:$E,1)/'ON Data'!$D$3),1)</f>
        <v>0</v>
      </c>
      <c r="H6" s="198">
        <f xml:space="preserve">
TRUNC(IF($A$4&lt;=12,SUMIFS('ON Data'!M:M,'ON Data'!$D:$D,$A$4,'ON Data'!$E:$E,1),SUMIFS('ON Data'!M:M,'ON Data'!$E:$E,1)/'ON Data'!$D$3),1)</f>
        <v>0</v>
      </c>
      <c r="I6" s="198">
        <f xml:space="preserve">
TRUNC(IF($A$4&lt;=12,SUMIFS('ON Data'!N:N,'ON Data'!$D:$D,$A$4,'ON Data'!$E:$E,1),SUMIFS('ON Data'!N:N,'ON Data'!$E:$E,1)/'ON Data'!$D$3),1)</f>
        <v>0</v>
      </c>
      <c r="J6" s="198">
        <f xml:space="preserve">
TRUNC(IF($A$4&lt;=12,SUMIFS('ON Data'!O:O,'ON Data'!$D:$D,$A$4,'ON Data'!$E:$E,1),SUMIFS('ON Data'!O:O,'ON Data'!$E:$E,1)/'ON Data'!$D$3),1)</f>
        <v>0</v>
      </c>
      <c r="K6" s="198">
        <f xml:space="preserve">
TRUNC(IF($A$4&lt;=12,SUMIFS('ON Data'!P:P,'ON Data'!$D:$D,$A$4,'ON Data'!$E:$E,1),SUMIFS('ON Data'!P:P,'ON Data'!$E:$E,1)/'ON Data'!$D$3),1)</f>
        <v>0</v>
      </c>
      <c r="L6" s="198">
        <f xml:space="preserve">
TRUNC(IF($A$4&lt;=12,SUMIFS('ON Data'!Q:Q,'ON Data'!$D:$D,$A$4,'ON Data'!$E:$E,1),SUMIFS('ON Data'!Q:Q,'ON Data'!$E:$E,1)/'ON Data'!$D$3),1)</f>
        <v>0</v>
      </c>
      <c r="M6" s="198">
        <f xml:space="preserve">
TRUNC(IF($A$4&lt;=12,SUMIFS('ON Data'!R:R,'ON Data'!$D:$D,$A$4,'ON Data'!$E:$E,1),SUMIFS('ON Data'!R:R,'ON Data'!$E:$E,1)/'ON Data'!$D$3),1)</f>
        <v>0</v>
      </c>
      <c r="N6" s="198">
        <f xml:space="preserve">
TRUNC(IF($A$4&lt;=12,SUMIFS('ON Data'!S:S,'ON Data'!$D:$D,$A$4,'ON Data'!$E:$E,1),SUMIFS('ON Data'!S:S,'ON Data'!$E:$E,1)/'ON Data'!$D$3),1)</f>
        <v>0</v>
      </c>
      <c r="O6" s="198">
        <f xml:space="preserve">
TRUNC(IF($A$4&lt;=12,SUMIFS('ON Data'!T:T,'ON Data'!$D:$D,$A$4,'ON Data'!$E:$E,1),SUMIFS('ON Data'!T:T,'ON Data'!$E:$E,1)/'ON Data'!$D$3),1)</f>
        <v>0</v>
      </c>
      <c r="P6" s="198">
        <f xml:space="preserve">
TRUNC(IF($A$4&lt;=12,SUMIFS('ON Data'!U:U,'ON Data'!$D:$D,$A$4,'ON Data'!$E:$E,1),SUMIFS('ON Data'!U:U,'ON Data'!$E:$E,1)/'ON Data'!$D$3),1)</f>
        <v>0</v>
      </c>
      <c r="Q6" s="198">
        <f xml:space="preserve">
TRUNC(IF($A$4&lt;=12,SUMIFS('ON Data'!V:V,'ON Data'!$D:$D,$A$4,'ON Data'!$E:$E,1),SUMIFS('ON Data'!V:V,'ON Data'!$E:$E,1)/'ON Data'!$D$3),1)</f>
        <v>0</v>
      </c>
      <c r="R6" s="198">
        <f xml:space="preserve">
TRUNC(IF($A$4&lt;=12,SUMIFS('ON Data'!W:W,'ON Data'!$D:$D,$A$4,'ON Data'!$E:$E,1),SUMIFS('ON Data'!W:W,'ON Data'!$E:$E,1)/'ON Data'!$D$3),1)</f>
        <v>0</v>
      </c>
      <c r="S6" s="198">
        <f xml:space="preserve">
TRUNC(IF($A$4&lt;=12,SUMIFS('ON Data'!X:X,'ON Data'!$D:$D,$A$4,'ON Data'!$E:$E,1),SUMIFS('ON Data'!X:X,'ON Data'!$E:$E,1)/'ON Data'!$D$3),1)</f>
        <v>0</v>
      </c>
      <c r="T6" s="198">
        <f xml:space="preserve">
TRUNC(IF($A$4&lt;=12,SUMIFS('ON Data'!Y:Y,'ON Data'!$D:$D,$A$4,'ON Data'!$E:$E,1),SUMIFS('ON Data'!Y:Y,'ON Data'!$E:$E,1)/'ON Data'!$D$3),1)</f>
        <v>0</v>
      </c>
      <c r="U6" s="198">
        <f xml:space="preserve">
TRUNC(IF($A$4&lt;=12,SUMIFS('ON Data'!Z:Z,'ON Data'!$D:$D,$A$4,'ON Data'!$E:$E,1),SUMIFS('ON Data'!Z:Z,'ON Data'!$E:$E,1)/'ON Data'!$D$3),1)</f>
        <v>0</v>
      </c>
      <c r="V6" s="198">
        <f xml:space="preserve">
TRUNC(IF($A$4&lt;=12,SUMIFS('ON Data'!AA:AA,'ON Data'!$D:$D,$A$4,'ON Data'!$E:$E,1),SUMIFS('ON Data'!AA:AA,'ON Data'!$E:$E,1)/'ON Data'!$D$3),1)</f>
        <v>0</v>
      </c>
      <c r="W6" s="198">
        <f xml:space="preserve">
TRUNC(IF($A$4&lt;=12,SUMIFS('ON Data'!AB:AB,'ON Data'!$D:$D,$A$4,'ON Data'!$E:$E,1),SUMIFS('ON Data'!AB:AB,'ON Data'!$E:$E,1)/'ON Data'!$D$3),1)</f>
        <v>0</v>
      </c>
      <c r="X6" s="198">
        <f xml:space="preserve">
TRUNC(IF($A$4&lt;=12,SUMIFS('ON Data'!AC:AC,'ON Data'!$D:$D,$A$4,'ON Data'!$E:$E,1),SUMIFS('ON Data'!AC:AC,'ON Data'!$E:$E,1)/'ON Data'!$D$3),1)</f>
        <v>0</v>
      </c>
      <c r="Y6" s="198">
        <f xml:space="preserve">
TRUNC(IF($A$4&lt;=12,SUMIFS('ON Data'!AD:AD,'ON Data'!$D:$D,$A$4,'ON Data'!$E:$E,1),SUMIFS('ON Data'!AD:AD,'ON Data'!$E:$E,1)/'ON Data'!$D$3),1)</f>
        <v>0</v>
      </c>
      <c r="Z6" s="198">
        <f xml:space="preserve">
TRUNC(IF($A$4&lt;=12,SUMIFS('ON Data'!AE:AE,'ON Data'!$D:$D,$A$4,'ON Data'!$E:$E,1),SUMIFS('ON Data'!AE:AE,'ON Data'!$E:$E,1)/'ON Data'!$D$3),1)</f>
        <v>0</v>
      </c>
      <c r="AA6" s="198">
        <f xml:space="preserve">
TRUNC(IF($A$4&lt;=12,SUMIFS('ON Data'!AF:AF,'ON Data'!$D:$D,$A$4,'ON Data'!$E:$E,1),SUMIFS('ON Data'!AF:AF,'ON Data'!$E:$E,1)/'ON Data'!$D$3),1)</f>
        <v>0</v>
      </c>
      <c r="AB6" s="198">
        <f xml:space="preserve">
TRUNC(IF($A$4&lt;=12,SUMIFS('ON Data'!AG:AG,'ON Data'!$D:$D,$A$4,'ON Data'!$E:$E,1),SUMIFS('ON Data'!AG:AG,'ON Data'!$E:$E,1)/'ON Data'!$D$3),1)</f>
        <v>0</v>
      </c>
      <c r="AC6" s="198">
        <f xml:space="preserve">
TRUNC(IF($A$4&lt;=12,SUMIFS('ON Data'!AH:AH,'ON Data'!$D:$D,$A$4,'ON Data'!$E:$E,1),SUMIFS('ON Data'!AH:AH,'ON Data'!$E:$E,1)/'ON Data'!$D$3),1)</f>
        <v>0</v>
      </c>
      <c r="AD6" s="198">
        <f xml:space="preserve">
TRUNC(IF($A$4&lt;=12,SUMIFS('ON Data'!AI:AI,'ON Data'!$D:$D,$A$4,'ON Data'!$E:$E,1),SUMIFS('ON Data'!AI:AI,'ON Data'!$E:$E,1)/'ON Data'!$D$3),1)</f>
        <v>13.2</v>
      </c>
      <c r="AE6" s="198">
        <f xml:space="preserve">
TRUNC(IF($A$4&lt;=12,SUMIFS('ON Data'!AJ:AJ,'ON Data'!$D:$D,$A$4,'ON Data'!$E:$E,1),SUMIFS('ON Data'!AJ:AJ,'ON Data'!$E:$E,1)/'ON Data'!$D$3),1)</f>
        <v>0</v>
      </c>
      <c r="AF6" s="198">
        <f xml:space="preserve">
TRUNC(IF($A$4&lt;=12,SUMIFS('ON Data'!AK:AK,'ON Data'!$D:$D,$A$4,'ON Data'!$E:$E,1),SUMIFS('ON Data'!AK:AK,'ON Data'!$E:$E,1)/'ON Data'!$D$3),1)</f>
        <v>0</v>
      </c>
      <c r="AG6" s="198">
        <f xml:space="preserve">
TRUNC(IF($A$4&lt;=12,SUMIFS('ON Data'!AL:AL,'ON Data'!$D:$D,$A$4,'ON Data'!$E:$E,1),SUMIFS('ON Data'!AL:AL,'ON Data'!$E:$E,1)/'ON Data'!$D$3),1)</f>
        <v>0</v>
      </c>
      <c r="AH6" s="404">
        <f xml:space="preserve">
TRUNC(IF($A$4&lt;=12,SUMIFS('ON Data'!AN:AN,'ON Data'!$D:$D,$A$4,'ON Data'!$E:$E,1),SUMIFS('ON Data'!AN:AN,'ON Data'!$E:$E,1)/'ON Data'!$D$3),1)</f>
        <v>0</v>
      </c>
      <c r="AI6" s="417"/>
    </row>
    <row r="7" spans="1:35" ht="15" hidden="1" outlineLevel="1" thickBot="1" x14ac:dyDescent="0.35">
      <c r="A7" s="158" t="s">
        <v>39</v>
      </c>
      <c r="B7" s="196"/>
      <c r="C7" s="199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404"/>
      <c r="AI7" s="417"/>
    </row>
    <row r="8" spans="1:35" ht="15" hidden="1" outlineLevel="1" thickBot="1" x14ac:dyDescent="0.35">
      <c r="A8" s="158" t="s">
        <v>34</v>
      </c>
      <c r="B8" s="196"/>
      <c r="C8" s="199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404"/>
      <c r="AI8" s="417"/>
    </row>
    <row r="9" spans="1:35" ht="15" hidden="1" outlineLevel="1" thickBot="1" x14ac:dyDescent="0.35">
      <c r="A9" s="159" t="s">
        <v>29</v>
      </c>
      <c r="B9" s="200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405"/>
      <c r="AI9" s="417"/>
    </row>
    <row r="10" spans="1:35" x14ac:dyDescent="0.3">
      <c r="A10" s="160" t="s">
        <v>105</v>
      </c>
      <c r="B10" s="175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406"/>
      <c r="AI10" s="417"/>
    </row>
    <row r="11" spans="1:35" x14ac:dyDescent="0.3">
      <c r="A11" s="161" t="s">
        <v>106</v>
      </c>
      <c r="B11" s="178">
        <f xml:space="preserve">
IF($A$4&lt;=12,SUMIFS('ON Data'!F:F,'ON Data'!$D:$D,$A$4,'ON Data'!$E:$E,2),SUMIFS('ON Data'!F:F,'ON Data'!$E:$E,2))</f>
        <v>81212.83</v>
      </c>
      <c r="C11" s="179">
        <f xml:space="preserve">
IF($A$4&lt;=12,SUMIFS('ON Data'!G:G,'ON Data'!$D:$D,$A$4,'ON Data'!$E:$E,2),SUMIFS('ON Data'!G:G,'ON Data'!$E:$E,2))</f>
        <v>0</v>
      </c>
      <c r="D11" s="180">
        <f xml:space="preserve">
IF($A$4&lt;=12,SUMIFS('ON Data'!H:H,'ON Data'!$D:$D,$A$4,'ON Data'!$E:$E,2),SUMIFS('ON Data'!H:H,'ON Data'!$E:$E,2))</f>
        <v>303.20000000000005</v>
      </c>
      <c r="E11" s="180">
        <f xml:space="preserve">
IF($A$4&lt;=12,SUMIFS('ON Data'!I:I,'ON Data'!$D:$D,$A$4,'ON Data'!$E:$E,2),SUMIFS('ON Data'!I:I,'ON Data'!$E:$E,2))</f>
        <v>0</v>
      </c>
      <c r="F11" s="180">
        <f xml:space="preserve">
IF($A$4&lt;=12,SUMIFS('ON Data'!K:K,'ON Data'!$D:$D,$A$4,'ON Data'!$E:$E,2),SUMIFS('ON Data'!K:K,'ON Data'!$E:$E,2))</f>
        <v>61513.38</v>
      </c>
      <c r="G11" s="180">
        <f xml:space="preserve">
IF($A$4&lt;=12,SUMIFS('ON Data'!L:L,'ON Data'!$D:$D,$A$4,'ON Data'!$E:$E,2),SUMIFS('ON Data'!L:L,'ON Data'!$E:$E,2))</f>
        <v>0</v>
      </c>
      <c r="H11" s="180">
        <f xml:space="preserve">
IF($A$4&lt;=12,SUMIFS('ON Data'!M:M,'ON Data'!$D:$D,$A$4,'ON Data'!$E:$E,2),SUMIFS('ON Data'!M:M,'ON Data'!$E:$E,2))</f>
        <v>0</v>
      </c>
      <c r="I11" s="180">
        <f xml:space="preserve">
IF($A$4&lt;=12,SUMIFS('ON Data'!N:N,'ON Data'!$D:$D,$A$4,'ON Data'!$E:$E,2),SUMIFS('ON Data'!N:N,'ON Data'!$E:$E,2))</f>
        <v>0</v>
      </c>
      <c r="J11" s="180">
        <f xml:space="preserve">
IF($A$4&lt;=12,SUMIFS('ON Data'!O:O,'ON Data'!$D:$D,$A$4,'ON Data'!$E:$E,2),SUMIFS('ON Data'!O:O,'ON Data'!$E:$E,2))</f>
        <v>0</v>
      </c>
      <c r="K11" s="180">
        <f xml:space="preserve">
IF($A$4&lt;=12,SUMIFS('ON Data'!P:P,'ON Data'!$D:$D,$A$4,'ON Data'!$E:$E,2),SUMIFS('ON Data'!P:P,'ON Data'!$E:$E,2))</f>
        <v>0</v>
      </c>
      <c r="L11" s="180">
        <f xml:space="preserve">
IF($A$4&lt;=12,SUMIFS('ON Data'!Q:Q,'ON Data'!$D:$D,$A$4,'ON Data'!$E:$E,2),SUMIFS('ON Data'!Q:Q,'ON Data'!$E:$E,2))</f>
        <v>0</v>
      </c>
      <c r="M11" s="180">
        <f xml:space="preserve">
IF($A$4&lt;=12,SUMIFS('ON Data'!R:R,'ON Data'!$D:$D,$A$4,'ON Data'!$E:$E,2),SUMIFS('ON Data'!R:R,'ON Data'!$E:$E,2))</f>
        <v>0</v>
      </c>
      <c r="N11" s="180">
        <f xml:space="preserve">
IF($A$4&lt;=12,SUMIFS('ON Data'!S:S,'ON Data'!$D:$D,$A$4,'ON Data'!$E:$E,2),SUMIFS('ON Data'!S:S,'ON Data'!$E:$E,2))</f>
        <v>0</v>
      </c>
      <c r="O11" s="180">
        <f xml:space="preserve">
IF($A$4&lt;=12,SUMIFS('ON Data'!T:T,'ON Data'!$D:$D,$A$4,'ON Data'!$E:$E,2),SUMIFS('ON Data'!T:T,'ON Data'!$E:$E,2))</f>
        <v>0</v>
      </c>
      <c r="P11" s="180">
        <f xml:space="preserve">
IF($A$4&lt;=12,SUMIFS('ON Data'!U:U,'ON Data'!$D:$D,$A$4,'ON Data'!$E:$E,2),SUMIFS('ON Data'!U:U,'ON Data'!$E:$E,2))</f>
        <v>0</v>
      </c>
      <c r="Q11" s="180">
        <f xml:space="preserve">
IF($A$4&lt;=12,SUMIFS('ON Data'!V:V,'ON Data'!$D:$D,$A$4,'ON Data'!$E:$E,2),SUMIFS('ON Data'!V:V,'ON Data'!$E:$E,2))</f>
        <v>0</v>
      </c>
      <c r="R11" s="180">
        <f xml:space="preserve">
IF($A$4&lt;=12,SUMIFS('ON Data'!W:W,'ON Data'!$D:$D,$A$4,'ON Data'!$E:$E,2),SUMIFS('ON Data'!W:W,'ON Data'!$E:$E,2))</f>
        <v>0</v>
      </c>
      <c r="S11" s="180">
        <f xml:space="preserve">
IF($A$4&lt;=12,SUMIFS('ON Data'!X:X,'ON Data'!$D:$D,$A$4,'ON Data'!$E:$E,2),SUMIFS('ON Data'!X:X,'ON Data'!$E:$E,2))</f>
        <v>0</v>
      </c>
      <c r="T11" s="180">
        <f xml:space="preserve">
IF($A$4&lt;=12,SUMIFS('ON Data'!Y:Y,'ON Data'!$D:$D,$A$4,'ON Data'!$E:$E,2),SUMIFS('ON Data'!Y:Y,'ON Data'!$E:$E,2))</f>
        <v>0</v>
      </c>
      <c r="U11" s="180">
        <f xml:space="preserve">
IF($A$4&lt;=12,SUMIFS('ON Data'!Z:Z,'ON Data'!$D:$D,$A$4,'ON Data'!$E:$E,2),SUMIFS('ON Data'!Z:Z,'ON Data'!$E:$E,2))</f>
        <v>0</v>
      </c>
      <c r="V11" s="180">
        <f xml:space="preserve">
IF($A$4&lt;=12,SUMIFS('ON Data'!AA:AA,'ON Data'!$D:$D,$A$4,'ON Data'!$E:$E,2),SUMIFS('ON Data'!AA:AA,'ON Data'!$E:$E,2))</f>
        <v>0</v>
      </c>
      <c r="W11" s="180">
        <f xml:space="preserve">
IF($A$4&lt;=12,SUMIFS('ON Data'!AB:AB,'ON Data'!$D:$D,$A$4,'ON Data'!$E:$E,2),SUMIFS('ON Data'!AB:AB,'ON Data'!$E:$E,2))</f>
        <v>0</v>
      </c>
      <c r="X11" s="180">
        <f xml:space="preserve">
IF($A$4&lt;=12,SUMIFS('ON Data'!AC:AC,'ON Data'!$D:$D,$A$4,'ON Data'!$E:$E,2),SUMIFS('ON Data'!AC:AC,'ON Data'!$E:$E,2))</f>
        <v>0</v>
      </c>
      <c r="Y11" s="180">
        <f xml:space="preserve">
IF($A$4&lt;=12,SUMIFS('ON Data'!AD:AD,'ON Data'!$D:$D,$A$4,'ON Data'!$E:$E,2),SUMIFS('ON Data'!AD:AD,'ON Data'!$E:$E,2))</f>
        <v>0</v>
      </c>
      <c r="Z11" s="180">
        <f xml:space="preserve">
IF($A$4&lt;=12,SUMIFS('ON Data'!AE:AE,'ON Data'!$D:$D,$A$4,'ON Data'!$E:$E,2),SUMIFS('ON Data'!AE:AE,'ON Data'!$E:$E,2))</f>
        <v>0</v>
      </c>
      <c r="AA11" s="180">
        <f xml:space="preserve">
IF($A$4&lt;=12,SUMIFS('ON Data'!AF:AF,'ON Data'!$D:$D,$A$4,'ON Data'!$E:$E,2),SUMIFS('ON Data'!AF:AF,'ON Data'!$E:$E,2))</f>
        <v>0</v>
      </c>
      <c r="AB11" s="180">
        <f xml:space="preserve">
IF($A$4&lt;=12,SUMIFS('ON Data'!AG:AG,'ON Data'!$D:$D,$A$4,'ON Data'!$E:$E,2),SUMIFS('ON Data'!AG:AG,'ON Data'!$E:$E,2))</f>
        <v>0</v>
      </c>
      <c r="AC11" s="180">
        <f xml:space="preserve">
IF($A$4&lt;=12,SUMIFS('ON Data'!AH:AH,'ON Data'!$D:$D,$A$4,'ON Data'!$E:$E,2),SUMIFS('ON Data'!AH:AH,'ON Data'!$E:$E,2))</f>
        <v>0</v>
      </c>
      <c r="AD11" s="180">
        <f xml:space="preserve">
IF($A$4&lt;=12,SUMIFS('ON Data'!AI:AI,'ON Data'!$D:$D,$A$4,'ON Data'!$E:$E,2),SUMIFS('ON Data'!AI:AI,'ON Data'!$E:$E,2))</f>
        <v>19396.25</v>
      </c>
      <c r="AE11" s="180">
        <f xml:space="preserve">
IF($A$4&lt;=12,SUMIFS('ON Data'!AJ:AJ,'ON Data'!$D:$D,$A$4,'ON Data'!$E:$E,2),SUMIFS('ON Data'!AJ:AJ,'ON Data'!$E:$E,2))</f>
        <v>0</v>
      </c>
      <c r="AF11" s="180">
        <f xml:space="preserve">
IF($A$4&lt;=12,SUMIFS('ON Data'!AK:AK,'ON Data'!$D:$D,$A$4,'ON Data'!$E:$E,2),SUMIFS('ON Data'!AK:AK,'ON Data'!$E:$E,2))</f>
        <v>0</v>
      </c>
      <c r="AG11" s="180">
        <f xml:space="preserve">
IF($A$4&lt;=12,SUMIFS('ON Data'!AL:AL,'ON Data'!$D:$D,$A$4,'ON Data'!$E:$E,2),SUMIFS('ON Data'!AL:AL,'ON Data'!$E:$E,2))</f>
        <v>0</v>
      </c>
      <c r="AH11" s="407">
        <f xml:space="preserve">
IF($A$4&lt;=12,SUMIFS('ON Data'!AN:AN,'ON Data'!$D:$D,$A$4,'ON Data'!$E:$E,2),SUMIFS('ON Data'!AN:AN,'ON Data'!$E:$E,2))</f>
        <v>0</v>
      </c>
      <c r="AI11" s="417"/>
    </row>
    <row r="12" spans="1:35" x14ac:dyDescent="0.3">
      <c r="A12" s="161" t="s">
        <v>107</v>
      </c>
      <c r="B12" s="178">
        <f xml:space="preserve">
IF($A$4&lt;=12,SUMIFS('ON Data'!F:F,'ON Data'!$D:$D,$A$4,'ON Data'!$E:$E,3),SUMIFS('ON Data'!F:F,'ON Data'!$E:$E,3))</f>
        <v>271.60999999999996</v>
      </c>
      <c r="C12" s="179">
        <f xml:space="preserve">
IF($A$4&lt;=12,SUMIFS('ON Data'!G:G,'ON Data'!$D:$D,$A$4,'ON Data'!$E:$E,3),SUMIFS('ON Data'!G:G,'ON Data'!$E:$E,3))</f>
        <v>0</v>
      </c>
      <c r="D12" s="180">
        <f xml:space="preserve">
IF($A$4&lt;=12,SUMIFS('ON Data'!H:H,'ON Data'!$D:$D,$A$4,'ON Data'!$E:$E,3),SUMIFS('ON Data'!H:H,'ON Data'!$E:$E,3))</f>
        <v>17.600000000000001</v>
      </c>
      <c r="E12" s="180">
        <f xml:space="preserve">
IF($A$4&lt;=12,SUMIFS('ON Data'!I:I,'ON Data'!$D:$D,$A$4,'ON Data'!$E:$E,3),SUMIFS('ON Data'!I:I,'ON Data'!$E:$E,3))</f>
        <v>0</v>
      </c>
      <c r="F12" s="180">
        <f xml:space="preserve">
IF($A$4&lt;=12,SUMIFS('ON Data'!K:K,'ON Data'!$D:$D,$A$4,'ON Data'!$E:$E,3),SUMIFS('ON Data'!K:K,'ON Data'!$E:$E,3))</f>
        <v>254.01</v>
      </c>
      <c r="G12" s="180">
        <f xml:space="preserve">
IF($A$4&lt;=12,SUMIFS('ON Data'!L:L,'ON Data'!$D:$D,$A$4,'ON Data'!$E:$E,3),SUMIFS('ON Data'!L:L,'ON Data'!$E:$E,3))</f>
        <v>0</v>
      </c>
      <c r="H12" s="180">
        <f xml:space="preserve">
IF($A$4&lt;=12,SUMIFS('ON Data'!M:M,'ON Data'!$D:$D,$A$4,'ON Data'!$E:$E,3),SUMIFS('ON Data'!M:M,'ON Data'!$E:$E,3))</f>
        <v>0</v>
      </c>
      <c r="I12" s="180">
        <f xml:space="preserve">
IF($A$4&lt;=12,SUMIFS('ON Data'!N:N,'ON Data'!$D:$D,$A$4,'ON Data'!$E:$E,3),SUMIFS('ON Data'!N:N,'ON Data'!$E:$E,3))</f>
        <v>0</v>
      </c>
      <c r="J12" s="180">
        <f xml:space="preserve">
IF($A$4&lt;=12,SUMIFS('ON Data'!O:O,'ON Data'!$D:$D,$A$4,'ON Data'!$E:$E,3),SUMIFS('ON Data'!O:O,'ON Data'!$E:$E,3))</f>
        <v>0</v>
      </c>
      <c r="K12" s="180">
        <f xml:space="preserve">
IF($A$4&lt;=12,SUMIFS('ON Data'!P:P,'ON Data'!$D:$D,$A$4,'ON Data'!$E:$E,3),SUMIFS('ON Data'!P:P,'ON Data'!$E:$E,3))</f>
        <v>0</v>
      </c>
      <c r="L12" s="180">
        <f xml:space="preserve">
IF($A$4&lt;=12,SUMIFS('ON Data'!Q:Q,'ON Data'!$D:$D,$A$4,'ON Data'!$E:$E,3),SUMIFS('ON Data'!Q:Q,'ON Data'!$E:$E,3))</f>
        <v>0</v>
      </c>
      <c r="M12" s="180">
        <f xml:space="preserve">
IF($A$4&lt;=12,SUMIFS('ON Data'!R:R,'ON Data'!$D:$D,$A$4,'ON Data'!$E:$E,3),SUMIFS('ON Data'!R:R,'ON Data'!$E:$E,3))</f>
        <v>0</v>
      </c>
      <c r="N12" s="180">
        <f xml:space="preserve">
IF($A$4&lt;=12,SUMIFS('ON Data'!S:S,'ON Data'!$D:$D,$A$4,'ON Data'!$E:$E,3),SUMIFS('ON Data'!S:S,'ON Data'!$E:$E,3))</f>
        <v>0</v>
      </c>
      <c r="O12" s="180">
        <f xml:space="preserve">
IF($A$4&lt;=12,SUMIFS('ON Data'!T:T,'ON Data'!$D:$D,$A$4,'ON Data'!$E:$E,3),SUMIFS('ON Data'!T:T,'ON Data'!$E:$E,3))</f>
        <v>0</v>
      </c>
      <c r="P12" s="180">
        <f xml:space="preserve">
IF($A$4&lt;=12,SUMIFS('ON Data'!U:U,'ON Data'!$D:$D,$A$4,'ON Data'!$E:$E,3),SUMIFS('ON Data'!U:U,'ON Data'!$E:$E,3))</f>
        <v>0</v>
      </c>
      <c r="Q12" s="180">
        <f xml:space="preserve">
IF($A$4&lt;=12,SUMIFS('ON Data'!V:V,'ON Data'!$D:$D,$A$4,'ON Data'!$E:$E,3),SUMIFS('ON Data'!V:V,'ON Data'!$E:$E,3))</f>
        <v>0</v>
      </c>
      <c r="R12" s="180">
        <f xml:space="preserve">
IF($A$4&lt;=12,SUMIFS('ON Data'!W:W,'ON Data'!$D:$D,$A$4,'ON Data'!$E:$E,3),SUMIFS('ON Data'!W:W,'ON Data'!$E:$E,3))</f>
        <v>0</v>
      </c>
      <c r="S12" s="180">
        <f xml:space="preserve">
IF($A$4&lt;=12,SUMIFS('ON Data'!X:X,'ON Data'!$D:$D,$A$4,'ON Data'!$E:$E,3),SUMIFS('ON Data'!X:X,'ON Data'!$E:$E,3))</f>
        <v>0</v>
      </c>
      <c r="T12" s="180">
        <f xml:space="preserve">
IF($A$4&lt;=12,SUMIFS('ON Data'!Y:Y,'ON Data'!$D:$D,$A$4,'ON Data'!$E:$E,3),SUMIFS('ON Data'!Y:Y,'ON Data'!$E:$E,3))</f>
        <v>0</v>
      </c>
      <c r="U12" s="180">
        <f xml:space="preserve">
IF($A$4&lt;=12,SUMIFS('ON Data'!Z:Z,'ON Data'!$D:$D,$A$4,'ON Data'!$E:$E,3),SUMIFS('ON Data'!Z:Z,'ON Data'!$E:$E,3))</f>
        <v>0</v>
      </c>
      <c r="V12" s="180">
        <f xml:space="preserve">
IF($A$4&lt;=12,SUMIFS('ON Data'!AA:AA,'ON Data'!$D:$D,$A$4,'ON Data'!$E:$E,3),SUMIFS('ON Data'!AA:AA,'ON Data'!$E:$E,3))</f>
        <v>0</v>
      </c>
      <c r="W12" s="180">
        <f xml:space="preserve">
IF($A$4&lt;=12,SUMIFS('ON Data'!AB:AB,'ON Data'!$D:$D,$A$4,'ON Data'!$E:$E,3),SUMIFS('ON Data'!AB:AB,'ON Data'!$E:$E,3))</f>
        <v>0</v>
      </c>
      <c r="X12" s="180">
        <f xml:space="preserve">
IF($A$4&lt;=12,SUMIFS('ON Data'!AC:AC,'ON Data'!$D:$D,$A$4,'ON Data'!$E:$E,3),SUMIFS('ON Data'!AC:AC,'ON Data'!$E:$E,3))</f>
        <v>0</v>
      </c>
      <c r="Y12" s="180">
        <f xml:space="preserve">
IF($A$4&lt;=12,SUMIFS('ON Data'!AD:AD,'ON Data'!$D:$D,$A$4,'ON Data'!$E:$E,3),SUMIFS('ON Data'!AD:AD,'ON Data'!$E:$E,3))</f>
        <v>0</v>
      </c>
      <c r="Z12" s="180">
        <f xml:space="preserve">
IF($A$4&lt;=12,SUMIFS('ON Data'!AE:AE,'ON Data'!$D:$D,$A$4,'ON Data'!$E:$E,3),SUMIFS('ON Data'!AE:AE,'ON Data'!$E:$E,3))</f>
        <v>0</v>
      </c>
      <c r="AA12" s="180">
        <f xml:space="preserve">
IF($A$4&lt;=12,SUMIFS('ON Data'!AF:AF,'ON Data'!$D:$D,$A$4,'ON Data'!$E:$E,3),SUMIFS('ON Data'!AF:AF,'ON Data'!$E:$E,3))</f>
        <v>0</v>
      </c>
      <c r="AB12" s="180">
        <f xml:space="preserve">
IF($A$4&lt;=12,SUMIFS('ON Data'!AG:AG,'ON Data'!$D:$D,$A$4,'ON Data'!$E:$E,3),SUMIFS('ON Data'!AG:AG,'ON Data'!$E:$E,3))</f>
        <v>0</v>
      </c>
      <c r="AC12" s="180">
        <f xml:space="preserve">
IF($A$4&lt;=12,SUMIFS('ON Data'!AH:AH,'ON Data'!$D:$D,$A$4,'ON Data'!$E:$E,3),SUMIFS('ON Data'!AH:AH,'ON Data'!$E:$E,3))</f>
        <v>0</v>
      </c>
      <c r="AD12" s="180">
        <f xml:space="preserve">
IF($A$4&lt;=12,SUMIFS('ON Data'!AI:AI,'ON Data'!$D:$D,$A$4,'ON Data'!$E:$E,3),SUMIFS('ON Data'!AI:AI,'ON Data'!$E:$E,3))</f>
        <v>0</v>
      </c>
      <c r="AE12" s="180">
        <f xml:space="preserve">
IF($A$4&lt;=12,SUMIFS('ON Data'!AJ:AJ,'ON Data'!$D:$D,$A$4,'ON Data'!$E:$E,3),SUMIFS('ON Data'!AJ:AJ,'ON Data'!$E:$E,3))</f>
        <v>0</v>
      </c>
      <c r="AF12" s="180">
        <f xml:space="preserve">
IF($A$4&lt;=12,SUMIFS('ON Data'!AK:AK,'ON Data'!$D:$D,$A$4,'ON Data'!$E:$E,3),SUMIFS('ON Data'!AK:AK,'ON Data'!$E:$E,3))</f>
        <v>0</v>
      </c>
      <c r="AG12" s="180">
        <f xml:space="preserve">
IF($A$4&lt;=12,SUMIFS('ON Data'!AL:AL,'ON Data'!$D:$D,$A$4,'ON Data'!$E:$E,3),SUMIFS('ON Data'!AL:AL,'ON Data'!$E:$E,3))</f>
        <v>0</v>
      </c>
      <c r="AH12" s="407">
        <f xml:space="preserve">
IF($A$4&lt;=12,SUMIFS('ON Data'!AN:AN,'ON Data'!$D:$D,$A$4,'ON Data'!$E:$E,3),SUMIFS('ON Data'!AN:AN,'ON Data'!$E:$E,3))</f>
        <v>0</v>
      </c>
      <c r="AI12" s="417"/>
    </row>
    <row r="13" spans="1:35" x14ac:dyDescent="0.3">
      <c r="A13" s="161" t="s">
        <v>114</v>
      </c>
      <c r="B13" s="178">
        <f xml:space="preserve">
IF($A$4&lt;=12,SUMIFS('ON Data'!F:F,'ON Data'!$D:$D,$A$4,'ON Data'!$E:$E,4),SUMIFS('ON Data'!F:F,'ON Data'!$E:$E,4))</f>
        <v>5912.75</v>
      </c>
      <c r="C13" s="179">
        <f xml:space="preserve">
IF($A$4&lt;=12,SUMIFS('ON Data'!G:G,'ON Data'!$D:$D,$A$4,'ON Data'!$E:$E,4),SUMIFS('ON Data'!G:G,'ON Data'!$E:$E,4))</f>
        <v>0</v>
      </c>
      <c r="D13" s="180">
        <f xml:space="preserve">
IF($A$4&lt;=12,SUMIFS('ON Data'!H:H,'ON Data'!$D:$D,$A$4,'ON Data'!$E:$E,4),SUMIFS('ON Data'!H:H,'ON Data'!$E:$E,4))</f>
        <v>0</v>
      </c>
      <c r="E13" s="180">
        <f xml:space="preserve">
IF($A$4&lt;=12,SUMIFS('ON Data'!I:I,'ON Data'!$D:$D,$A$4,'ON Data'!$E:$E,4),SUMIFS('ON Data'!I:I,'ON Data'!$E:$E,4))</f>
        <v>0</v>
      </c>
      <c r="F13" s="180">
        <f xml:space="preserve">
IF($A$4&lt;=12,SUMIFS('ON Data'!K:K,'ON Data'!$D:$D,$A$4,'ON Data'!$E:$E,4),SUMIFS('ON Data'!K:K,'ON Data'!$E:$E,4))</f>
        <v>3620.75</v>
      </c>
      <c r="G13" s="180">
        <f xml:space="preserve">
IF($A$4&lt;=12,SUMIFS('ON Data'!L:L,'ON Data'!$D:$D,$A$4,'ON Data'!$E:$E,4),SUMIFS('ON Data'!L:L,'ON Data'!$E:$E,4))</f>
        <v>0</v>
      </c>
      <c r="H13" s="180">
        <f xml:space="preserve">
IF($A$4&lt;=12,SUMIFS('ON Data'!M:M,'ON Data'!$D:$D,$A$4,'ON Data'!$E:$E,4),SUMIFS('ON Data'!M:M,'ON Data'!$E:$E,4))</f>
        <v>0</v>
      </c>
      <c r="I13" s="180">
        <f xml:space="preserve">
IF($A$4&lt;=12,SUMIFS('ON Data'!N:N,'ON Data'!$D:$D,$A$4,'ON Data'!$E:$E,4),SUMIFS('ON Data'!N:N,'ON Data'!$E:$E,4))</f>
        <v>0</v>
      </c>
      <c r="J13" s="180">
        <f xml:space="preserve">
IF($A$4&lt;=12,SUMIFS('ON Data'!O:O,'ON Data'!$D:$D,$A$4,'ON Data'!$E:$E,4),SUMIFS('ON Data'!O:O,'ON Data'!$E:$E,4))</f>
        <v>0</v>
      </c>
      <c r="K13" s="180">
        <f xml:space="preserve">
IF($A$4&lt;=12,SUMIFS('ON Data'!P:P,'ON Data'!$D:$D,$A$4,'ON Data'!$E:$E,4),SUMIFS('ON Data'!P:P,'ON Data'!$E:$E,4))</f>
        <v>0</v>
      </c>
      <c r="L13" s="180">
        <f xml:space="preserve">
IF($A$4&lt;=12,SUMIFS('ON Data'!Q:Q,'ON Data'!$D:$D,$A$4,'ON Data'!$E:$E,4),SUMIFS('ON Data'!Q:Q,'ON Data'!$E:$E,4))</f>
        <v>0</v>
      </c>
      <c r="M13" s="180">
        <f xml:space="preserve">
IF($A$4&lt;=12,SUMIFS('ON Data'!R:R,'ON Data'!$D:$D,$A$4,'ON Data'!$E:$E,4),SUMIFS('ON Data'!R:R,'ON Data'!$E:$E,4))</f>
        <v>0</v>
      </c>
      <c r="N13" s="180">
        <f xml:space="preserve">
IF($A$4&lt;=12,SUMIFS('ON Data'!S:S,'ON Data'!$D:$D,$A$4,'ON Data'!$E:$E,4),SUMIFS('ON Data'!S:S,'ON Data'!$E:$E,4))</f>
        <v>0</v>
      </c>
      <c r="O13" s="180">
        <f xml:space="preserve">
IF($A$4&lt;=12,SUMIFS('ON Data'!T:T,'ON Data'!$D:$D,$A$4,'ON Data'!$E:$E,4),SUMIFS('ON Data'!T:T,'ON Data'!$E:$E,4))</f>
        <v>0</v>
      </c>
      <c r="P13" s="180">
        <f xml:space="preserve">
IF($A$4&lt;=12,SUMIFS('ON Data'!U:U,'ON Data'!$D:$D,$A$4,'ON Data'!$E:$E,4),SUMIFS('ON Data'!U:U,'ON Data'!$E:$E,4))</f>
        <v>0</v>
      </c>
      <c r="Q13" s="180">
        <f xml:space="preserve">
IF($A$4&lt;=12,SUMIFS('ON Data'!V:V,'ON Data'!$D:$D,$A$4,'ON Data'!$E:$E,4),SUMIFS('ON Data'!V:V,'ON Data'!$E:$E,4))</f>
        <v>0</v>
      </c>
      <c r="R13" s="180">
        <f xml:space="preserve">
IF($A$4&lt;=12,SUMIFS('ON Data'!W:W,'ON Data'!$D:$D,$A$4,'ON Data'!$E:$E,4),SUMIFS('ON Data'!W:W,'ON Data'!$E:$E,4))</f>
        <v>0</v>
      </c>
      <c r="S13" s="180">
        <f xml:space="preserve">
IF($A$4&lt;=12,SUMIFS('ON Data'!X:X,'ON Data'!$D:$D,$A$4,'ON Data'!$E:$E,4),SUMIFS('ON Data'!X:X,'ON Data'!$E:$E,4))</f>
        <v>0</v>
      </c>
      <c r="T13" s="180">
        <f xml:space="preserve">
IF($A$4&lt;=12,SUMIFS('ON Data'!Y:Y,'ON Data'!$D:$D,$A$4,'ON Data'!$E:$E,4),SUMIFS('ON Data'!Y:Y,'ON Data'!$E:$E,4))</f>
        <v>0</v>
      </c>
      <c r="U13" s="180">
        <f xml:space="preserve">
IF($A$4&lt;=12,SUMIFS('ON Data'!Z:Z,'ON Data'!$D:$D,$A$4,'ON Data'!$E:$E,4),SUMIFS('ON Data'!Z:Z,'ON Data'!$E:$E,4))</f>
        <v>0</v>
      </c>
      <c r="V13" s="180">
        <f xml:space="preserve">
IF($A$4&lt;=12,SUMIFS('ON Data'!AA:AA,'ON Data'!$D:$D,$A$4,'ON Data'!$E:$E,4),SUMIFS('ON Data'!AA:AA,'ON Data'!$E:$E,4))</f>
        <v>0</v>
      </c>
      <c r="W13" s="180">
        <f xml:space="preserve">
IF($A$4&lt;=12,SUMIFS('ON Data'!AB:AB,'ON Data'!$D:$D,$A$4,'ON Data'!$E:$E,4),SUMIFS('ON Data'!AB:AB,'ON Data'!$E:$E,4))</f>
        <v>0</v>
      </c>
      <c r="X13" s="180">
        <f xml:space="preserve">
IF($A$4&lt;=12,SUMIFS('ON Data'!AC:AC,'ON Data'!$D:$D,$A$4,'ON Data'!$E:$E,4),SUMIFS('ON Data'!AC:AC,'ON Data'!$E:$E,4))</f>
        <v>0</v>
      </c>
      <c r="Y13" s="180">
        <f xml:space="preserve">
IF($A$4&lt;=12,SUMIFS('ON Data'!AD:AD,'ON Data'!$D:$D,$A$4,'ON Data'!$E:$E,4),SUMIFS('ON Data'!AD:AD,'ON Data'!$E:$E,4))</f>
        <v>0</v>
      </c>
      <c r="Z13" s="180">
        <f xml:space="preserve">
IF($A$4&lt;=12,SUMIFS('ON Data'!AE:AE,'ON Data'!$D:$D,$A$4,'ON Data'!$E:$E,4),SUMIFS('ON Data'!AE:AE,'ON Data'!$E:$E,4))</f>
        <v>0</v>
      </c>
      <c r="AA13" s="180">
        <f xml:space="preserve">
IF($A$4&lt;=12,SUMIFS('ON Data'!AF:AF,'ON Data'!$D:$D,$A$4,'ON Data'!$E:$E,4),SUMIFS('ON Data'!AF:AF,'ON Data'!$E:$E,4))</f>
        <v>0</v>
      </c>
      <c r="AB13" s="180">
        <f xml:space="preserve">
IF($A$4&lt;=12,SUMIFS('ON Data'!AG:AG,'ON Data'!$D:$D,$A$4,'ON Data'!$E:$E,4),SUMIFS('ON Data'!AG:AG,'ON Data'!$E:$E,4))</f>
        <v>0</v>
      </c>
      <c r="AC13" s="180">
        <f xml:space="preserve">
IF($A$4&lt;=12,SUMIFS('ON Data'!AH:AH,'ON Data'!$D:$D,$A$4,'ON Data'!$E:$E,4),SUMIFS('ON Data'!AH:AH,'ON Data'!$E:$E,4))</f>
        <v>0</v>
      </c>
      <c r="AD13" s="180">
        <f xml:space="preserve">
IF($A$4&lt;=12,SUMIFS('ON Data'!AI:AI,'ON Data'!$D:$D,$A$4,'ON Data'!$E:$E,4),SUMIFS('ON Data'!AI:AI,'ON Data'!$E:$E,4))</f>
        <v>2292</v>
      </c>
      <c r="AE13" s="180">
        <f xml:space="preserve">
IF($A$4&lt;=12,SUMIFS('ON Data'!AJ:AJ,'ON Data'!$D:$D,$A$4,'ON Data'!$E:$E,4),SUMIFS('ON Data'!AJ:AJ,'ON Data'!$E:$E,4))</f>
        <v>0</v>
      </c>
      <c r="AF13" s="180">
        <f xml:space="preserve">
IF($A$4&lt;=12,SUMIFS('ON Data'!AK:AK,'ON Data'!$D:$D,$A$4,'ON Data'!$E:$E,4),SUMIFS('ON Data'!AK:AK,'ON Data'!$E:$E,4))</f>
        <v>0</v>
      </c>
      <c r="AG13" s="180">
        <f xml:space="preserve">
IF($A$4&lt;=12,SUMIFS('ON Data'!AL:AL,'ON Data'!$D:$D,$A$4,'ON Data'!$E:$E,4),SUMIFS('ON Data'!AL:AL,'ON Data'!$E:$E,4))</f>
        <v>0</v>
      </c>
      <c r="AH13" s="407">
        <f xml:space="preserve">
IF($A$4&lt;=12,SUMIFS('ON Data'!AN:AN,'ON Data'!$D:$D,$A$4,'ON Data'!$E:$E,4),SUMIFS('ON Data'!AN:AN,'ON Data'!$E:$E,4))</f>
        <v>0</v>
      </c>
      <c r="AI13" s="417"/>
    </row>
    <row r="14" spans="1:35" ht="15" thickBot="1" x14ac:dyDescent="0.35">
      <c r="A14" s="162" t="s">
        <v>108</v>
      </c>
      <c r="B14" s="181">
        <f xml:space="preserve">
IF($A$4&lt;=12,SUMIFS('ON Data'!F:F,'ON Data'!$D:$D,$A$4,'ON Data'!$E:$E,5),SUMIFS('ON Data'!F:F,'ON Data'!$E:$E,5))</f>
        <v>0</v>
      </c>
      <c r="C14" s="182">
        <f xml:space="preserve">
IF($A$4&lt;=12,SUMIFS('ON Data'!G:G,'ON Data'!$D:$D,$A$4,'ON Data'!$E:$E,5),SUMIFS('ON Data'!G:G,'ON Data'!$E:$E,5))</f>
        <v>0</v>
      </c>
      <c r="D14" s="183">
        <f xml:space="preserve">
IF($A$4&lt;=12,SUMIFS('ON Data'!H:H,'ON Data'!$D:$D,$A$4,'ON Data'!$E:$E,5),SUMIFS('ON Data'!H:H,'ON Data'!$E:$E,5))</f>
        <v>0</v>
      </c>
      <c r="E14" s="183">
        <f xml:space="preserve">
IF($A$4&lt;=12,SUMIFS('ON Data'!I:I,'ON Data'!$D:$D,$A$4,'ON Data'!$E:$E,5),SUMIFS('ON Data'!I:I,'ON Data'!$E:$E,5))</f>
        <v>0</v>
      </c>
      <c r="F14" s="183">
        <f xml:space="preserve">
IF($A$4&lt;=12,SUMIFS('ON Data'!K:K,'ON Data'!$D:$D,$A$4,'ON Data'!$E:$E,5),SUMIFS('ON Data'!K:K,'ON Data'!$E:$E,5))</f>
        <v>0</v>
      </c>
      <c r="G14" s="183">
        <f xml:space="preserve">
IF($A$4&lt;=12,SUMIFS('ON Data'!L:L,'ON Data'!$D:$D,$A$4,'ON Data'!$E:$E,5),SUMIFS('ON Data'!L:L,'ON Data'!$E:$E,5))</f>
        <v>0</v>
      </c>
      <c r="H14" s="183">
        <f xml:space="preserve">
IF($A$4&lt;=12,SUMIFS('ON Data'!M:M,'ON Data'!$D:$D,$A$4,'ON Data'!$E:$E,5),SUMIFS('ON Data'!M:M,'ON Data'!$E:$E,5))</f>
        <v>0</v>
      </c>
      <c r="I14" s="183">
        <f xml:space="preserve">
IF($A$4&lt;=12,SUMIFS('ON Data'!N:N,'ON Data'!$D:$D,$A$4,'ON Data'!$E:$E,5),SUMIFS('ON Data'!N:N,'ON Data'!$E:$E,5))</f>
        <v>0</v>
      </c>
      <c r="J14" s="183">
        <f xml:space="preserve">
IF($A$4&lt;=12,SUMIFS('ON Data'!O:O,'ON Data'!$D:$D,$A$4,'ON Data'!$E:$E,5),SUMIFS('ON Data'!O:O,'ON Data'!$E:$E,5))</f>
        <v>0</v>
      </c>
      <c r="K14" s="183">
        <f xml:space="preserve">
IF($A$4&lt;=12,SUMIFS('ON Data'!P:P,'ON Data'!$D:$D,$A$4,'ON Data'!$E:$E,5),SUMIFS('ON Data'!P:P,'ON Data'!$E:$E,5))</f>
        <v>0</v>
      </c>
      <c r="L14" s="183">
        <f xml:space="preserve">
IF($A$4&lt;=12,SUMIFS('ON Data'!Q:Q,'ON Data'!$D:$D,$A$4,'ON Data'!$E:$E,5),SUMIFS('ON Data'!Q:Q,'ON Data'!$E:$E,5))</f>
        <v>0</v>
      </c>
      <c r="M14" s="183">
        <f xml:space="preserve">
IF($A$4&lt;=12,SUMIFS('ON Data'!R:R,'ON Data'!$D:$D,$A$4,'ON Data'!$E:$E,5),SUMIFS('ON Data'!R:R,'ON Data'!$E:$E,5))</f>
        <v>0</v>
      </c>
      <c r="N14" s="183">
        <f xml:space="preserve">
IF($A$4&lt;=12,SUMIFS('ON Data'!S:S,'ON Data'!$D:$D,$A$4,'ON Data'!$E:$E,5),SUMIFS('ON Data'!S:S,'ON Data'!$E:$E,5))</f>
        <v>0</v>
      </c>
      <c r="O14" s="183">
        <f xml:space="preserve">
IF($A$4&lt;=12,SUMIFS('ON Data'!T:T,'ON Data'!$D:$D,$A$4,'ON Data'!$E:$E,5),SUMIFS('ON Data'!T:T,'ON Data'!$E:$E,5))</f>
        <v>0</v>
      </c>
      <c r="P14" s="183">
        <f xml:space="preserve">
IF($A$4&lt;=12,SUMIFS('ON Data'!U:U,'ON Data'!$D:$D,$A$4,'ON Data'!$E:$E,5),SUMIFS('ON Data'!U:U,'ON Data'!$E:$E,5))</f>
        <v>0</v>
      </c>
      <c r="Q14" s="183">
        <f xml:space="preserve">
IF($A$4&lt;=12,SUMIFS('ON Data'!V:V,'ON Data'!$D:$D,$A$4,'ON Data'!$E:$E,5),SUMIFS('ON Data'!V:V,'ON Data'!$E:$E,5))</f>
        <v>0</v>
      </c>
      <c r="R14" s="183">
        <f xml:space="preserve">
IF($A$4&lt;=12,SUMIFS('ON Data'!W:W,'ON Data'!$D:$D,$A$4,'ON Data'!$E:$E,5),SUMIFS('ON Data'!W:W,'ON Data'!$E:$E,5))</f>
        <v>0</v>
      </c>
      <c r="S14" s="183">
        <f xml:space="preserve">
IF($A$4&lt;=12,SUMIFS('ON Data'!X:X,'ON Data'!$D:$D,$A$4,'ON Data'!$E:$E,5),SUMIFS('ON Data'!X:X,'ON Data'!$E:$E,5))</f>
        <v>0</v>
      </c>
      <c r="T14" s="183">
        <f xml:space="preserve">
IF($A$4&lt;=12,SUMIFS('ON Data'!Y:Y,'ON Data'!$D:$D,$A$4,'ON Data'!$E:$E,5),SUMIFS('ON Data'!Y:Y,'ON Data'!$E:$E,5))</f>
        <v>0</v>
      </c>
      <c r="U14" s="183">
        <f xml:space="preserve">
IF($A$4&lt;=12,SUMIFS('ON Data'!Z:Z,'ON Data'!$D:$D,$A$4,'ON Data'!$E:$E,5),SUMIFS('ON Data'!Z:Z,'ON Data'!$E:$E,5))</f>
        <v>0</v>
      </c>
      <c r="V14" s="183">
        <f xml:space="preserve">
IF($A$4&lt;=12,SUMIFS('ON Data'!AA:AA,'ON Data'!$D:$D,$A$4,'ON Data'!$E:$E,5),SUMIFS('ON Data'!AA:AA,'ON Data'!$E:$E,5))</f>
        <v>0</v>
      </c>
      <c r="W14" s="183">
        <f xml:space="preserve">
IF($A$4&lt;=12,SUMIFS('ON Data'!AB:AB,'ON Data'!$D:$D,$A$4,'ON Data'!$E:$E,5),SUMIFS('ON Data'!AB:AB,'ON Data'!$E:$E,5))</f>
        <v>0</v>
      </c>
      <c r="X14" s="183">
        <f xml:space="preserve">
IF($A$4&lt;=12,SUMIFS('ON Data'!AC:AC,'ON Data'!$D:$D,$A$4,'ON Data'!$E:$E,5),SUMIFS('ON Data'!AC:AC,'ON Data'!$E:$E,5))</f>
        <v>0</v>
      </c>
      <c r="Y14" s="183">
        <f xml:space="preserve">
IF($A$4&lt;=12,SUMIFS('ON Data'!AD:AD,'ON Data'!$D:$D,$A$4,'ON Data'!$E:$E,5),SUMIFS('ON Data'!AD:AD,'ON Data'!$E:$E,5))</f>
        <v>0</v>
      </c>
      <c r="Z14" s="183">
        <f xml:space="preserve">
IF($A$4&lt;=12,SUMIFS('ON Data'!AE:AE,'ON Data'!$D:$D,$A$4,'ON Data'!$E:$E,5),SUMIFS('ON Data'!AE:AE,'ON Data'!$E:$E,5))</f>
        <v>0</v>
      </c>
      <c r="AA14" s="183">
        <f xml:space="preserve">
IF($A$4&lt;=12,SUMIFS('ON Data'!AF:AF,'ON Data'!$D:$D,$A$4,'ON Data'!$E:$E,5),SUMIFS('ON Data'!AF:AF,'ON Data'!$E:$E,5))</f>
        <v>0</v>
      </c>
      <c r="AB14" s="183">
        <f xml:space="preserve">
IF($A$4&lt;=12,SUMIFS('ON Data'!AG:AG,'ON Data'!$D:$D,$A$4,'ON Data'!$E:$E,5),SUMIFS('ON Data'!AG:AG,'ON Data'!$E:$E,5))</f>
        <v>0</v>
      </c>
      <c r="AC14" s="183">
        <f xml:space="preserve">
IF($A$4&lt;=12,SUMIFS('ON Data'!AH:AH,'ON Data'!$D:$D,$A$4,'ON Data'!$E:$E,5),SUMIFS('ON Data'!AH:AH,'ON Data'!$E:$E,5))</f>
        <v>0</v>
      </c>
      <c r="AD14" s="183">
        <f xml:space="preserve">
IF($A$4&lt;=12,SUMIFS('ON Data'!AI:AI,'ON Data'!$D:$D,$A$4,'ON Data'!$E:$E,5),SUMIFS('ON Data'!AI:AI,'ON Data'!$E:$E,5))</f>
        <v>0</v>
      </c>
      <c r="AE14" s="183">
        <f xml:space="preserve">
IF($A$4&lt;=12,SUMIFS('ON Data'!AJ:AJ,'ON Data'!$D:$D,$A$4,'ON Data'!$E:$E,5),SUMIFS('ON Data'!AJ:AJ,'ON Data'!$E:$E,5))</f>
        <v>0</v>
      </c>
      <c r="AF14" s="183">
        <f xml:space="preserve">
IF($A$4&lt;=12,SUMIFS('ON Data'!AK:AK,'ON Data'!$D:$D,$A$4,'ON Data'!$E:$E,5),SUMIFS('ON Data'!AK:AK,'ON Data'!$E:$E,5))</f>
        <v>0</v>
      </c>
      <c r="AG14" s="183">
        <f xml:space="preserve">
IF($A$4&lt;=12,SUMIFS('ON Data'!AL:AL,'ON Data'!$D:$D,$A$4,'ON Data'!$E:$E,5),SUMIFS('ON Data'!AL:AL,'ON Data'!$E:$E,5))</f>
        <v>0</v>
      </c>
      <c r="AH14" s="408">
        <f xml:space="preserve">
IF($A$4&lt;=12,SUMIFS('ON Data'!AN:AN,'ON Data'!$D:$D,$A$4,'ON Data'!$E:$E,5),SUMIFS('ON Data'!AN:AN,'ON Data'!$E:$E,5))</f>
        <v>0</v>
      </c>
      <c r="AI14" s="417"/>
    </row>
    <row r="15" spans="1:35" x14ac:dyDescent="0.3">
      <c r="A15" s="103" t="s">
        <v>118</v>
      </c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409"/>
      <c r="AI15" s="417"/>
    </row>
    <row r="16" spans="1:35" x14ac:dyDescent="0.3">
      <c r="A16" s="163" t="s">
        <v>109</v>
      </c>
      <c r="B16" s="178">
        <f xml:space="preserve">
IF($A$4&lt;=12,SUMIFS('ON Data'!F:F,'ON Data'!$D:$D,$A$4,'ON Data'!$E:$E,7),SUMIFS('ON Data'!F:F,'ON Data'!$E:$E,7))</f>
        <v>0</v>
      </c>
      <c r="C16" s="179">
        <f xml:space="preserve">
IF($A$4&lt;=12,SUMIFS('ON Data'!G:G,'ON Data'!$D:$D,$A$4,'ON Data'!$E:$E,7),SUMIFS('ON Data'!G:G,'ON Data'!$E:$E,7))</f>
        <v>0</v>
      </c>
      <c r="D16" s="180">
        <f xml:space="preserve">
IF($A$4&lt;=12,SUMIFS('ON Data'!H:H,'ON Data'!$D:$D,$A$4,'ON Data'!$E:$E,7),SUMIFS('ON Data'!H:H,'ON Data'!$E:$E,7))</f>
        <v>0</v>
      </c>
      <c r="E16" s="180">
        <f xml:space="preserve">
IF($A$4&lt;=12,SUMIFS('ON Data'!I:I,'ON Data'!$D:$D,$A$4,'ON Data'!$E:$E,7),SUMIFS('ON Data'!I:I,'ON Data'!$E:$E,7))</f>
        <v>0</v>
      </c>
      <c r="F16" s="180">
        <f xml:space="preserve">
IF($A$4&lt;=12,SUMIFS('ON Data'!K:K,'ON Data'!$D:$D,$A$4,'ON Data'!$E:$E,7),SUMIFS('ON Data'!K:K,'ON Data'!$E:$E,7))</f>
        <v>0</v>
      </c>
      <c r="G16" s="180">
        <f xml:space="preserve">
IF($A$4&lt;=12,SUMIFS('ON Data'!L:L,'ON Data'!$D:$D,$A$4,'ON Data'!$E:$E,7),SUMIFS('ON Data'!L:L,'ON Data'!$E:$E,7))</f>
        <v>0</v>
      </c>
      <c r="H16" s="180">
        <f xml:space="preserve">
IF($A$4&lt;=12,SUMIFS('ON Data'!M:M,'ON Data'!$D:$D,$A$4,'ON Data'!$E:$E,7),SUMIFS('ON Data'!M:M,'ON Data'!$E:$E,7))</f>
        <v>0</v>
      </c>
      <c r="I16" s="180">
        <f xml:space="preserve">
IF($A$4&lt;=12,SUMIFS('ON Data'!N:N,'ON Data'!$D:$D,$A$4,'ON Data'!$E:$E,7),SUMIFS('ON Data'!N:N,'ON Data'!$E:$E,7))</f>
        <v>0</v>
      </c>
      <c r="J16" s="180">
        <f xml:space="preserve">
IF($A$4&lt;=12,SUMIFS('ON Data'!O:O,'ON Data'!$D:$D,$A$4,'ON Data'!$E:$E,7),SUMIFS('ON Data'!O:O,'ON Data'!$E:$E,7))</f>
        <v>0</v>
      </c>
      <c r="K16" s="180">
        <f xml:space="preserve">
IF($A$4&lt;=12,SUMIFS('ON Data'!P:P,'ON Data'!$D:$D,$A$4,'ON Data'!$E:$E,7),SUMIFS('ON Data'!P:P,'ON Data'!$E:$E,7))</f>
        <v>0</v>
      </c>
      <c r="L16" s="180">
        <f xml:space="preserve">
IF($A$4&lt;=12,SUMIFS('ON Data'!Q:Q,'ON Data'!$D:$D,$A$4,'ON Data'!$E:$E,7),SUMIFS('ON Data'!Q:Q,'ON Data'!$E:$E,7))</f>
        <v>0</v>
      </c>
      <c r="M16" s="180">
        <f xml:space="preserve">
IF($A$4&lt;=12,SUMIFS('ON Data'!R:R,'ON Data'!$D:$D,$A$4,'ON Data'!$E:$E,7),SUMIFS('ON Data'!R:R,'ON Data'!$E:$E,7))</f>
        <v>0</v>
      </c>
      <c r="N16" s="180">
        <f xml:space="preserve">
IF($A$4&lt;=12,SUMIFS('ON Data'!S:S,'ON Data'!$D:$D,$A$4,'ON Data'!$E:$E,7),SUMIFS('ON Data'!S:S,'ON Data'!$E:$E,7))</f>
        <v>0</v>
      </c>
      <c r="O16" s="180">
        <f xml:space="preserve">
IF($A$4&lt;=12,SUMIFS('ON Data'!T:T,'ON Data'!$D:$D,$A$4,'ON Data'!$E:$E,7),SUMIFS('ON Data'!T:T,'ON Data'!$E:$E,7))</f>
        <v>0</v>
      </c>
      <c r="P16" s="180">
        <f xml:space="preserve">
IF($A$4&lt;=12,SUMIFS('ON Data'!U:U,'ON Data'!$D:$D,$A$4,'ON Data'!$E:$E,7),SUMIFS('ON Data'!U:U,'ON Data'!$E:$E,7))</f>
        <v>0</v>
      </c>
      <c r="Q16" s="180">
        <f xml:space="preserve">
IF($A$4&lt;=12,SUMIFS('ON Data'!V:V,'ON Data'!$D:$D,$A$4,'ON Data'!$E:$E,7),SUMIFS('ON Data'!V:V,'ON Data'!$E:$E,7))</f>
        <v>0</v>
      </c>
      <c r="R16" s="180">
        <f xml:space="preserve">
IF($A$4&lt;=12,SUMIFS('ON Data'!W:W,'ON Data'!$D:$D,$A$4,'ON Data'!$E:$E,7),SUMIFS('ON Data'!W:W,'ON Data'!$E:$E,7))</f>
        <v>0</v>
      </c>
      <c r="S16" s="180">
        <f xml:space="preserve">
IF($A$4&lt;=12,SUMIFS('ON Data'!X:X,'ON Data'!$D:$D,$A$4,'ON Data'!$E:$E,7),SUMIFS('ON Data'!X:X,'ON Data'!$E:$E,7))</f>
        <v>0</v>
      </c>
      <c r="T16" s="180">
        <f xml:space="preserve">
IF($A$4&lt;=12,SUMIFS('ON Data'!Y:Y,'ON Data'!$D:$D,$A$4,'ON Data'!$E:$E,7),SUMIFS('ON Data'!Y:Y,'ON Data'!$E:$E,7))</f>
        <v>0</v>
      </c>
      <c r="U16" s="180">
        <f xml:space="preserve">
IF($A$4&lt;=12,SUMIFS('ON Data'!Z:Z,'ON Data'!$D:$D,$A$4,'ON Data'!$E:$E,7),SUMIFS('ON Data'!Z:Z,'ON Data'!$E:$E,7))</f>
        <v>0</v>
      </c>
      <c r="V16" s="180">
        <f xml:space="preserve">
IF($A$4&lt;=12,SUMIFS('ON Data'!AA:AA,'ON Data'!$D:$D,$A$4,'ON Data'!$E:$E,7),SUMIFS('ON Data'!AA:AA,'ON Data'!$E:$E,7))</f>
        <v>0</v>
      </c>
      <c r="W16" s="180">
        <f xml:space="preserve">
IF($A$4&lt;=12,SUMIFS('ON Data'!AB:AB,'ON Data'!$D:$D,$A$4,'ON Data'!$E:$E,7),SUMIFS('ON Data'!AB:AB,'ON Data'!$E:$E,7))</f>
        <v>0</v>
      </c>
      <c r="X16" s="180">
        <f xml:space="preserve">
IF($A$4&lt;=12,SUMIFS('ON Data'!AC:AC,'ON Data'!$D:$D,$A$4,'ON Data'!$E:$E,7),SUMIFS('ON Data'!AC:AC,'ON Data'!$E:$E,7))</f>
        <v>0</v>
      </c>
      <c r="Y16" s="180">
        <f xml:space="preserve">
IF($A$4&lt;=12,SUMIFS('ON Data'!AD:AD,'ON Data'!$D:$D,$A$4,'ON Data'!$E:$E,7),SUMIFS('ON Data'!AD:AD,'ON Data'!$E:$E,7))</f>
        <v>0</v>
      </c>
      <c r="Z16" s="180">
        <f xml:space="preserve">
IF($A$4&lt;=12,SUMIFS('ON Data'!AE:AE,'ON Data'!$D:$D,$A$4,'ON Data'!$E:$E,7),SUMIFS('ON Data'!AE:AE,'ON Data'!$E:$E,7))</f>
        <v>0</v>
      </c>
      <c r="AA16" s="180">
        <f xml:space="preserve">
IF($A$4&lt;=12,SUMIFS('ON Data'!AF:AF,'ON Data'!$D:$D,$A$4,'ON Data'!$E:$E,7),SUMIFS('ON Data'!AF:AF,'ON Data'!$E:$E,7))</f>
        <v>0</v>
      </c>
      <c r="AB16" s="180">
        <f xml:space="preserve">
IF($A$4&lt;=12,SUMIFS('ON Data'!AG:AG,'ON Data'!$D:$D,$A$4,'ON Data'!$E:$E,7),SUMIFS('ON Data'!AG:AG,'ON Data'!$E:$E,7))</f>
        <v>0</v>
      </c>
      <c r="AC16" s="180">
        <f xml:space="preserve">
IF($A$4&lt;=12,SUMIFS('ON Data'!AH:AH,'ON Data'!$D:$D,$A$4,'ON Data'!$E:$E,7),SUMIFS('ON Data'!AH:AH,'ON Data'!$E:$E,7))</f>
        <v>0</v>
      </c>
      <c r="AD16" s="180">
        <f xml:space="preserve">
IF($A$4&lt;=12,SUMIFS('ON Data'!AI:AI,'ON Data'!$D:$D,$A$4,'ON Data'!$E:$E,7),SUMIFS('ON Data'!AI:AI,'ON Data'!$E:$E,7))</f>
        <v>0</v>
      </c>
      <c r="AE16" s="180">
        <f xml:space="preserve">
IF($A$4&lt;=12,SUMIFS('ON Data'!AJ:AJ,'ON Data'!$D:$D,$A$4,'ON Data'!$E:$E,7),SUMIFS('ON Data'!AJ:AJ,'ON Data'!$E:$E,7))</f>
        <v>0</v>
      </c>
      <c r="AF16" s="180">
        <f xml:space="preserve">
IF($A$4&lt;=12,SUMIFS('ON Data'!AK:AK,'ON Data'!$D:$D,$A$4,'ON Data'!$E:$E,7),SUMIFS('ON Data'!AK:AK,'ON Data'!$E:$E,7))</f>
        <v>0</v>
      </c>
      <c r="AG16" s="180">
        <f xml:space="preserve">
IF($A$4&lt;=12,SUMIFS('ON Data'!AL:AL,'ON Data'!$D:$D,$A$4,'ON Data'!$E:$E,7),SUMIFS('ON Data'!AL:AL,'ON Data'!$E:$E,7))</f>
        <v>0</v>
      </c>
      <c r="AH16" s="407">
        <f xml:space="preserve">
IF($A$4&lt;=12,SUMIFS('ON Data'!AN:AN,'ON Data'!$D:$D,$A$4,'ON Data'!$E:$E,7),SUMIFS('ON Data'!AN:AN,'ON Data'!$E:$E,7))</f>
        <v>0</v>
      </c>
      <c r="AI16" s="417"/>
    </row>
    <row r="17" spans="1:35" x14ac:dyDescent="0.3">
      <c r="A17" s="163" t="s">
        <v>110</v>
      </c>
      <c r="B17" s="178">
        <f xml:space="preserve">
IF($A$4&lt;=12,SUMIFS('ON Data'!F:F,'ON Data'!$D:$D,$A$4,'ON Data'!$E:$E,8),SUMIFS('ON Data'!F:F,'ON Data'!$E:$E,8))</f>
        <v>0</v>
      </c>
      <c r="C17" s="179">
        <f xml:space="preserve">
IF($A$4&lt;=12,SUMIFS('ON Data'!G:G,'ON Data'!$D:$D,$A$4,'ON Data'!$E:$E,8),SUMIFS('ON Data'!G:G,'ON Data'!$E:$E,8))</f>
        <v>0</v>
      </c>
      <c r="D17" s="180">
        <f xml:space="preserve">
IF($A$4&lt;=12,SUMIFS('ON Data'!H:H,'ON Data'!$D:$D,$A$4,'ON Data'!$E:$E,8),SUMIFS('ON Data'!H:H,'ON Data'!$E:$E,8))</f>
        <v>0</v>
      </c>
      <c r="E17" s="180">
        <f xml:space="preserve">
IF($A$4&lt;=12,SUMIFS('ON Data'!I:I,'ON Data'!$D:$D,$A$4,'ON Data'!$E:$E,8),SUMIFS('ON Data'!I:I,'ON Data'!$E:$E,8))</f>
        <v>0</v>
      </c>
      <c r="F17" s="180">
        <f xml:space="preserve">
IF($A$4&lt;=12,SUMIFS('ON Data'!K:K,'ON Data'!$D:$D,$A$4,'ON Data'!$E:$E,8),SUMIFS('ON Data'!K:K,'ON Data'!$E:$E,8))</f>
        <v>0</v>
      </c>
      <c r="G17" s="180">
        <f xml:space="preserve">
IF($A$4&lt;=12,SUMIFS('ON Data'!L:L,'ON Data'!$D:$D,$A$4,'ON Data'!$E:$E,8),SUMIFS('ON Data'!L:L,'ON Data'!$E:$E,8))</f>
        <v>0</v>
      </c>
      <c r="H17" s="180">
        <f xml:space="preserve">
IF($A$4&lt;=12,SUMIFS('ON Data'!M:M,'ON Data'!$D:$D,$A$4,'ON Data'!$E:$E,8),SUMIFS('ON Data'!M:M,'ON Data'!$E:$E,8))</f>
        <v>0</v>
      </c>
      <c r="I17" s="180">
        <f xml:space="preserve">
IF($A$4&lt;=12,SUMIFS('ON Data'!N:N,'ON Data'!$D:$D,$A$4,'ON Data'!$E:$E,8),SUMIFS('ON Data'!N:N,'ON Data'!$E:$E,8))</f>
        <v>0</v>
      </c>
      <c r="J17" s="180">
        <f xml:space="preserve">
IF($A$4&lt;=12,SUMIFS('ON Data'!O:O,'ON Data'!$D:$D,$A$4,'ON Data'!$E:$E,8),SUMIFS('ON Data'!O:O,'ON Data'!$E:$E,8))</f>
        <v>0</v>
      </c>
      <c r="K17" s="180">
        <f xml:space="preserve">
IF($A$4&lt;=12,SUMIFS('ON Data'!P:P,'ON Data'!$D:$D,$A$4,'ON Data'!$E:$E,8),SUMIFS('ON Data'!P:P,'ON Data'!$E:$E,8))</f>
        <v>0</v>
      </c>
      <c r="L17" s="180">
        <f xml:space="preserve">
IF($A$4&lt;=12,SUMIFS('ON Data'!Q:Q,'ON Data'!$D:$D,$A$4,'ON Data'!$E:$E,8),SUMIFS('ON Data'!Q:Q,'ON Data'!$E:$E,8))</f>
        <v>0</v>
      </c>
      <c r="M17" s="180">
        <f xml:space="preserve">
IF($A$4&lt;=12,SUMIFS('ON Data'!R:R,'ON Data'!$D:$D,$A$4,'ON Data'!$E:$E,8),SUMIFS('ON Data'!R:R,'ON Data'!$E:$E,8))</f>
        <v>0</v>
      </c>
      <c r="N17" s="180">
        <f xml:space="preserve">
IF($A$4&lt;=12,SUMIFS('ON Data'!S:S,'ON Data'!$D:$D,$A$4,'ON Data'!$E:$E,8),SUMIFS('ON Data'!S:S,'ON Data'!$E:$E,8))</f>
        <v>0</v>
      </c>
      <c r="O17" s="180">
        <f xml:space="preserve">
IF($A$4&lt;=12,SUMIFS('ON Data'!T:T,'ON Data'!$D:$D,$A$4,'ON Data'!$E:$E,8),SUMIFS('ON Data'!T:T,'ON Data'!$E:$E,8))</f>
        <v>0</v>
      </c>
      <c r="P17" s="180">
        <f xml:space="preserve">
IF($A$4&lt;=12,SUMIFS('ON Data'!U:U,'ON Data'!$D:$D,$A$4,'ON Data'!$E:$E,8),SUMIFS('ON Data'!U:U,'ON Data'!$E:$E,8))</f>
        <v>0</v>
      </c>
      <c r="Q17" s="180">
        <f xml:space="preserve">
IF($A$4&lt;=12,SUMIFS('ON Data'!V:V,'ON Data'!$D:$D,$A$4,'ON Data'!$E:$E,8),SUMIFS('ON Data'!V:V,'ON Data'!$E:$E,8))</f>
        <v>0</v>
      </c>
      <c r="R17" s="180">
        <f xml:space="preserve">
IF($A$4&lt;=12,SUMIFS('ON Data'!W:W,'ON Data'!$D:$D,$A$4,'ON Data'!$E:$E,8),SUMIFS('ON Data'!W:W,'ON Data'!$E:$E,8))</f>
        <v>0</v>
      </c>
      <c r="S17" s="180">
        <f xml:space="preserve">
IF($A$4&lt;=12,SUMIFS('ON Data'!X:X,'ON Data'!$D:$D,$A$4,'ON Data'!$E:$E,8),SUMIFS('ON Data'!X:X,'ON Data'!$E:$E,8))</f>
        <v>0</v>
      </c>
      <c r="T17" s="180">
        <f xml:space="preserve">
IF($A$4&lt;=12,SUMIFS('ON Data'!Y:Y,'ON Data'!$D:$D,$A$4,'ON Data'!$E:$E,8),SUMIFS('ON Data'!Y:Y,'ON Data'!$E:$E,8))</f>
        <v>0</v>
      </c>
      <c r="U17" s="180">
        <f xml:space="preserve">
IF($A$4&lt;=12,SUMIFS('ON Data'!Z:Z,'ON Data'!$D:$D,$A$4,'ON Data'!$E:$E,8),SUMIFS('ON Data'!Z:Z,'ON Data'!$E:$E,8))</f>
        <v>0</v>
      </c>
      <c r="V17" s="180">
        <f xml:space="preserve">
IF($A$4&lt;=12,SUMIFS('ON Data'!AA:AA,'ON Data'!$D:$D,$A$4,'ON Data'!$E:$E,8),SUMIFS('ON Data'!AA:AA,'ON Data'!$E:$E,8))</f>
        <v>0</v>
      </c>
      <c r="W17" s="180">
        <f xml:space="preserve">
IF($A$4&lt;=12,SUMIFS('ON Data'!AB:AB,'ON Data'!$D:$D,$A$4,'ON Data'!$E:$E,8),SUMIFS('ON Data'!AB:AB,'ON Data'!$E:$E,8))</f>
        <v>0</v>
      </c>
      <c r="X17" s="180">
        <f xml:space="preserve">
IF($A$4&lt;=12,SUMIFS('ON Data'!AC:AC,'ON Data'!$D:$D,$A$4,'ON Data'!$E:$E,8),SUMIFS('ON Data'!AC:AC,'ON Data'!$E:$E,8))</f>
        <v>0</v>
      </c>
      <c r="Y17" s="180">
        <f xml:space="preserve">
IF($A$4&lt;=12,SUMIFS('ON Data'!AD:AD,'ON Data'!$D:$D,$A$4,'ON Data'!$E:$E,8),SUMIFS('ON Data'!AD:AD,'ON Data'!$E:$E,8))</f>
        <v>0</v>
      </c>
      <c r="Z17" s="180">
        <f xml:space="preserve">
IF($A$4&lt;=12,SUMIFS('ON Data'!AE:AE,'ON Data'!$D:$D,$A$4,'ON Data'!$E:$E,8),SUMIFS('ON Data'!AE:AE,'ON Data'!$E:$E,8))</f>
        <v>0</v>
      </c>
      <c r="AA17" s="180">
        <f xml:space="preserve">
IF($A$4&lt;=12,SUMIFS('ON Data'!AF:AF,'ON Data'!$D:$D,$A$4,'ON Data'!$E:$E,8),SUMIFS('ON Data'!AF:AF,'ON Data'!$E:$E,8))</f>
        <v>0</v>
      </c>
      <c r="AB17" s="180">
        <f xml:space="preserve">
IF($A$4&lt;=12,SUMIFS('ON Data'!AG:AG,'ON Data'!$D:$D,$A$4,'ON Data'!$E:$E,8),SUMIFS('ON Data'!AG:AG,'ON Data'!$E:$E,8))</f>
        <v>0</v>
      </c>
      <c r="AC17" s="180">
        <f xml:space="preserve">
IF($A$4&lt;=12,SUMIFS('ON Data'!AH:AH,'ON Data'!$D:$D,$A$4,'ON Data'!$E:$E,8),SUMIFS('ON Data'!AH:AH,'ON Data'!$E:$E,8))</f>
        <v>0</v>
      </c>
      <c r="AD17" s="180">
        <f xml:space="preserve">
IF($A$4&lt;=12,SUMIFS('ON Data'!AI:AI,'ON Data'!$D:$D,$A$4,'ON Data'!$E:$E,8),SUMIFS('ON Data'!AI:AI,'ON Data'!$E:$E,8))</f>
        <v>0</v>
      </c>
      <c r="AE17" s="180">
        <f xml:space="preserve">
IF($A$4&lt;=12,SUMIFS('ON Data'!AJ:AJ,'ON Data'!$D:$D,$A$4,'ON Data'!$E:$E,8),SUMIFS('ON Data'!AJ:AJ,'ON Data'!$E:$E,8))</f>
        <v>0</v>
      </c>
      <c r="AF17" s="180">
        <f xml:space="preserve">
IF($A$4&lt;=12,SUMIFS('ON Data'!AK:AK,'ON Data'!$D:$D,$A$4,'ON Data'!$E:$E,8),SUMIFS('ON Data'!AK:AK,'ON Data'!$E:$E,8))</f>
        <v>0</v>
      </c>
      <c r="AG17" s="180">
        <f xml:space="preserve">
IF($A$4&lt;=12,SUMIFS('ON Data'!AL:AL,'ON Data'!$D:$D,$A$4,'ON Data'!$E:$E,8),SUMIFS('ON Data'!AL:AL,'ON Data'!$E:$E,8))</f>
        <v>0</v>
      </c>
      <c r="AH17" s="407">
        <f xml:space="preserve">
IF($A$4&lt;=12,SUMIFS('ON Data'!AN:AN,'ON Data'!$D:$D,$A$4,'ON Data'!$E:$E,8),SUMIFS('ON Data'!AN:AN,'ON Data'!$E:$E,8))</f>
        <v>0</v>
      </c>
      <c r="AI17" s="417"/>
    </row>
    <row r="18" spans="1:35" x14ac:dyDescent="0.3">
      <c r="A18" s="163" t="s">
        <v>111</v>
      </c>
      <c r="B18" s="178">
        <f xml:space="preserve">
B19-B16-B17</f>
        <v>1142970</v>
      </c>
      <c r="C18" s="179">
        <f t="shared" ref="C18:G18" si="0" xml:space="preserve">
C19-C16-C17</f>
        <v>0</v>
      </c>
      <c r="D18" s="180">
        <f t="shared" si="0"/>
        <v>0</v>
      </c>
      <c r="E18" s="180">
        <f t="shared" si="0"/>
        <v>0</v>
      </c>
      <c r="F18" s="180">
        <f t="shared" si="0"/>
        <v>868304</v>
      </c>
      <c r="G18" s="180">
        <f t="shared" si="0"/>
        <v>0</v>
      </c>
      <c r="H18" s="180">
        <f t="shared" ref="H18:AH18" si="1" xml:space="preserve">
H19-H16-H17</f>
        <v>0</v>
      </c>
      <c r="I18" s="180">
        <f t="shared" si="1"/>
        <v>0</v>
      </c>
      <c r="J18" s="180">
        <f t="shared" si="1"/>
        <v>0</v>
      </c>
      <c r="K18" s="180">
        <f t="shared" si="1"/>
        <v>0</v>
      </c>
      <c r="L18" s="180">
        <f t="shared" si="1"/>
        <v>0</v>
      </c>
      <c r="M18" s="180">
        <f t="shared" si="1"/>
        <v>0</v>
      </c>
      <c r="N18" s="180">
        <f t="shared" si="1"/>
        <v>0</v>
      </c>
      <c r="O18" s="180">
        <f t="shared" si="1"/>
        <v>0</v>
      </c>
      <c r="P18" s="180">
        <f t="shared" si="1"/>
        <v>0</v>
      </c>
      <c r="Q18" s="180">
        <f t="shared" si="1"/>
        <v>0</v>
      </c>
      <c r="R18" s="180">
        <f t="shared" si="1"/>
        <v>0</v>
      </c>
      <c r="S18" s="180">
        <f t="shared" si="1"/>
        <v>0</v>
      </c>
      <c r="T18" s="180">
        <f t="shared" si="1"/>
        <v>0</v>
      </c>
      <c r="U18" s="180">
        <f t="shared" si="1"/>
        <v>0</v>
      </c>
      <c r="V18" s="180">
        <f t="shared" si="1"/>
        <v>0</v>
      </c>
      <c r="W18" s="180">
        <f t="shared" si="1"/>
        <v>0</v>
      </c>
      <c r="X18" s="180">
        <f t="shared" si="1"/>
        <v>0</v>
      </c>
      <c r="Y18" s="180">
        <f t="shared" si="1"/>
        <v>0</v>
      </c>
      <c r="Z18" s="180">
        <f t="shared" si="1"/>
        <v>0</v>
      </c>
      <c r="AA18" s="180">
        <f t="shared" si="1"/>
        <v>0</v>
      </c>
      <c r="AB18" s="180">
        <f t="shared" si="1"/>
        <v>0</v>
      </c>
      <c r="AC18" s="180">
        <f t="shared" si="1"/>
        <v>0</v>
      </c>
      <c r="AD18" s="180">
        <f t="shared" si="1"/>
        <v>274666</v>
      </c>
      <c r="AE18" s="180">
        <f t="shared" si="1"/>
        <v>0</v>
      </c>
      <c r="AF18" s="180">
        <f t="shared" si="1"/>
        <v>0</v>
      </c>
      <c r="AG18" s="180">
        <f t="shared" si="1"/>
        <v>0</v>
      </c>
      <c r="AH18" s="407">
        <f t="shared" si="1"/>
        <v>0</v>
      </c>
      <c r="AI18" s="417"/>
    </row>
    <row r="19" spans="1:35" ht="15" thickBot="1" x14ac:dyDescent="0.35">
      <c r="A19" s="164" t="s">
        <v>112</v>
      </c>
      <c r="B19" s="187">
        <f xml:space="preserve">
IF($A$4&lt;=12,SUMIFS('ON Data'!F:F,'ON Data'!$D:$D,$A$4,'ON Data'!$E:$E,9),SUMIFS('ON Data'!F:F,'ON Data'!$E:$E,9))</f>
        <v>1142970</v>
      </c>
      <c r="C19" s="188">
        <f xml:space="preserve">
IF($A$4&lt;=12,SUMIFS('ON Data'!G:G,'ON Data'!$D:$D,$A$4,'ON Data'!$E:$E,9),SUMIFS('ON Data'!G:G,'ON Data'!$E:$E,9))</f>
        <v>0</v>
      </c>
      <c r="D19" s="189">
        <f xml:space="preserve">
IF($A$4&lt;=12,SUMIFS('ON Data'!H:H,'ON Data'!$D:$D,$A$4,'ON Data'!$E:$E,9),SUMIFS('ON Data'!H:H,'ON Data'!$E:$E,9))</f>
        <v>0</v>
      </c>
      <c r="E19" s="189">
        <f xml:space="preserve">
IF($A$4&lt;=12,SUMIFS('ON Data'!I:I,'ON Data'!$D:$D,$A$4,'ON Data'!$E:$E,9),SUMIFS('ON Data'!I:I,'ON Data'!$E:$E,9))</f>
        <v>0</v>
      </c>
      <c r="F19" s="189">
        <f xml:space="preserve">
IF($A$4&lt;=12,SUMIFS('ON Data'!K:K,'ON Data'!$D:$D,$A$4,'ON Data'!$E:$E,9),SUMIFS('ON Data'!K:K,'ON Data'!$E:$E,9))</f>
        <v>868304</v>
      </c>
      <c r="G19" s="189">
        <f xml:space="preserve">
IF($A$4&lt;=12,SUMIFS('ON Data'!L:L,'ON Data'!$D:$D,$A$4,'ON Data'!$E:$E,9),SUMIFS('ON Data'!L:L,'ON Data'!$E:$E,9))</f>
        <v>0</v>
      </c>
      <c r="H19" s="189">
        <f xml:space="preserve">
IF($A$4&lt;=12,SUMIFS('ON Data'!M:M,'ON Data'!$D:$D,$A$4,'ON Data'!$E:$E,9),SUMIFS('ON Data'!M:M,'ON Data'!$E:$E,9))</f>
        <v>0</v>
      </c>
      <c r="I19" s="189">
        <f xml:space="preserve">
IF($A$4&lt;=12,SUMIFS('ON Data'!N:N,'ON Data'!$D:$D,$A$4,'ON Data'!$E:$E,9),SUMIFS('ON Data'!N:N,'ON Data'!$E:$E,9))</f>
        <v>0</v>
      </c>
      <c r="J19" s="189">
        <f xml:space="preserve">
IF($A$4&lt;=12,SUMIFS('ON Data'!O:O,'ON Data'!$D:$D,$A$4,'ON Data'!$E:$E,9),SUMIFS('ON Data'!O:O,'ON Data'!$E:$E,9))</f>
        <v>0</v>
      </c>
      <c r="K19" s="189">
        <f xml:space="preserve">
IF($A$4&lt;=12,SUMIFS('ON Data'!P:P,'ON Data'!$D:$D,$A$4,'ON Data'!$E:$E,9),SUMIFS('ON Data'!P:P,'ON Data'!$E:$E,9))</f>
        <v>0</v>
      </c>
      <c r="L19" s="189">
        <f xml:space="preserve">
IF($A$4&lt;=12,SUMIFS('ON Data'!Q:Q,'ON Data'!$D:$D,$A$4,'ON Data'!$E:$E,9),SUMIFS('ON Data'!Q:Q,'ON Data'!$E:$E,9))</f>
        <v>0</v>
      </c>
      <c r="M19" s="189">
        <f xml:space="preserve">
IF($A$4&lt;=12,SUMIFS('ON Data'!R:R,'ON Data'!$D:$D,$A$4,'ON Data'!$E:$E,9),SUMIFS('ON Data'!R:R,'ON Data'!$E:$E,9))</f>
        <v>0</v>
      </c>
      <c r="N19" s="189">
        <f xml:space="preserve">
IF($A$4&lt;=12,SUMIFS('ON Data'!S:S,'ON Data'!$D:$D,$A$4,'ON Data'!$E:$E,9),SUMIFS('ON Data'!S:S,'ON Data'!$E:$E,9))</f>
        <v>0</v>
      </c>
      <c r="O19" s="189">
        <f xml:space="preserve">
IF($A$4&lt;=12,SUMIFS('ON Data'!T:T,'ON Data'!$D:$D,$A$4,'ON Data'!$E:$E,9),SUMIFS('ON Data'!T:T,'ON Data'!$E:$E,9))</f>
        <v>0</v>
      </c>
      <c r="P19" s="189">
        <f xml:space="preserve">
IF($A$4&lt;=12,SUMIFS('ON Data'!U:U,'ON Data'!$D:$D,$A$4,'ON Data'!$E:$E,9),SUMIFS('ON Data'!U:U,'ON Data'!$E:$E,9))</f>
        <v>0</v>
      </c>
      <c r="Q19" s="189">
        <f xml:space="preserve">
IF($A$4&lt;=12,SUMIFS('ON Data'!V:V,'ON Data'!$D:$D,$A$4,'ON Data'!$E:$E,9),SUMIFS('ON Data'!V:V,'ON Data'!$E:$E,9))</f>
        <v>0</v>
      </c>
      <c r="R19" s="189">
        <f xml:space="preserve">
IF($A$4&lt;=12,SUMIFS('ON Data'!W:W,'ON Data'!$D:$D,$A$4,'ON Data'!$E:$E,9),SUMIFS('ON Data'!W:W,'ON Data'!$E:$E,9))</f>
        <v>0</v>
      </c>
      <c r="S19" s="189">
        <f xml:space="preserve">
IF($A$4&lt;=12,SUMIFS('ON Data'!X:X,'ON Data'!$D:$D,$A$4,'ON Data'!$E:$E,9),SUMIFS('ON Data'!X:X,'ON Data'!$E:$E,9))</f>
        <v>0</v>
      </c>
      <c r="T19" s="189">
        <f xml:space="preserve">
IF($A$4&lt;=12,SUMIFS('ON Data'!Y:Y,'ON Data'!$D:$D,$A$4,'ON Data'!$E:$E,9),SUMIFS('ON Data'!Y:Y,'ON Data'!$E:$E,9))</f>
        <v>0</v>
      </c>
      <c r="U19" s="189">
        <f xml:space="preserve">
IF($A$4&lt;=12,SUMIFS('ON Data'!Z:Z,'ON Data'!$D:$D,$A$4,'ON Data'!$E:$E,9),SUMIFS('ON Data'!Z:Z,'ON Data'!$E:$E,9))</f>
        <v>0</v>
      </c>
      <c r="V19" s="189">
        <f xml:space="preserve">
IF($A$4&lt;=12,SUMIFS('ON Data'!AA:AA,'ON Data'!$D:$D,$A$4,'ON Data'!$E:$E,9),SUMIFS('ON Data'!AA:AA,'ON Data'!$E:$E,9))</f>
        <v>0</v>
      </c>
      <c r="W19" s="189">
        <f xml:space="preserve">
IF($A$4&lt;=12,SUMIFS('ON Data'!AB:AB,'ON Data'!$D:$D,$A$4,'ON Data'!$E:$E,9),SUMIFS('ON Data'!AB:AB,'ON Data'!$E:$E,9))</f>
        <v>0</v>
      </c>
      <c r="X19" s="189">
        <f xml:space="preserve">
IF($A$4&lt;=12,SUMIFS('ON Data'!AC:AC,'ON Data'!$D:$D,$A$4,'ON Data'!$E:$E,9),SUMIFS('ON Data'!AC:AC,'ON Data'!$E:$E,9))</f>
        <v>0</v>
      </c>
      <c r="Y19" s="189">
        <f xml:space="preserve">
IF($A$4&lt;=12,SUMIFS('ON Data'!AD:AD,'ON Data'!$D:$D,$A$4,'ON Data'!$E:$E,9),SUMIFS('ON Data'!AD:AD,'ON Data'!$E:$E,9))</f>
        <v>0</v>
      </c>
      <c r="Z19" s="189">
        <f xml:space="preserve">
IF($A$4&lt;=12,SUMIFS('ON Data'!AE:AE,'ON Data'!$D:$D,$A$4,'ON Data'!$E:$E,9),SUMIFS('ON Data'!AE:AE,'ON Data'!$E:$E,9))</f>
        <v>0</v>
      </c>
      <c r="AA19" s="189">
        <f xml:space="preserve">
IF($A$4&lt;=12,SUMIFS('ON Data'!AF:AF,'ON Data'!$D:$D,$A$4,'ON Data'!$E:$E,9),SUMIFS('ON Data'!AF:AF,'ON Data'!$E:$E,9))</f>
        <v>0</v>
      </c>
      <c r="AB19" s="189">
        <f xml:space="preserve">
IF($A$4&lt;=12,SUMIFS('ON Data'!AG:AG,'ON Data'!$D:$D,$A$4,'ON Data'!$E:$E,9),SUMIFS('ON Data'!AG:AG,'ON Data'!$E:$E,9))</f>
        <v>0</v>
      </c>
      <c r="AC19" s="189">
        <f xml:space="preserve">
IF($A$4&lt;=12,SUMIFS('ON Data'!AH:AH,'ON Data'!$D:$D,$A$4,'ON Data'!$E:$E,9),SUMIFS('ON Data'!AH:AH,'ON Data'!$E:$E,9))</f>
        <v>0</v>
      </c>
      <c r="AD19" s="189">
        <f xml:space="preserve">
IF($A$4&lt;=12,SUMIFS('ON Data'!AI:AI,'ON Data'!$D:$D,$A$4,'ON Data'!$E:$E,9),SUMIFS('ON Data'!AI:AI,'ON Data'!$E:$E,9))</f>
        <v>274666</v>
      </c>
      <c r="AE19" s="189">
        <f xml:space="preserve">
IF($A$4&lt;=12,SUMIFS('ON Data'!AJ:AJ,'ON Data'!$D:$D,$A$4,'ON Data'!$E:$E,9),SUMIFS('ON Data'!AJ:AJ,'ON Data'!$E:$E,9))</f>
        <v>0</v>
      </c>
      <c r="AF19" s="189">
        <f xml:space="preserve">
IF($A$4&lt;=12,SUMIFS('ON Data'!AK:AK,'ON Data'!$D:$D,$A$4,'ON Data'!$E:$E,9),SUMIFS('ON Data'!AK:AK,'ON Data'!$E:$E,9))</f>
        <v>0</v>
      </c>
      <c r="AG19" s="189">
        <f xml:space="preserve">
IF($A$4&lt;=12,SUMIFS('ON Data'!AL:AL,'ON Data'!$D:$D,$A$4,'ON Data'!$E:$E,9),SUMIFS('ON Data'!AL:AL,'ON Data'!$E:$E,9))</f>
        <v>0</v>
      </c>
      <c r="AH19" s="410">
        <f xml:space="preserve">
IF($A$4&lt;=12,SUMIFS('ON Data'!AN:AN,'ON Data'!$D:$D,$A$4,'ON Data'!$E:$E,9),SUMIFS('ON Data'!AN:AN,'ON Data'!$E:$E,9))</f>
        <v>0</v>
      </c>
      <c r="AI19" s="417"/>
    </row>
    <row r="20" spans="1:35" ht="15" collapsed="1" thickBot="1" x14ac:dyDescent="0.35">
      <c r="A20" s="165" t="s">
        <v>32</v>
      </c>
      <c r="B20" s="190">
        <f xml:space="preserve">
IF($A$4&lt;=12,SUMIFS('ON Data'!F:F,'ON Data'!$D:$D,$A$4,'ON Data'!$E:$E,6),SUMIFS('ON Data'!F:F,'ON Data'!$E:$E,6))</f>
        <v>16384772</v>
      </c>
      <c r="C20" s="191">
        <f xml:space="preserve">
IF($A$4&lt;=12,SUMIFS('ON Data'!G:G,'ON Data'!$D:$D,$A$4,'ON Data'!$E:$E,6),SUMIFS('ON Data'!G:G,'ON Data'!$E:$E,6))</f>
        <v>0</v>
      </c>
      <c r="D20" s="192">
        <f xml:space="preserve">
IF($A$4&lt;=12,SUMIFS('ON Data'!H:H,'ON Data'!$D:$D,$A$4,'ON Data'!$E:$E,6),SUMIFS('ON Data'!H:H,'ON Data'!$E:$E,6))</f>
        <v>110471</v>
      </c>
      <c r="E20" s="192">
        <f xml:space="preserve">
IF($A$4&lt;=12,SUMIFS('ON Data'!I:I,'ON Data'!$D:$D,$A$4,'ON Data'!$E:$E,6),SUMIFS('ON Data'!I:I,'ON Data'!$E:$E,6))</f>
        <v>0</v>
      </c>
      <c r="F20" s="192">
        <f xml:space="preserve">
IF($A$4&lt;=12,SUMIFS('ON Data'!K:K,'ON Data'!$D:$D,$A$4,'ON Data'!$E:$E,6),SUMIFS('ON Data'!K:K,'ON Data'!$E:$E,6))</f>
        <v>13176925</v>
      </c>
      <c r="G20" s="192">
        <f xml:space="preserve">
IF($A$4&lt;=12,SUMIFS('ON Data'!L:L,'ON Data'!$D:$D,$A$4,'ON Data'!$E:$E,6),SUMIFS('ON Data'!L:L,'ON Data'!$E:$E,6))</f>
        <v>0</v>
      </c>
      <c r="H20" s="192">
        <f xml:space="preserve">
IF($A$4&lt;=12,SUMIFS('ON Data'!M:M,'ON Data'!$D:$D,$A$4,'ON Data'!$E:$E,6),SUMIFS('ON Data'!M:M,'ON Data'!$E:$E,6))</f>
        <v>0</v>
      </c>
      <c r="I20" s="192">
        <f xml:space="preserve">
IF($A$4&lt;=12,SUMIFS('ON Data'!N:N,'ON Data'!$D:$D,$A$4,'ON Data'!$E:$E,6),SUMIFS('ON Data'!N:N,'ON Data'!$E:$E,6))</f>
        <v>0</v>
      </c>
      <c r="J20" s="192">
        <f xml:space="preserve">
IF($A$4&lt;=12,SUMIFS('ON Data'!O:O,'ON Data'!$D:$D,$A$4,'ON Data'!$E:$E,6),SUMIFS('ON Data'!O:O,'ON Data'!$E:$E,6))</f>
        <v>0</v>
      </c>
      <c r="K20" s="192">
        <f xml:space="preserve">
IF($A$4&lt;=12,SUMIFS('ON Data'!P:P,'ON Data'!$D:$D,$A$4,'ON Data'!$E:$E,6),SUMIFS('ON Data'!P:P,'ON Data'!$E:$E,6))</f>
        <v>0</v>
      </c>
      <c r="L20" s="192">
        <f xml:space="preserve">
IF($A$4&lt;=12,SUMIFS('ON Data'!Q:Q,'ON Data'!$D:$D,$A$4,'ON Data'!$E:$E,6),SUMIFS('ON Data'!Q:Q,'ON Data'!$E:$E,6))</f>
        <v>0</v>
      </c>
      <c r="M20" s="192">
        <f xml:space="preserve">
IF($A$4&lt;=12,SUMIFS('ON Data'!R:R,'ON Data'!$D:$D,$A$4,'ON Data'!$E:$E,6),SUMIFS('ON Data'!R:R,'ON Data'!$E:$E,6))</f>
        <v>0</v>
      </c>
      <c r="N20" s="192">
        <f xml:space="preserve">
IF($A$4&lt;=12,SUMIFS('ON Data'!S:S,'ON Data'!$D:$D,$A$4,'ON Data'!$E:$E,6),SUMIFS('ON Data'!S:S,'ON Data'!$E:$E,6))</f>
        <v>0</v>
      </c>
      <c r="O20" s="192">
        <f xml:space="preserve">
IF($A$4&lt;=12,SUMIFS('ON Data'!T:T,'ON Data'!$D:$D,$A$4,'ON Data'!$E:$E,6),SUMIFS('ON Data'!T:T,'ON Data'!$E:$E,6))</f>
        <v>0</v>
      </c>
      <c r="P20" s="192">
        <f xml:space="preserve">
IF($A$4&lt;=12,SUMIFS('ON Data'!U:U,'ON Data'!$D:$D,$A$4,'ON Data'!$E:$E,6),SUMIFS('ON Data'!U:U,'ON Data'!$E:$E,6))</f>
        <v>0</v>
      </c>
      <c r="Q20" s="192">
        <f xml:space="preserve">
IF($A$4&lt;=12,SUMIFS('ON Data'!V:V,'ON Data'!$D:$D,$A$4,'ON Data'!$E:$E,6),SUMIFS('ON Data'!V:V,'ON Data'!$E:$E,6))</f>
        <v>0</v>
      </c>
      <c r="R20" s="192">
        <f xml:space="preserve">
IF($A$4&lt;=12,SUMIFS('ON Data'!W:W,'ON Data'!$D:$D,$A$4,'ON Data'!$E:$E,6),SUMIFS('ON Data'!W:W,'ON Data'!$E:$E,6))</f>
        <v>0</v>
      </c>
      <c r="S20" s="192">
        <f xml:space="preserve">
IF($A$4&lt;=12,SUMIFS('ON Data'!X:X,'ON Data'!$D:$D,$A$4,'ON Data'!$E:$E,6),SUMIFS('ON Data'!X:X,'ON Data'!$E:$E,6))</f>
        <v>0</v>
      </c>
      <c r="T20" s="192">
        <f xml:space="preserve">
IF($A$4&lt;=12,SUMIFS('ON Data'!Y:Y,'ON Data'!$D:$D,$A$4,'ON Data'!$E:$E,6),SUMIFS('ON Data'!Y:Y,'ON Data'!$E:$E,6))</f>
        <v>0</v>
      </c>
      <c r="U20" s="192">
        <f xml:space="preserve">
IF($A$4&lt;=12,SUMIFS('ON Data'!Z:Z,'ON Data'!$D:$D,$A$4,'ON Data'!$E:$E,6),SUMIFS('ON Data'!Z:Z,'ON Data'!$E:$E,6))</f>
        <v>0</v>
      </c>
      <c r="V20" s="192">
        <f xml:space="preserve">
IF($A$4&lt;=12,SUMIFS('ON Data'!AA:AA,'ON Data'!$D:$D,$A$4,'ON Data'!$E:$E,6),SUMIFS('ON Data'!AA:AA,'ON Data'!$E:$E,6))</f>
        <v>0</v>
      </c>
      <c r="W20" s="192">
        <f xml:space="preserve">
IF($A$4&lt;=12,SUMIFS('ON Data'!AB:AB,'ON Data'!$D:$D,$A$4,'ON Data'!$E:$E,6),SUMIFS('ON Data'!AB:AB,'ON Data'!$E:$E,6))</f>
        <v>0</v>
      </c>
      <c r="X20" s="192">
        <f xml:space="preserve">
IF($A$4&lt;=12,SUMIFS('ON Data'!AC:AC,'ON Data'!$D:$D,$A$4,'ON Data'!$E:$E,6),SUMIFS('ON Data'!AC:AC,'ON Data'!$E:$E,6))</f>
        <v>0</v>
      </c>
      <c r="Y20" s="192">
        <f xml:space="preserve">
IF($A$4&lt;=12,SUMIFS('ON Data'!AD:AD,'ON Data'!$D:$D,$A$4,'ON Data'!$E:$E,6),SUMIFS('ON Data'!AD:AD,'ON Data'!$E:$E,6))</f>
        <v>0</v>
      </c>
      <c r="Z20" s="192">
        <f xml:space="preserve">
IF($A$4&lt;=12,SUMIFS('ON Data'!AE:AE,'ON Data'!$D:$D,$A$4,'ON Data'!$E:$E,6),SUMIFS('ON Data'!AE:AE,'ON Data'!$E:$E,6))</f>
        <v>0</v>
      </c>
      <c r="AA20" s="192">
        <f xml:space="preserve">
IF($A$4&lt;=12,SUMIFS('ON Data'!AF:AF,'ON Data'!$D:$D,$A$4,'ON Data'!$E:$E,6),SUMIFS('ON Data'!AF:AF,'ON Data'!$E:$E,6))</f>
        <v>0</v>
      </c>
      <c r="AB20" s="192">
        <f xml:space="preserve">
IF($A$4&lt;=12,SUMIFS('ON Data'!AG:AG,'ON Data'!$D:$D,$A$4,'ON Data'!$E:$E,6),SUMIFS('ON Data'!AG:AG,'ON Data'!$E:$E,6))</f>
        <v>0</v>
      </c>
      <c r="AC20" s="192">
        <f xml:space="preserve">
IF($A$4&lt;=12,SUMIFS('ON Data'!AH:AH,'ON Data'!$D:$D,$A$4,'ON Data'!$E:$E,6),SUMIFS('ON Data'!AH:AH,'ON Data'!$E:$E,6))</f>
        <v>0</v>
      </c>
      <c r="AD20" s="192">
        <f xml:space="preserve">
IF($A$4&lt;=12,SUMIFS('ON Data'!AI:AI,'ON Data'!$D:$D,$A$4,'ON Data'!$E:$E,6),SUMIFS('ON Data'!AI:AI,'ON Data'!$E:$E,6))</f>
        <v>3097376</v>
      </c>
      <c r="AE20" s="192">
        <f xml:space="preserve">
IF($A$4&lt;=12,SUMIFS('ON Data'!AJ:AJ,'ON Data'!$D:$D,$A$4,'ON Data'!$E:$E,6),SUMIFS('ON Data'!AJ:AJ,'ON Data'!$E:$E,6))</f>
        <v>0</v>
      </c>
      <c r="AF20" s="192">
        <f xml:space="preserve">
IF($A$4&lt;=12,SUMIFS('ON Data'!AK:AK,'ON Data'!$D:$D,$A$4,'ON Data'!$E:$E,6),SUMIFS('ON Data'!AK:AK,'ON Data'!$E:$E,6))</f>
        <v>0</v>
      </c>
      <c r="AG20" s="192">
        <f xml:space="preserve">
IF($A$4&lt;=12,SUMIFS('ON Data'!AL:AL,'ON Data'!$D:$D,$A$4,'ON Data'!$E:$E,6),SUMIFS('ON Data'!AL:AL,'ON Data'!$E:$E,6))</f>
        <v>0</v>
      </c>
      <c r="AH20" s="411">
        <f xml:space="preserve">
IF($A$4&lt;=12,SUMIFS('ON Data'!AN:AN,'ON Data'!$D:$D,$A$4,'ON Data'!$E:$E,6),SUMIFS('ON Data'!AN:AN,'ON Data'!$E:$E,6))</f>
        <v>0</v>
      </c>
      <c r="AI20" s="417"/>
    </row>
    <row r="21" spans="1:35" ht="15" hidden="1" outlineLevel="1" thickBot="1" x14ac:dyDescent="0.35">
      <c r="A21" s="158" t="s">
        <v>39</v>
      </c>
      <c r="B21" s="178">
        <f xml:space="preserve">
IF($A$4&lt;=12,SUMIFS('ON Data'!F:F,'ON Data'!$D:$D,$A$4,'ON Data'!$E:$E,12),SUMIFS('ON Data'!F:F,'ON Data'!$E:$E,12))</f>
        <v>0</v>
      </c>
      <c r="C21" s="179">
        <f xml:space="preserve">
IF($A$4&lt;=12,SUMIFS('ON Data'!G:G,'ON Data'!$D:$D,$A$4,'ON Data'!$E:$E,12),SUMIFS('ON Data'!G:G,'ON Data'!$E:$E,12))</f>
        <v>0</v>
      </c>
      <c r="D21" s="180">
        <f xml:space="preserve">
IF($A$4&lt;=12,SUMIFS('ON Data'!H:H,'ON Data'!$D:$D,$A$4,'ON Data'!$E:$E,12),SUMIFS('ON Data'!H:H,'ON Data'!$E:$E,12))</f>
        <v>0</v>
      </c>
      <c r="E21" s="180">
        <f xml:space="preserve">
IF($A$4&lt;=12,SUMIFS('ON Data'!I:I,'ON Data'!$D:$D,$A$4,'ON Data'!$E:$E,12),SUMIFS('ON Data'!I:I,'ON Data'!$E:$E,12))</f>
        <v>0</v>
      </c>
      <c r="F21" s="180">
        <f xml:space="preserve">
IF($A$4&lt;=12,SUMIFS('ON Data'!K:K,'ON Data'!$D:$D,$A$4,'ON Data'!$E:$E,12),SUMIFS('ON Data'!K:K,'ON Data'!$E:$E,12))</f>
        <v>0</v>
      </c>
      <c r="G21" s="180">
        <f xml:space="preserve">
IF($A$4&lt;=12,SUMIFS('ON Data'!L:L,'ON Data'!$D:$D,$A$4,'ON Data'!$E:$E,12),SUMIFS('ON Data'!L:L,'ON Data'!$E:$E,12))</f>
        <v>0</v>
      </c>
      <c r="H21" s="180">
        <f xml:space="preserve">
IF($A$4&lt;=12,SUMIFS('ON Data'!M:M,'ON Data'!$D:$D,$A$4,'ON Data'!$E:$E,12),SUMIFS('ON Data'!M:M,'ON Data'!$E:$E,12))</f>
        <v>0</v>
      </c>
      <c r="I21" s="180">
        <f xml:space="preserve">
IF($A$4&lt;=12,SUMIFS('ON Data'!N:N,'ON Data'!$D:$D,$A$4,'ON Data'!$E:$E,12),SUMIFS('ON Data'!N:N,'ON Data'!$E:$E,12))</f>
        <v>0</v>
      </c>
      <c r="J21" s="180">
        <f xml:space="preserve">
IF($A$4&lt;=12,SUMIFS('ON Data'!O:O,'ON Data'!$D:$D,$A$4,'ON Data'!$E:$E,12),SUMIFS('ON Data'!O:O,'ON Data'!$E:$E,12))</f>
        <v>0</v>
      </c>
      <c r="K21" s="180">
        <f xml:space="preserve">
IF($A$4&lt;=12,SUMIFS('ON Data'!P:P,'ON Data'!$D:$D,$A$4,'ON Data'!$E:$E,12),SUMIFS('ON Data'!P:P,'ON Data'!$E:$E,12))</f>
        <v>0</v>
      </c>
      <c r="L21" s="180">
        <f xml:space="preserve">
IF($A$4&lt;=12,SUMIFS('ON Data'!Q:Q,'ON Data'!$D:$D,$A$4,'ON Data'!$E:$E,12),SUMIFS('ON Data'!Q:Q,'ON Data'!$E:$E,12))</f>
        <v>0</v>
      </c>
      <c r="M21" s="180">
        <f xml:space="preserve">
IF($A$4&lt;=12,SUMIFS('ON Data'!R:R,'ON Data'!$D:$D,$A$4,'ON Data'!$E:$E,12),SUMIFS('ON Data'!R:R,'ON Data'!$E:$E,12))</f>
        <v>0</v>
      </c>
      <c r="N21" s="180">
        <f xml:space="preserve">
IF($A$4&lt;=12,SUMIFS('ON Data'!S:S,'ON Data'!$D:$D,$A$4,'ON Data'!$E:$E,12),SUMIFS('ON Data'!S:S,'ON Data'!$E:$E,12))</f>
        <v>0</v>
      </c>
      <c r="O21" s="180">
        <f xml:space="preserve">
IF($A$4&lt;=12,SUMIFS('ON Data'!T:T,'ON Data'!$D:$D,$A$4,'ON Data'!$E:$E,12),SUMIFS('ON Data'!T:T,'ON Data'!$E:$E,12))</f>
        <v>0</v>
      </c>
      <c r="P21" s="180">
        <f xml:space="preserve">
IF($A$4&lt;=12,SUMIFS('ON Data'!U:U,'ON Data'!$D:$D,$A$4,'ON Data'!$E:$E,12),SUMIFS('ON Data'!U:U,'ON Data'!$E:$E,12))</f>
        <v>0</v>
      </c>
      <c r="Q21" s="180">
        <f xml:space="preserve">
IF($A$4&lt;=12,SUMIFS('ON Data'!V:V,'ON Data'!$D:$D,$A$4,'ON Data'!$E:$E,12),SUMIFS('ON Data'!V:V,'ON Data'!$E:$E,12))</f>
        <v>0</v>
      </c>
      <c r="R21" s="180">
        <f xml:space="preserve">
IF($A$4&lt;=12,SUMIFS('ON Data'!W:W,'ON Data'!$D:$D,$A$4,'ON Data'!$E:$E,12),SUMIFS('ON Data'!W:W,'ON Data'!$E:$E,12))</f>
        <v>0</v>
      </c>
      <c r="S21" s="180">
        <f xml:space="preserve">
IF($A$4&lt;=12,SUMIFS('ON Data'!X:X,'ON Data'!$D:$D,$A$4,'ON Data'!$E:$E,12),SUMIFS('ON Data'!X:X,'ON Data'!$E:$E,12))</f>
        <v>0</v>
      </c>
      <c r="T21" s="180">
        <f xml:space="preserve">
IF($A$4&lt;=12,SUMIFS('ON Data'!Y:Y,'ON Data'!$D:$D,$A$4,'ON Data'!$E:$E,12),SUMIFS('ON Data'!Y:Y,'ON Data'!$E:$E,12))</f>
        <v>0</v>
      </c>
      <c r="U21" s="180">
        <f xml:space="preserve">
IF($A$4&lt;=12,SUMIFS('ON Data'!Z:Z,'ON Data'!$D:$D,$A$4,'ON Data'!$E:$E,12),SUMIFS('ON Data'!Z:Z,'ON Data'!$E:$E,12))</f>
        <v>0</v>
      </c>
      <c r="V21" s="180">
        <f xml:space="preserve">
IF($A$4&lt;=12,SUMIFS('ON Data'!AA:AA,'ON Data'!$D:$D,$A$4,'ON Data'!$E:$E,12),SUMIFS('ON Data'!AA:AA,'ON Data'!$E:$E,12))</f>
        <v>0</v>
      </c>
      <c r="W21" s="180">
        <f xml:space="preserve">
IF($A$4&lt;=12,SUMIFS('ON Data'!AB:AB,'ON Data'!$D:$D,$A$4,'ON Data'!$E:$E,12),SUMIFS('ON Data'!AB:AB,'ON Data'!$E:$E,12))</f>
        <v>0</v>
      </c>
      <c r="X21" s="180">
        <f xml:space="preserve">
IF($A$4&lt;=12,SUMIFS('ON Data'!AC:AC,'ON Data'!$D:$D,$A$4,'ON Data'!$E:$E,12),SUMIFS('ON Data'!AC:AC,'ON Data'!$E:$E,12))</f>
        <v>0</v>
      </c>
      <c r="Y21" s="180">
        <f xml:space="preserve">
IF($A$4&lt;=12,SUMIFS('ON Data'!AD:AD,'ON Data'!$D:$D,$A$4,'ON Data'!$E:$E,12),SUMIFS('ON Data'!AD:AD,'ON Data'!$E:$E,12))</f>
        <v>0</v>
      </c>
      <c r="Z21" s="180">
        <f xml:space="preserve">
IF($A$4&lt;=12,SUMIFS('ON Data'!AE:AE,'ON Data'!$D:$D,$A$4,'ON Data'!$E:$E,12),SUMIFS('ON Data'!AE:AE,'ON Data'!$E:$E,12))</f>
        <v>0</v>
      </c>
      <c r="AA21" s="180">
        <f xml:space="preserve">
IF($A$4&lt;=12,SUMIFS('ON Data'!AF:AF,'ON Data'!$D:$D,$A$4,'ON Data'!$E:$E,12),SUMIFS('ON Data'!AF:AF,'ON Data'!$E:$E,12))</f>
        <v>0</v>
      </c>
      <c r="AB21" s="180">
        <f xml:space="preserve">
IF($A$4&lt;=12,SUMIFS('ON Data'!AG:AG,'ON Data'!$D:$D,$A$4,'ON Data'!$E:$E,12),SUMIFS('ON Data'!AG:AG,'ON Data'!$E:$E,12))</f>
        <v>0</v>
      </c>
      <c r="AC21" s="180">
        <f xml:space="preserve">
IF($A$4&lt;=12,SUMIFS('ON Data'!AH:AH,'ON Data'!$D:$D,$A$4,'ON Data'!$E:$E,12),SUMIFS('ON Data'!AH:AH,'ON Data'!$E:$E,12))</f>
        <v>0</v>
      </c>
      <c r="AD21" s="180">
        <f xml:space="preserve">
IF($A$4&lt;=12,SUMIFS('ON Data'!AI:AI,'ON Data'!$D:$D,$A$4,'ON Data'!$E:$E,12),SUMIFS('ON Data'!AI:AI,'ON Data'!$E:$E,12))</f>
        <v>0</v>
      </c>
      <c r="AE21" s="180">
        <f xml:space="preserve">
IF($A$4&lt;=12,SUMIFS('ON Data'!AJ:AJ,'ON Data'!$D:$D,$A$4,'ON Data'!$E:$E,12),SUMIFS('ON Data'!AJ:AJ,'ON Data'!$E:$E,12))</f>
        <v>0</v>
      </c>
      <c r="AF21" s="180">
        <f xml:space="preserve">
IF($A$4&lt;=12,SUMIFS('ON Data'!AK:AK,'ON Data'!$D:$D,$A$4,'ON Data'!$E:$E,12),SUMIFS('ON Data'!AK:AK,'ON Data'!$E:$E,12))</f>
        <v>0</v>
      </c>
      <c r="AG21" s="180">
        <f xml:space="preserve">
IF($A$4&lt;=12,SUMIFS('ON Data'!AL:AL,'ON Data'!$D:$D,$A$4,'ON Data'!$E:$E,12),SUMIFS('ON Data'!AL:AL,'ON Data'!$E:$E,12))</f>
        <v>0</v>
      </c>
      <c r="AH21" s="407">
        <f xml:space="preserve">
IF($A$4&lt;=12,SUMIFS('ON Data'!AN:AN,'ON Data'!$D:$D,$A$4,'ON Data'!$E:$E,12),SUMIFS('ON Data'!AN:AN,'ON Data'!$E:$E,12))</f>
        <v>0</v>
      </c>
      <c r="AI21" s="417"/>
    </row>
    <row r="22" spans="1:35" ht="15" hidden="1" outlineLevel="1" thickBot="1" x14ac:dyDescent="0.35">
      <c r="A22" s="158" t="s">
        <v>34</v>
      </c>
      <c r="B22" s="230" t="str">
        <f xml:space="preserve">
IF(OR(B21="",B21=0),"",B20/B21)</f>
        <v/>
      </c>
      <c r="C22" s="231" t="str">
        <f t="shared" ref="C22:G22" si="2" xml:space="preserve">
IF(OR(C21="",C21=0),"",C20/C21)</f>
        <v/>
      </c>
      <c r="D22" s="232" t="str">
        <f t="shared" si="2"/>
        <v/>
      </c>
      <c r="E22" s="232" t="str">
        <f t="shared" si="2"/>
        <v/>
      </c>
      <c r="F22" s="232" t="str">
        <f t="shared" si="2"/>
        <v/>
      </c>
      <c r="G22" s="232" t="str">
        <f t="shared" si="2"/>
        <v/>
      </c>
      <c r="H22" s="232" t="str">
        <f t="shared" ref="H22:AH22" si="3" xml:space="preserve">
IF(OR(H21="",H21=0),"",H20/H21)</f>
        <v/>
      </c>
      <c r="I22" s="232" t="str">
        <f t="shared" si="3"/>
        <v/>
      </c>
      <c r="J22" s="232" t="str">
        <f t="shared" si="3"/>
        <v/>
      </c>
      <c r="K22" s="232" t="str">
        <f t="shared" si="3"/>
        <v/>
      </c>
      <c r="L22" s="232" t="str">
        <f t="shared" si="3"/>
        <v/>
      </c>
      <c r="M22" s="232" t="str">
        <f t="shared" si="3"/>
        <v/>
      </c>
      <c r="N22" s="232" t="str">
        <f t="shared" si="3"/>
        <v/>
      </c>
      <c r="O22" s="232" t="str">
        <f t="shared" si="3"/>
        <v/>
      </c>
      <c r="P22" s="232" t="str">
        <f t="shared" si="3"/>
        <v/>
      </c>
      <c r="Q22" s="232" t="str">
        <f t="shared" si="3"/>
        <v/>
      </c>
      <c r="R22" s="232" t="str">
        <f t="shared" si="3"/>
        <v/>
      </c>
      <c r="S22" s="232" t="str">
        <f t="shared" si="3"/>
        <v/>
      </c>
      <c r="T22" s="232" t="str">
        <f t="shared" si="3"/>
        <v/>
      </c>
      <c r="U22" s="232" t="str">
        <f t="shared" si="3"/>
        <v/>
      </c>
      <c r="V22" s="232" t="str">
        <f t="shared" si="3"/>
        <v/>
      </c>
      <c r="W22" s="232" t="str">
        <f t="shared" si="3"/>
        <v/>
      </c>
      <c r="X22" s="232" t="str">
        <f t="shared" si="3"/>
        <v/>
      </c>
      <c r="Y22" s="232" t="str">
        <f t="shared" si="3"/>
        <v/>
      </c>
      <c r="Z22" s="232" t="str">
        <f t="shared" si="3"/>
        <v/>
      </c>
      <c r="AA22" s="232" t="str">
        <f t="shared" si="3"/>
        <v/>
      </c>
      <c r="AB22" s="232" t="str">
        <f t="shared" si="3"/>
        <v/>
      </c>
      <c r="AC22" s="232" t="str">
        <f t="shared" si="3"/>
        <v/>
      </c>
      <c r="AD22" s="232" t="str">
        <f t="shared" si="3"/>
        <v/>
      </c>
      <c r="AE22" s="232" t="str">
        <f t="shared" si="3"/>
        <v/>
      </c>
      <c r="AF22" s="232" t="str">
        <f t="shared" si="3"/>
        <v/>
      </c>
      <c r="AG22" s="232" t="str">
        <f t="shared" si="3"/>
        <v/>
      </c>
      <c r="AH22" s="412" t="str">
        <f t="shared" si="3"/>
        <v/>
      </c>
      <c r="AI22" s="417"/>
    </row>
    <row r="23" spans="1:35" ht="15" hidden="1" outlineLevel="1" thickBot="1" x14ac:dyDescent="0.35">
      <c r="A23" s="166" t="s">
        <v>29</v>
      </c>
      <c r="B23" s="181">
        <f xml:space="preserve">
IF(B21="","",B20-B21)</f>
        <v>16384772</v>
      </c>
      <c r="C23" s="182">
        <f t="shared" ref="C23:G23" si="4" xml:space="preserve">
IF(C21="","",C20-C21)</f>
        <v>0</v>
      </c>
      <c r="D23" s="183">
        <f t="shared" si="4"/>
        <v>110471</v>
      </c>
      <c r="E23" s="183">
        <f t="shared" si="4"/>
        <v>0</v>
      </c>
      <c r="F23" s="183">
        <f t="shared" si="4"/>
        <v>13176925</v>
      </c>
      <c r="G23" s="183">
        <f t="shared" si="4"/>
        <v>0</v>
      </c>
      <c r="H23" s="183">
        <f t="shared" ref="H23:AH23" si="5" xml:space="preserve">
IF(H21="","",H20-H21)</f>
        <v>0</v>
      </c>
      <c r="I23" s="183">
        <f t="shared" si="5"/>
        <v>0</v>
      </c>
      <c r="J23" s="183">
        <f t="shared" si="5"/>
        <v>0</v>
      </c>
      <c r="K23" s="183">
        <f t="shared" si="5"/>
        <v>0</v>
      </c>
      <c r="L23" s="183">
        <f t="shared" si="5"/>
        <v>0</v>
      </c>
      <c r="M23" s="183">
        <f t="shared" si="5"/>
        <v>0</v>
      </c>
      <c r="N23" s="183">
        <f t="shared" si="5"/>
        <v>0</v>
      </c>
      <c r="O23" s="183">
        <f t="shared" si="5"/>
        <v>0</v>
      </c>
      <c r="P23" s="183">
        <f t="shared" si="5"/>
        <v>0</v>
      </c>
      <c r="Q23" s="183">
        <f t="shared" si="5"/>
        <v>0</v>
      </c>
      <c r="R23" s="183">
        <f t="shared" si="5"/>
        <v>0</v>
      </c>
      <c r="S23" s="183">
        <f t="shared" si="5"/>
        <v>0</v>
      </c>
      <c r="T23" s="183">
        <f t="shared" si="5"/>
        <v>0</v>
      </c>
      <c r="U23" s="183">
        <f t="shared" si="5"/>
        <v>0</v>
      </c>
      <c r="V23" s="183">
        <f t="shared" si="5"/>
        <v>0</v>
      </c>
      <c r="W23" s="183">
        <f t="shared" si="5"/>
        <v>0</v>
      </c>
      <c r="X23" s="183">
        <f t="shared" si="5"/>
        <v>0</v>
      </c>
      <c r="Y23" s="183">
        <f t="shared" si="5"/>
        <v>0</v>
      </c>
      <c r="Z23" s="183">
        <f t="shared" si="5"/>
        <v>0</v>
      </c>
      <c r="AA23" s="183">
        <f t="shared" si="5"/>
        <v>0</v>
      </c>
      <c r="AB23" s="183">
        <f t="shared" si="5"/>
        <v>0</v>
      </c>
      <c r="AC23" s="183">
        <f t="shared" si="5"/>
        <v>0</v>
      </c>
      <c r="AD23" s="183">
        <f t="shared" si="5"/>
        <v>3097376</v>
      </c>
      <c r="AE23" s="183">
        <f t="shared" si="5"/>
        <v>0</v>
      </c>
      <c r="AF23" s="183">
        <f t="shared" si="5"/>
        <v>0</v>
      </c>
      <c r="AG23" s="183">
        <f t="shared" si="5"/>
        <v>0</v>
      </c>
      <c r="AH23" s="408">
        <f t="shared" si="5"/>
        <v>0</v>
      </c>
      <c r="AI23" s="417"/>
    </row>
    <row r="24" spans="1:35" x14ac:dyDescent="0.3">
      <c r="A24" s="160" t="s">
        <v>113</v>
      </c>
      <c r="B24" s="207" t="s">
        <v>3</v>
      </c>
      <c r="C24" s="418" t="s">
        <v>124</v>
      </c>
      <c r="D24" s="392"/>
      <c r="E24" s="393"/>
      <c r="F24" s="393" t="s">
        <v>125</v>
      </c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413" t="s">
        <v>126</v>
      </c>
      <c r="AI24" s="417"/>
    </row>
    <row r="25" spans="1:35" x14ac:dyDescent="0.3">
      <c r="A25" s="161" t="s">
        <v>32</v>
      </c>
      <c r="B25" s="178">
        <f xml:space="preserve">
SUM(C25:AH25)</f>
        <v>47513</v>
      </c>
      <c r="C25" s="419">
        <f xml:space="preserve">
IF($A$4&lt;=12,SUMIFS('ON Data'!H:H,'ON Data'!$D:$D,$A$4,'ON Data'!$E:$E,10),SUMIFS('ON Data'!H:H,'ON Data'!$E:$E,10))</f>
        <v>900</v>
      </c>
      <c r="D25" s="394"/>
      <c r="E25" s="395"/>
      <c r="F25" s="395">
        <f xml:space="preserve">
IF($A$4&lt;=12,SUMIFS('ON Data'!K:K,'ON Data'!$D:$D,$A$4,'ON Data'!$E:$E,10),SUMIFS('ON Data'!K:K,'ON Data'!$E:$E,10))</f>
        <v>46613</v>
      </c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414">
        <f xml:space="preserve">
IF($A$4&lt;=12,SUMIFS('ON Data'!AN:AN,'ON Data'!$D:$D,$A$4,'ON Data'!$E:$E,10),SUMIFS('ON Data'!AN:AN,'ON Data'!$E:$E,10))</f>
        <v>0</v>
      </c>
      <c r="AI25" s="417"/>
    </row>
    <row r="26" spans="1:35" x14ac:dyDescent="0.3">
      <c r="A26" s="167" t="s">
        <v>123</v>
      </c>
      <c r="B26" s="187">
        <f xml:space="preserve">
SUM(C26:AH26)</f>
        <v>91977.746241336034</v>
      </c>
      <c r="C26" s="419">
        <f xml:space="preserve">
IF($A$4&lt;=12,SUMIFS('ON Data'!H:H,'ON Data'!$D:$D,$A$4,'ON Data'!$E:$E,11),SUMIFS('ON Data'!H:H,'ON Data'!$E:$E,11))</f>
        <v>311.07957466938154</v>
      </c>
      <c r="D26" s="394"/>
      <c r="E26" s="395"/>
      <c r="F26" s="396">
        <f xml:space="preserve">
IF($A$4&lt;=12,SUMIFS('ON Data'!K:K,'ON Data'!$D:$D,$A$4,'ON Data'!$E:$E,11),SUMIFS('ON Data'!K:K,'ON Data'!$E:$E,11))</f>
        <v>91666.666666666657</v>
      </c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414">
        <f xml:space="preserve">
IF($A$4&lt;=12,SUMIFS('ON Data'!AN:AN,'ON Data'!$D:$D,$A$4,'ON Data'!$E:$E,11),SUMIFS('ON Data'!AN:AN,'ON Data'!$E:$E,11))</f>
        <v>0</v>
      </c>
      <c r="AI26" s="417"/>
    </row>
    <row r="27" spans="1:35" x14ac:dyDescent="0.3">
      <c r="A27" s="167" t="s">
        <v>34</v>
      </c>
      <c r="B27" s="208">
        <f xml:space="preserve">
IF(B26=0,0,B25/B26)</f>
        <v>0.51657060475620808</v>
      </c>
      <c r="C27" s="420">
        <f xml:space="preserve">
IF(C26=0,0,C25/C26)</f>
        <v>2.8931504132231405</v>
      </c>
      <c r="D27" s="397"/>
      <c r="E27" s="398"/>
      <c r="F27" s="398">
        <f xml:space="preserve">
IF(F26=0,0,F25/F26)</f>
        <v>0.50850545454545459</v>
      </c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415">
        <f xml:space="preserve">
IF(AH26=0,0,AH25/AH26)</f>
        <v>0</v>
      </c>
      <c r="AI27" s="417"/>
    </row>
    <row r="28" spans="1:35" ht="15" thickBot="1" x14ac:dyDescent="0.35">
      <c r="A28" s="167" t="s">
        <v>122</v>
      </c>
      <c r="B28" s="187">
        <f xml:space="preserve">
SUM(C28:AH28)</f>
        <v>44464.746241336041</v>
      </c>
      <c r="C28" s="421">
        <f xml:space="preserve">
C26-C25</f>
        <v>-588.9204253306184</v>
      </c>
      <c r="D28" s="399"/>
      <c r="E28" s="400"/>
      <c r="F28" s="400">
        <f xml:space="preserve">
F26-F25</f>
        <v>45053.666666666657</v>
      </c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16">
        <f xml:space="preserve">
AH26-AH25</f>
        <v>0</v>
      </c>
      <c r="AI28" s="417"/>
    </row>
    <row r="29" spans="1:35" x14ac:dyDescent="0.3">
      <c r="A29" s="168"/>
      <c r="B29" s="168"/>
      <c r="C29" s="169"/>
      <c r="D29" s="168"/>
      <c r="E29" s="168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8"/>
      <c r="AG29" s="168"/>
      <c r="AH29" s="168"/>
    </row>
    <row r="30" spans="1:35" x14ac:dyDescent="0.3">
      <c r="A30" s="64" t="s">
        <v>76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91"/>
    </row>
    <row r="31" spans="1:35" x14ac:dyDescent="0.3">
      <c r="A31" s="65" t="s">
        <v>120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91"/>
    </row>
    <row r="32" spans="1:35" ht="14.4" customHeight="1" x14ac:dyDescent="0.3">
      <c r="A32" s="204" t="s">
        <v>117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</row>
    <row r="33" spans="1:1" x14ac:dyDescent="0.3">
      <c r="A33" s="206" t="s">
        <v>127</v>
      </c>
    </row>
    <row r="34" spans="1:1" x14ac:dyDescent="0.3">
      <c r="A34" s="206" t="s">
        <v>128</v>
      </c>
    </row>
    <row r="35" spans="1:1" x14ac:dyDescent="0.3">
      <c r="A35" s="206" t="s">
        <v>129</v>
      </c>
    </row>
    <row r="36" spans="1:1" x14ac:dyDescent="0.3">
      <c r="A36" s="206" t="s">
        <v>130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2"/>
  <sheetViews>
    <sheetView showGridLines="0" showRowColHeaders="0" workbookViewId="0"/>
  </sheetViews>
  <sheetFormatPr defaultRowHeight="14.4" x14ac:dyDescent="0.3"/>
  <cols>
    <col min="1" max="16384" width="8.88671875" style="147"/>
  </cols>
  <sheetData>
    <row r="1" spans="1:41" x14ac:dyDescent="0.3">
      <c r="A1" s="147" t="s">
        <v>1420</v>
      </c>
    </row>
    <row r="2" spans="1:41" x14ac:dyDescent="0.3">
      <c r="A2" s="151" t="s">
        <v>180</v>
      </c>
    </row>
    <row r="3" spans="1:41" x14ac:dyDescent="0.3">
      <c r="A3" s="147" t="s">
        <v>87</v>
      </c>
      <c r="B3" s="172">
        <v>2015</v>
      </c>
      <c r="D3" s="148">
        <f>MAX(D5:D1048576)</f>
        <v>11</v>
      </c>
      <c r="F3" s="148">
        <f>SUMIF($E5:$E1048576,"&lt;10",F5:F1048576)</f>
        <v>17615737.039999999</v>
      </c>
      <c r="G3" s="148">
        <f t="shared" ref="G3:AO3" si="0">SUMIF($E5:$E1048576,"&lt;10",G5:G1048576)</f>
        <v>0</v>
      </c>
      <c r="H3" s="148">
        <f t="shared" si="0"/>
        <v>110792.90000000002</v>
      </c>
      <c r="I3" s="148">
        <f t="shared" si="0"/>
        <v>0</v>
      </c>
      <c r="J3" s="148">
        <f t="shared" si="0"/>
        <v>0</v>
      </c>
      <c r="K3" s="148">
        <f t="shared" si="0"/>
        <v>14111067.890000001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 t="shared" si="0"/>
        <v>0</v>
      </c>
      <c r="U3" s="148">
        <f t="shared" si="0"/>
        <v>0</v>
      </c>
      <c r="V3" s="148">
        <f t="shared" si="0"/>
        <v>0</v>
      </c>
      <c r="W3" s="148">
        <f t="shared" si="0"/>
        <v>0</v>
      </c>
      <c r="X3" s="148">
        <f t="shared" si="0"/>
        <v>0</v>
      </c>
      <c r="Y3" s="148">
        <f t="shared" si="0"/>
        <v>0</v>
      </c>
      <c r="Z3" s="148">
        <f t="shared" si="0"/>
        <v>0</v>
      </c>
      <c r="AA3" s="148">
        <f t="shared" si="0"/>
        <v>0</v>
      </c>
      <c r="AB3" s="148">
        <f t="shared" si="0"/>
        <v>0</v>
      </c>
      <c r="AC3" s="148">
        <f t="shared" si="0"/>
        <v>0</v>
      </c>
      <c r="AD3" s="148">
        <f t="shared" si="0"/>
        <v>0</v>
      </c>
      <c r="AE3" s="148">
        <f t="shared" si="0"/>
        <v>0</v>
      </c>
      <c r="AF3" s="148">
        <f t="shared" si="0"/>
        <v>0</v>
      </c>
      <c r="AG3" s="148">
        <f t="shared" si="0"/>
        <v>0</v>
      </c>
      <c r="AH3" s="148">
        <f t="shared" si="0"/>
        <v>0</v>
      </c>
      <c r="AI3" s="148">
        <f t="shared" si="0"/>
        <v>3393876.25</v>
      </c>
      <c r="AJ3" s="148">
        <f t="shared" si="0"/>
        <v>0</v>
      </c>
      <c r="AK3" s="148">
        <f t="shared" si="0"/>
        <v>0</v>
      </c>
      <c r="AL3" s="148">
        <f t="shared" si="0"/>
        <v>0</v>
      </c>
      <c r="AM3" s="148">
        <f t="shared" si="0"/>
        <v>0</v>
      </c>
      <c r="AN3" s="148">
        <f t="shared" si="0"/>
        <v>0</v>
      </c>
      <c r="AO3" s="148">
        <f t="shared" si="0"/>
        <v>0</v>
      </c>
    </row>
    <row r="4" spans="1:41" x14ac:dyDescent="0.3">
      <c r="A4" s="147" t="s">
        <v>88</v>
      </c>
      <c r="B4" s="172">
        <v>1</v>
      </c>
      <c r="C4" s="149" t="s">
        <v>5</v>
      </c>
      <c r="D4" s="150" t="s">
        <v>28</v>
      </c>
      <c r="E4" s="150" t="s">
        <v>82</v>
      </c>
      <c r="F4" s="150" t="s">
        <v>3</v>
      </c>
      <c r="G4" s="150" t="s">
        <v>83</v>
      </c>
      <c r="H4" s="150" t="s">
        <v>84</v>
      </c>
      <c r="I4" s="150" t="s">
        <v>85</v>
      </c>
      <c r="J4" s="150" t="s">
        <v>86</v>
      </c>
      <c r="K4" s="150">
        <v>305</v>
      </c>
      <c r="L4" s="150">
        <v>306</v>
      </c>
      <c r="M4" s="150">
        <v>407</v>
      </c>
      <c r="N4" s="150">
        <v>408</v>
      </c>
      <c r="O4" s="150">
        <v>409</v>
      </c>
      <c r="P4" s="150">
        <v>410</v>
      </c>
      <c r="Q4" s="150">
        <v>415</v>
      </c>
      <c r="R4" s="150">
        <v>416</v>
      </c>
      <c r="S4" s="150">
        <v>418</v>
      </c>
      <c r="T4" s="150">
        <v>419</v>
      </c>
      <c r="U4" s="150">
        <v>420</v>
      </c>
      <c r="V4" s="150">
        <v>421</v>
      </c>
      <c r="W4" s="150">
        <v>522</v>
      </c>
      <c r="X4" s="150">
        <v>523</v>
      </c>
      <c r="Y4" s="150">
        <v>524</v>
      </c>
      <c r="Z4" s="150">
        <v>525</v>
      </c>
      <c r="AA4" s="150">
        <v>526</v>
      </c>
      <c r="AB4" s="150">
        <v>527</v>
      </c>
      <c r="AC4" s="150">
        <v>528</v>
      </c>
      <c r="AD4" s="150">
        <v>629</v>
      </c>
      <c r="AE4" s="150">
        <v>630</v>
      </c>
      <c r="AF4" s="150">
        <v>636</v>
      </c>
      <c r="AG4" s="150">
        <v>637</v>
      </c>
      <c r="AH4" s="150">
        <v>640</v>
      </c>
      <c r="AI4" s="150">
        <v>642</v>
      </c>
      <c r="AJ4" s="150">
        <v>743</v>
      </c>
      <c r="AK4" s="150">
        <v>745</v>
      </c>
      <c r="AL4" s="150">
        <v>746</v>
      </c>
      <c r="AM4" s="150">
        <v>747</v>
      </c>
      <c r="AN4" s="150">
        <v>930</v>
      </c>
      <c r="AO4" s="150">
        <v>940</v>
      </c>
    </row>
    <row r="5" spans="1:41" x14ac:dyDescent="0.3">
      <c r="A5" s="147" t="s">
        <v>89</v>
      </c>
      <c r="B5" s="172">
        <v>2</v>
      </c>
      <c r="C5" s="147">
        <v>47</v>
      </c>
      <c r="D5" s="147">
        <v>1</v>
      </c>
      <c r="E5" s="147">
        <v>1</v>
      </c>
      <c r="F5" s="147">
        <v>54.35</v>
      </c>
      <c r="G5" s="147">
        <v>0</v>
      </c>
      <c r="H5" s="147">
        <v>0.1</v>
      </c>
      <c r="I5" s="147">
        <v>0</v>
      </c>
      <c r="J5" s="147">
        <v>0</v>
      </c>
      <c r="K5" s="147">
        <v>41.25</v>
      </c>
      <c r="L5" s="147">
        <v>0</v>
      </c>
      <c r="M5" s="147">
        <v>0</v>
      </c>
      <c r="N5" s="147">
        <v>0</v>
      </c>
      <c r="O5" s="147">
        <v>0</v>
      </c>
      <c r="P5" s="147">
        <v>0</v>
      </c>
      <c r="Q5" s="147">
        <v>0</v>
      </c>
      <c r="R5" s="147">
        <v>0</v>
      </c>
      <c r="S5" s="147">
        <v>0</v>
      </c>
      <c r="T5" s="147">
        <v>0</v>
      </c>
      <c r="U5" s="147">
        <v>0</v>
      </c>
      <c r="V5" s="147">
        <v>0</v>
      </c>
      <c r="W5" s="147">
        <v>0</v>
      </c>
      <c r="X5" s="147">
        <v>0</v>
      </c>
      <c r="Y5" s="147">
        <v>0</v>
      </c>
      <c r="Z5" s="147">
        <v>0</v>
      </c>
      <c r="AA5" s="147">
        <v>0</v>
      </c>
      <c r="AB5" s="147">
        <v>0</v>
      </c>
      <c r="AC5" s="147">
        <v>0</v>
      </c>
      <c r="AD5" s="147">
        <v>0</v>
      </c>
      <c r="AE5" s="147">
        <v>0</v>
      </c>
      <c r="AF5" s="147">
        <v>0</v>
      </c>
      <c r="AG5" s="147">
        <v>0</v>
      </c>
      <c r="AH5" s="147">
        <v>0</v>
      </c>
      <c r="AI5" s="147">
        <v>13</v>
      </c>
      <c r="AJ5" s="147">
        <v>0</v>
      </c>
      <c r="AK5" s="147">
        <v>0</v>
      </c>
      <c r="AL5" s="147">
        <v>0</v>
      </c>
      <c r="AM5" s="147">
        <v>0</v>
      </c>
      <c r="AN5" s="147">
        <v>0</v>
      </c>
      <c r="AO5" s="147">
        <v>0</v>
      </c>
    </row>
    <row r="6" spans="1:41" x14ac:dyDescent="0.3">
      <c r="A6" s="147" t="s">
        <v>90</v>
      </c>
      <c r="B6" s="172">
        <v>3</v>
      </c>
      <c r="C6" s="147">
        <v>47</v>
      </c>
      <c r="D6" s="147">
        <v>1</v>
      </c>
      <c r="E6" s="147">
        <v>2</v>
      </c>
      <c r="F6" s="147">
        <v>8170.1</v>
      </c>
      <c r="G6" s="147">
        <v>0</v>
      </c>
      <c r="H6" s="147">
        <v>17.600000000000001</v>
      </c>
      <c r="I6" s="147">
        <v>0</v>
      </c>
      <c r="J6" s="147">
        <v>0</v>
      </c>
      <c r="K6" s="147">
        <v>6198.5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7">
        <v>0</v>
      </c>
      <c r="Z6" s="147">
        <v>0</v>
      </c>
      <c r="AA6" s="147">
        <v>0</v>
      </c>
      <c r="AB6" s="147">
        <v>0</v>
      </c>
      <c r="AC6" s="147">
        <v>0</v>
      </c>
      <c r="AD6" s="147">
        <v>0</v>
      </c>
      <c r="AE6" s="147">
        <v>0</v>
      </c>
      <c r="AF6" s="147">
        <v>0</v>
      </c>
      <c r="AG6" s="147">
        <v>0</v>
      </c>
      <c r="AH6" s="147">
        <v>0</v>
      </c>
      <c r="AI6" s="147">
        <v>1954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</row>
    <row r="7" spans="1:41" x14ac:dyDescent="0.3">
      <c r="A7" s="147" t="s">
        <v>91</v>
      </c>
      <c r="B7" s="172">
        <v>4</v>
      </c>
      <c r="C7" s="147">
        <v>47</v>
      </c>
      <c r="D7" s="147">
        <v>1</v>
      </c>
      <c r="E7" s="147">
        <v>4</v>
      </c>
      <c r="F7" s="147">
        <v>255</v>
      </c>
      <c r="G7" s="147">
        <v>0</v>
      </c>
      <c r="H7" s="147">
        <v>0</v>
      </c>
      <c r="I7" s="147">
        <v>0</v>
      </c>
      <c r="J7" s="147">
        <v>0</v>
      </c>
      <c r="K7" s="147">
        <v>155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  <c r="U7" s="147">
        <v>0</v>
      </c>
      <c r="V7" s="147">
        <v>0</v>
      </c>
      <c r="W7" s="147">
        <v>0</v>
      </c>
      <c r="X7" s="147">
        <v>0</v>
      </c>
      <c r="Y7" s="147">
        <v>0</v>
      </c>
      <c r="Z7" s="147">
        <v>0</v>
      </c>
      <c r="AA7" s="147">
        <v>0</v>
      </c>
      <c r="AB7" s="147">
        <v>0</v>
      </c>
      <c r="AC7" s="147">
        <v>0</v>
      </c>
      <c r="AD7" s="147">
        <v>0</v>
      </c>
      <c r="AE7" s="147">
        <v>0</v>
      </c>
      <c r="AF7" s="147">
        <v>0</v>
      </c>
      <c r="AG7" s="147">
        <v>0</v>
      </c>
      <c r="AH7" s="147">
        <v>0</v>
      </c>
      <c r="AI7" s="147">
        <v>100</v>
      </c>
      <c r="AJ7" s="147">
        <v>0</v>
      </c>
      <c r="AK7" s="147">
        <v>0</v>
      </c>
      <c r="AL7" s="147">
        <v>0</v>
      </c>
      <c r="AM7" s="147">
        <v>0</v>
      </c>
      <c r="AN7" s="147">
        <v>0</v>
      </c>
      <c r="AO7" s="147">
        <v>0</v>
      </c>
    </row>
    <row r="8" spans="1:41" x14ac:dyDescent="0.3">
      <c r="A8" s="147" t="s">
        <v>92</v>
      </c>
      <c r="B8" s="172">
        <v>5</v>
      </c>
      <c r="C8" s="147">
        <v>47</v>
      </c>
      <c r="D8" s="147">
        <v>1</v>
      </c>
      <c r="E8" s="147">
        <v>6</v>
      </c>
      <c r="F8" s="147">
        <v>1395278</v>
      </c>
      <c r="G8" s="147">
        <v>0</v>
      </c>
      <c r="H8" s="147">
        <v>9605</v>
      </c>
      <c r="I8" s="147">
        <v>0</v>
      </c>
      <c r="J8" s="147">
        <v>0</v>
      </c>
      <c r="K8" s="147">
        <v>1129589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  <c r="AI8" s="147">
        <v>256084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</row>
    <row r="9" spans="1:41" x14ac:dyDescent="0.3">
      <c r="A9" s="147" t="s">
        <v>93</v>
      </c>
      <c r="B9" s="172">
        <v>6</v>
      </c>
      <c r="C9" s="147">
        <v>47</v>
      </c>
      <c r="D9" s="147">
        <v>1</v>
      </c>
      <c r="E9" s="147">
        <v>9</v>
      </c>
      <c r="F9" s="147">
        <v>24050</v>
      </c>
      <c r="G9" s="147">
        <v>0</v>
      </c>
      <c r="H9" s="147">
        <v>0</v>
      </c>
      <c r="I9" s="147">
        <v>0</v>
      </c>
      <c r="J9" s="147">
        <v>0</v>
      </c>
      <c r="K9" s="147">
        <v>18150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  <c r="AI9" s="147">
        <v>5900</v>
      </c>
      <c r="AJ9" s="147">
        <v>0</v>
      </c>
      <c r="AK9" s="147">
        <v>0</v>
      </c>
      <c r="AL9" s="147">
        <v>0</v>
      </c>
      <c r="AM9" s="147">
        <v>0</v>
      </c>
      <c r="AN9" s="147">
        <v>0</v>
      </c>
      <c r="AO9" s="147">
        <v>0</v>
      </c>
    </row>
    <row r="10" spans="1:41" x14ac:dyDescent="0.3">
      <c r="A10" s="147" t="s">
        <v>94</v>
      </c>
      <c r="B10" s="172">
        <v>7</v>
      </c>
      <c r="C10" s="147">
        <v>47</v>
      </c>
      <c r="D10" s="147">
        <v>1</v>
      </c>
      <c r="E10" s="147">
        <v>10</v>
      </c>
      <c r="F10" s="147">
        <v>6000</v>
      </c>
      <c r="G10" s="147">
        <v>0</v>
      </c>
      <c r="H10" s="147">
        <v>0</v>
      </c>
      <c r="I10" s="147">
        <v>0</v>
      </c>
      <c r="J10" s="147">
        <v>0</v>
      </c>
      <c r="K10" s="147">
        <v>6000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</row>
    <row r="11" spans="1:41" x14ac:dyDescent="0.3">
      <c r="A11" s="147" t="s">
        <v>95</v>
      </c>
      <c r="B11" s="172">
        <v>8</v>
      </c>
      <c r="C11" s="147">
        <v>47</v>
      </c>
      <c r="D11" s="147">
        <v>1</v>
      </c>
      <c r="E11" s="147">
        <v>11</v>
      </c>
      <c r="F11" s="147">
        <v>8361.613294666915</v>
      </c>
      <c r="G11" s="147">
        <v>0</v>
      </c>
      <c r="H11" s="147">
        <v>28.279961333580143</v>
      </c>
      <c r="I11" s="147">
        <v>0</v>
      </c>
      <c r="J11" s="147">
        <v>0</v>
      </c>
      <c r="K11" s="147">
        <v>8333.3333333333339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</row>
    <row r="12" spans="1:41" x14ac:dyDescent="0.3">
      <c r="A12" s="147" t="s">
        <v>96</v>
      </c>
      <c r="B12" s="172">
        <v>9</v>
      </c>
      <c r="C12" s="147">
        <v>47</v>
      </c>
      <c r="D12" s="147">
        <v>2</v>
      </c>
      <c r="E12" s="147">
        <v>1</v>
      </c>
      <c r="F12" s="147">
        <v>53.85</v>
      </c>
      <c r="G12" s="147">
        <v>0</v>
      </c>
      <c r="H12" s="147">
        <v>0.1</v>
      </c>
      <c r="I12" s="147">
        <v>0</v>
      </c>
      <c r="J12" s="147">
        <v>0</v>
      </c>
      <c r="K12" s="147">
        <v>40.75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13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</row>
    <row r="13" spans="1:41" x14ac:dyDescent="0.3">
      <c r="A13" s="147" t="s">
        <v>97</v>
      </c>
      <c r="B13" s="172">
        <v>10</v>
      </c>
      <c r="C13" s="147">
        <v>47</v>
      </c>
      <c r="D13" s="147">
        <v>2</v>
      </c>
      <c r="E13" s="147">
        <v>2</v>
      </c>
      <c r="F13" s="147">
        <v>6759.5</v>
      </c>
      <c r="G13" s="147">
        <v>0</v>
      </c>
      <c r="H13" s="147">
        <v>12</v>
      </c>
      <c r="I13" s="147">
        <v>0</v>
      </c>
      <c r="J13" s="147">
        <v>0</v>
      </c>
      <c r="K13" s="147">
        <v>5161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1586.5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</row>
    <row r="14" spans="1:41" x14ac:dyDescent="0.3">
      <c r="A14" s="147" t="s">
        <v>98</v>
      </c>
      <c r="B14" s="172">
        <v>11</v>
      </c>
      <c r="C14" s="147">
        <v>47</v>
      </c>
      <c r="D14" s="147">
        <v>2</v>
      </c>
      <c r="E14" s="147">
        <v>4</v>
      </c>
      <c r="F14" s="147">
        <v>705</v>
      </c>
      <c r="G14" s="147">
        <v>0</v>
      </c>
      <c r="H14" s="147">
        <v>0</v>
      </c>
      <c r="I14" s="147">
        <v>0</v>
      </c>
      <c r="J14" s="147">
        <v>0</v>
      </c>
      <c r="K14" s="147">
        <v>495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210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</row>
    <row r="15" spans="1:41" x14ac:dyDescent="0.3">
      <c r="A15" s="147" t="s">
        <v>99</v>
      </c>
      <c r="B15" s="172">
        <v>12</v>
      </c>
      <c r="C15" s="147">
        <v>47</v>
      </c>
      <c r="D15" s="147">
        <v>2</v>
      </c>
      <c r="E15" s="147">
        <v>6</v>
      </c>
      <c r="F15" s="147">
        <v>1374119</v>
      </c>
      <c r="G15" s="147">
        <v>0</v>
      </c>
      <c r="H15" s="147">
        <v>9440</v>
      </c>
      <c r="I15" s="147">
        <v>0</v>
      </c>
      <c r="J15" s="147">
        <v>0</v>
      </c>
      <c r="K15" s="147">
        <v>1116062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248617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</row>
    <row r="16" spans="1:41" x14ac:dyDescent="0.3">
      <c r="A16" s="147" t="s">
        <v>87</v>
      </c>
      <c r="B16" s="172">
        <v>2015</v>
      </c>
      <c r="C16" s="147">
        <v>47</v>
      </c>
      <c r="D16" s="147">
        <v>2</v>
      </c>
      <c r="E16" s="147">
        <v>9</v>
      </c>
      <c r="F16" s="147">
        <v>28012</v>
      </c>
      <c r="G16" s="147">
        <v>0</v>
      </c>
      <c r="H16" s="147">
        <v>0</v>
      </c>
      <c r="I16" s="147">
        <v>0</v>
      </c>
      <c r="J16" s="147">
        <v>0</v>
      </c>
      <c r="K16" s="147">
        <v>22256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5756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</row>
    <row r="17" spans="3:41" x14ac:dyDescent="0.3">
      <c r="C17" s="147">
        <v>47</v>
      </c>
      <c r="D17" s="147">
        <v>2</v>
      </c>
      <c r="E17" s="147">
        <v>10</v>
      </c>
      <c r="F17" s="147">
        <v>15834</v>
      </c>
      <c r="G17" s="147">
        <v>0</v>
      </c>
      <c r="H17" s="147">
        <v>0</v>
      </c>
      <c r="I17" s="147">
        <v>0</v>
      </c>
      <c r="J17" s="147">
        <v>0</v>
      </c>
      <c r="K17" s="147">
        <v>15834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</row>
    <row r="18" spans="3:41" x14ac:dyDescent="0.3">
      <c r="C18" s="147">
        <v>47</v>
      </c>
      <c r="D18" s="147">
        <v>2</v>
      </c>
      <c r="E18" s="147">
        <v>11</v>
      </c>
      <c r="F18" s="147">
        <v>8361.613294666915</v>
      </c>
      <c r="G18" s="147">
        <v>0</v>
      </c>
      <c r="H18" s="147">
        <v>28.279961333580143</v>
      </c>
      <c r="I18" s="147">
        <v>0</v>
      </c>
      <c r="J18" s="147">
        <v>0</v>
      </c>
      <c r="K18" s="147">
        <v>8333.3333333333339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</row>
    <row r="19" spans="3:41" x14ac:dyDescent="0.3">
      <c r="C19" s="147">
        <v>47</v>
      </c>
      <c r="D19" s="147">
        <v>3</v>
      </c>
      <c r="E19" s="147">
        <v>1</v>
      </c>
      <c r="F19" s="147">
        <v>53.35</v>
      </c>
      <c r="G19" s="147">
        <v>0</v>
      </c>
      <c r="H19" s="147">
        <v>0.1</v>
      </c>
      <c r="I19" s="147">
        <v>0</v>
      </c>
      <c r="J19" s="147">
        <v>0</v>
      </c>
      <c r="K19" s="147">
        <v>40.25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13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</row>
    <row r="20" spans="3:41" x14ac:dyDescent="0.3">
      <c r="C20" s="147">
        <v>47</v>
      </c>
      <c r="D20" s="147">
        <v>3</v>
      </c>
      <c r="E20" s="147">
        <v>2</v>
      </c>
      <c r="F20" s="147">
        <v>7569.1</v>
      </c>
      <c r="G20" s="147">
        <v>0</v>
      </c>
      <c r="H20" s="147">
        <v>17.600000000000001</v>
      </c>
      <c r="I20" s="147">
        <v>0</v>
      </c>
      <c r="J20" s="147">
        <v>0</v>
      </c>
      <c r="K20" s="147">
        <v>5774.5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1777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</row>
    <row r="21" spans="3:41" x14ac:dyDescent="0.3">
      <c r="C21" s="147">
        <v>47</v>
      </c>
      <c r="D21" s="147">
        <v>3</v>
      </c>
      <c r="E21" s="147">
        <v>4</v>
      </c>
      <c r="F21" s="147">
        <v>757</v>
      </c>
      <c r="G21" s="147">
        <v>0</v>
      </c>
      <c r="H21" s="147">
        <v>0</v>
      </c>
      <c r="I21" s="147">
        <v>0</v>
      </c>
      <c r="J21" s="147">
        <v>0</v>
      </c>
      <c r="K21" s="147">
        <v>507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250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</row>
    <row r="22" spans="3:41" x14ac:dyDescent="0.3">
      <c r="C22" s="147">
        <v>47</v>
      </c>
      <c r="D22" s="147">
        <v>3</v>
      </c>
      <c r="E22" s="147">
        <v>6</v>
      </c>
      <c r="F22" s="147">
        <v>1410966</v>
      </c>
      <c r="G22" s="147">
        <v>0</v>
      </c>
      <c r="H22" s="147">
        <v>9605</v>
      </c>
      <c r="I22" s="147">
        <v>0</v>
      </c>
      <c r="J22" s="147">
        <v>0</v>
      </c>
      <c r="K22" s="147">
        <v>1146344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255017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</row>
    <row r="23" spans="3:41" x14ac:dyDescent="0.3">
      <c r="C23" s="147">
        <v>47</v>
      </c>
      <c r="D23" s="147">
        <v>3</v>
      </c>
      <c r="E23" s="147">
        <v>9</v>
      </c>
      <c r="F23" s="147">
        <v>20724</v>
      </c>
      <c r="G23" s="147">
        <v>0</v>
      </c>
      <c r="H23" s="147">
        <v>0</v>
      </c>
      <c r="I23" s="147">
        <v>0</v>
      </c>
      <c r="J23" s="147">
        <v>0</v>
      </c>
      <c r="K23" s="147">
        <v>8000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0</v>
      </c>
      <c r="AA23" s="147">
        <v>0</v>
      </c>
      <c r="AB23" s="147">
        <v>0</v>
      </c>
      <c r="AC23" s="147">
        <v>0</v>
      </c>
      <c r="AD23" s="147">
        <v>0</v>
      </c>
      <c r="AE23" s="147">
        <v>0</v>
      </c>
      <c r="AF23" s="147">
        <v>0</v>
      </c>
      <c r="AG23" s="147">
        <v>0</v>
      </c>
      <c r="AH23" s="147">
        <v>0</v>
      </c>
      <c r="AI23" s="147">
        <v>12724</v>
      </c>
      <c r="AJ23" s="147">
        <v>0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</row>
    <row r="24" spans="3:41" x14ac:dyDescent="0.3">
      <c r="C24" s="147">
        <v>47</v>
      </c>
      <c r="D24" s="147">
        <v>3</v>
      </c>
      <c r="E24" s="147">
        <v>11</v>
      </c>
      <c r="F24" s="147">
        <v>8361.613294666915</v>
      </c>
      <c r="G24" s="147">
        <v>0</v>
      </c>
      <c r="H24" s="147">
        <v>28.279961333580143</v>
      </c>
      <c r="I24" s="147">
        <v>0</v>
      </c>
      <c r="J24" s="147">
        <v>0</v>
      </c>
      <c r="K24" s="147">
        <v>8333.3333333333339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7">
        <v>0</v>
      </c>
      <c r="AC24" s="147">
        <v>0</v>
      </c>
      <c r="AD24" s="147">
        <v>0</v>
      </c>
      <c r="AE24" s="147">
        <v>0</v>
      </c>
      <c r="AF24" s="147">
        <v>0</v>
      </c>
      <c r="AG24" s="147">
        <v>0</v>
      </c>
      <c r="AH24" s="147"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>
        <v>0</v>
      </c>
    </row>
    <row r="25" spans="3:41" x14ac:dyDescent="0.3">
      <c r="C25" s="147">
        <v>47</v>
      </c>
      <c r="D25" s="147">
        <v>4</v>
      </c>
      <c r="E25" s="147">
        <v>1</v>
      </c>
      <c r="F25" s="147">
        <v>55.35</v>
      </c>
      <c r="G25" s="147">
        <v>0</v>
      </c>
      <c r="H25" s="147">
        <v>0.1</v>
      </c>
      <c r="I25" s="147">
        <v>0</v>
      </c>
      <c r="J25" s="147">
        <v>0</v>
      </c>
      <c r="K25" s="147">
        <v>42.25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13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</row>
    <row r="26" spans="3:41" x14ac:dyDescent="0.3">
      <c r="C26" s="147">
        <v>47</v>
      </c>
      <c r="D26" s="147">
        <v>4</v>
      </c>
      <c r="E26" s="147">
        <v>2</v>
      </c>
      <c r="F26" s="147">
        <v>8591.2000000000007</v>
      </c>
      <c r="G26" s="147">
        <v>0</v>
      </c>
      <c r="H26" s="147">
        <v>35.200000000000003</v>
      </c>
      <c r="I26" s="147">
        <v>0</v>
      </c>
      <c r="J26" s="147">
        <v>0</v>
      </c>
      <c r="K26" s="147">
        <v>6481.25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2074.75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</row>
    <row r="27" spans="3:41" x14ac:dyDescent="0.3">
      <c r="C27" s="147">
        <v>47</v>
      </c>
      <c r="D27" s="147">
        <v>4</v>
      </c>
      <c r="E27" s="147">
        <v>4</v>
      </c>
      <c r="F27" s="147">
        <v>410</v>
      </c>
      <c r="G27" s="147">
        <v>0</v>
      </c>
      <c r="H27" s="147">
        <v>0</v>
      </c>
      <c r="I27" s="147">
        <v>0</v>
      </c>
      <c r="J27" s="147">
        <v>0</v>
      </c>
      <c r="K27" s="147">
        <v>180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230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</row>
    <row r="28" spans="3:41" x14ac:dyDescent="0.3">
      <c r="C28" s="147">
        <v>47</v>
      </c>
      <c r="D28" s="147">
        <v>4</v>
      </c>
      <c r="E28" s="147">
        <v>6</v>
      </c>
      <c r="F28" s="147">
        <v>1400039</v>
      </c>
      <c r="G28" s="147">
        <v>0</v>
      </c>
      <c r="H28" s="147">
        <v>9605</v>
      </c>
      <c r="I28" s="147">
        <v>0</v>
      </c>
      <c r="J28" s="147">
        <v>0</v>
      </c>
      <c r="K28" s="147">
        <v>1116901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273533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</row>
    <row r="29" spans="3:41" x14ac:dyDescent="0.3">
      <c r="C29" s="147">
        <v>47</v>
      </c>
      <c r="D29" s="147">
        <v>4</v>
      </c>
      <c r="E29" s="147">
        <v>9</v>
      </c>
      <c r="F29" s="147">
        <v>8772</v>
      </c>
      <c r="G29" s="147">
        <v>0</v>
      </c>
      <c r="H29" s="147">
        <v>0</v>
      </c>
      <c r="I29" s="147">
        <v>0</v>
      </c>
      <c r="J29" s="147">
        <v>0</v>
      </c>
      <c r="K29" s="147">
        <v>8000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772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</row>
    <row r="30" spans="3:41" x14ac:dyDescent="0.3">
      <c r="C30" s="147">
        <v>47</v>
      </c>
      <c r="D30" s="147">
        <v>4</v>
      </c>
      <c r="E30" s="147">
        <v>10</v>
      </c>
      <c r="F30" s="147">
        <v>1000</v>
      </c>
      <c r="G30" s="147">
        <v>0</v>
      </c>
      <c r="H30" s="147">
        <v>0</v>
      </c>
      <c r="I30" s="147">
        <v>0</v>
      </c>
      <c r="J30" s="147">
        <v>0</v>
      </c>
      <c r="K30" s="147">
        <v>1000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</row>
    <row r="31" spans="3:41" x14ac:dyDescent="0.3">
      <c r="C31" s="147">
        <v>47</v>
      </c>
      <c r="D31" s="147">
        <v>4</v>
      </c>
      <c r="E31" s="147">
        <v>11</v>
      </c>
      <c r="F31" s="147">
        <v>8361.613294666915</v>
      </c>
      <c r="G31" s="147">
        <v>0</v>
      </c>
      <c r="H31" s="147">
        <v>28.279961333580143</v>
      </c>
      <c r="I31" s="147">
        <v>0</v>
      </c>
      <c r="J31" s="147">
        <v>0</v>
      </c>
      <c r="K31" s="147">
        <v>8333.3333333333339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</row>
    <row r="32" spans="3:41" x14ac:dyDescent="0.3">
      <c r="C32" s="147">
        <v>47</v>
      </c>
      <c r="D32" s="147">
        <v>5</v>
      </c>
      <c r="E32" s="147">
        <v>1</v>
      </c>
      <c r="F32" s="147">
        <v>55.35</v>
      </c>
      <c r="G32" s="147">
        <v>0</v>
      </c>
      <c r="H32" s="147">
        <v>0.1</v>
      </c>
      <c r="I32" s="147">
        <v>0</v>
      </c>
      <c r="J32" s="147">
        <v>0</v>
      </c>
      <c r="K32" s="147">
        <v>42.25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  <c r="AI32" s="147">
        <v>13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</row>
    <row r="33" spans="3:41" x14ac:dyDescent="0.3">
      <c r="C33" s="147">
        <v>47</v>
      </c>
      <c r="D33" s="147">
        <v>5</v>
      </c>
      <c r="E33" s="147">
        <v>2</v>
      </c>
      <c r="F33" s="147">
        <v>7921.99</v>
      </c>
      <c r="G33" s="147">
        <v>0</v>
      </c>
      <c r="H33" s="147">
        <v>33.6</v>
      </c>
      <c r="I33" s="147">
        <v>0</v>
      </c>
      <c r="J33" s="147">
        <v>0</v>
      </c>
      <c r="K33" s="147">
        <v>5927.39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1961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</row>
    <row r="34" spans="3:41" x14ac:dyDescent="0.3">
      <c r="C34" s="147">
        <v>47</v>
      </c>
      <c r="D34" s="147">
        <v>5</v>
      </c>
      <c r="E34" s="147">
        <v>3</v>
      </c>
      <c r="F34" s="147">
        <v>40</v>
      </c>
      <c r="G34" s="147">
        <v>0</v>
      </c>
      <c r="H34" s="147">
        <v>0</v>
      </c>
      <c r="I34" s="147">
        <v>0</v>
      </c>
      <c r="J34" s="147">
        <v>0</v>
      </c>
      <c r="K34" s="147">
        <v>40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0</v>
      </c>
      <c r="AO34" s="147">
        <v>0</v>
      </c>
    </row>
    <row r="35" spans="3:41" x14ac:dyDescent="0.3">
      <c r="C35" s="147">
        <v>47</v>
      </c>
      <c r="D35" s="147">
        <v>5</v>
      </c>
      <c r="E35" s="147">
        <v>4</v>
      </c>
      <c r="F35" s="147">
        <v>495</v>
      </c>
      <c r="G35" s="147">
        <v>0</v>
      </c>
      <c r="H35" s="147">
        <v>0</v>
      </c>
      <c r="I35" s="147">
        <v>0</v>
      </c>
      <c r="J35" s="147">
        <v>0</v>
      </c>
      <c r="K35" s="147">
        <v>310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185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</row>
    <row r="36" spans="3:41" x14ac:dyDescent="0.3">
      <c r="C36" s="147">
        <v>47</v>
      </c>
      <c r="D36" s="147">
        <v>5</v>
      </c>
      <c r="E36" s="147">
        <v>6</v>
      </c>
      <c r="F36" s="147">
        <v>1489061</v>
      </c>
      <c r="G36" s="147">
        <v>0</v>
      </c>
      <c r="H36" s="147">
        <v>9605</v>
      </c>
      <c r="I36" s="147">
        <v>0</v>
      </c>
      <c r="J36" s="147">
        <v>0</v>
      </c>
      <c r="K36" s="147">
        <v>1201978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277478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</row>
    <row r="37" spans="3:41" x14ac:dyDescent="0.3">
      <c r="C37" s="147">
        <v>47</v>
      </c>
      <c r="D37" s="147">
        <v>5</v>
      </c>
      <c r="E37" s="147">
        <v>9</v>
      </c>
      <c r="F37" s="147">
        <v>8772</v>
      </c>
      <c r="G37" s="147">
        <v>0</v>
      </c>
      <c r="H37" s="147">
        <v>0</v>
      </c>
      <c r="I37" s="147">
        <v>0</v>
      </c>
      <c r="J37" s="147">
        <v>0</v>
      </c>
      <c r="K37" s="147">
        <v>8000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772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</row>
    <row r="38" spans="3:41" x14ac:dyDescent="0.3">
      <c r="C38" s="147">
        <v>47</v>
      </c>
      <c r="D38" s="147">
        <v>5</v>
      </c>
      <c r="E38" s="147">
        <v>10</v>
      </c>
      <c r="F38" s="147">
        <v>900</v>
      </c>
      <c r="G38" s="147">
        <v>0</v>
      </c>
      <c r="H38" s="147">
        <v>900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7">
        <v>0</v>
      </c>
      <c r="AF38" s="147">
        <v>0</v>
      </c>
      <c r="AG38" s="147">
        <v>0</v>
      </c>
      <c r="AH38" s="147"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0</v>
      </c>
      <c r="AN38" s="147">
        <v>0</v>
      </c>
      <c r="AO38" s="147">
        <v>0</v>
      </c>
    </row>
    <row r="39" spans="3:41" x14ac:dyDescent="0.3">
      <c r="C39" s="147">
        <v>47</v>
      </c>
      <c r="D39" s="147">
        <v>5</v>
      </c>
      <c r="E39" s="147">
        <v>11</v>
      </c>
      <c r="F39" s="147">
        <v>8361.613294666915</v>
      </c>
      <c r="G39" s="147">
        <v>0</v>
      </c>
      <c r="H39" s="147">
        <v>28.279961333580143</v>
      </c>
      <c r="I39" s="147">
        <v>0</v>
      </c>
      <c r="J39" s="147">
        <v>0</v>
      </c>
      <c r="K39" s="147">
        <v>8333.3333333333339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7">
        <v>0</v>
      </c>
      <c r="AF39" s="147">
        <v>0</v>
      </c>
      <c r="AG39" s="147">
        <v>0</v>
      </c>
      <c r="AH39" s="147">
        <v>0</v>
      </c>
      <c r="AI39" s="147">
        <v>0</v>
      </c>
      <c r="AJ39" s="147">
        <v>0</v>
      </c>
      <c r="AK39" s="147">
        <v>0</v>
      </c>
      <c r="AL39" s="147">
        <v>0</v>
      </c>
      <c r="AM39" s="147">
        <v>0</v>
      </c>
      <c r="AN39" s="147">
        <v>0</v>
      </c>
      <c r="AO39" s="147">
        <v>0</v>
      </c>
    </row>
    <row r="40" spans="3:41" x14ac:dyDescent="0.3">
      <c r="C40" s="147">
        <v>47</v>
      </c>
      <c r="D40" s="147">
        <v>6</v>
      </c>
      <c r="E40" s="147">
        <v>1</v>
      </c>
      <c r="F40" s="147">
        <v>52.35</v>
      </c>
      <c r="G40" s="147">
        <v>0</v>
      </c>
      <c r="H40" s="147">
        <v>0.1</v>
      </c>
      <c r="I40" s="147">
        <v>0</v>
      </c>
      <c r="J40" s="147">
        <v>0</v>
      </c>
      <c r="K40" s="147">
        <v>39.25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13</v>
      </c>
      <c r="AJ40" s="147">
        <v>0</v>
      </c>
      <c r="AK40" s="147">
        <v>0</v>
      </c>
      <c r="AL40" s="147">
        <v>0</v>
      </c>
      <c r="AM40" s="147">
        <v>0</v>
      </c>
      <c r="AN40" s="147">
        <v>0</v>
      </c>
      <c r="AO40" s="147">
        <v>0</v>
      </c>
    </row>
    <row r="41" spans="3:41" x14ac:dyDescent="0.3">
      <c r="C41" s="147">
        <v>47</v>
      </c>
      <c r="D41" s="147">
        <v>6</v>
      </c>
      <c r="E41" s="147">
        <v>2</v>
      </c>
      <c r="F41" s="147">
        <v>7250.2</v>
      </c>
      <c r="G41" s="147">
        <v>0</v>
      </c>
      <c r="H41" s="147">
        <v>35.200000000000003</v>
      </c>
      <c r="I41" s="147">
        <v>0</v>
      </c>
      <c r="J41" s="147">
        <v>0</v>
      </c>
      <c r="K41" s="147">
        <v>5274.5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1940.5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</row>
    <row r="42" spans="3:41" x14ac:dyDescent="0.3">
      <c r="C42" s="147">
        <v>47</v>
      </c>
      <c r="D42" s="147">
        <v>6</v>
      </c>
      <c r="E42" s="147">
        <v>3</v>
      </c>
      <c r="F42" s="147">
        <v>50</v>
      </c>
      <c r="G42" s="147">
        <v>0</v>
      </c>
      <c r="H42" s="147">
        <v>0</v>
      </c>
      <c r="I42" s="147">
        <v>0</v>
      </c>
      <c r="J42" s="147">
        <v>0</v>
      </c>
      <c r="K42" s="147">
        <v>50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</row>
    <row r="43" spans="3:41" x14ac:dyDescent="0.3">
      <c r="C43" s="147">
        <v>47</v>
      </c>
      <c r="D43" s="147">
        <v>6</v>
      </c>
      <c r="E43" s="147">
        <v>4</v>
      </c>
      <c r="F43" s="147">
        <v>596.5</v>
      </c>
      <c r="G43" s="147">
        <v>0</v>
      </c>
      <c r="H43" s="147">
        <v>0</v>
      </c>
      <c r="I43" s="147">
        <v>0</v>
      </c>
      <c r="J43" s="147">
        <v>0</v>
      </c>
      <c r="K43" s="147">
        <v>371.5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225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</row>
    <row r="44" spans="3:41" x14ac:dyDescent="0.3">
      <c r="C44" s="147">
        <v>47</v>
      </c>
      <c r="D44" s="147">
        <v>6</v>
      </c>
      <c r="E44" s="147">
        <v>6</v>
      </c>
      <c r="F44" s="147">
        <v>1437580</v>
      </c>
      <c r="G44" s="147">
        <v>0</v>
      </c>
      <c r="H44" s="147">
        <v>9605</v>
      </c>
      <c r="I44" s="147">
        <v>0</v>
      </c>
      <c r="J44" s="147">
        <v>0</v>
      </c>
      <c r="K44" s="147">
        <v>1138037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0</v>
      </c>
      <c r="AB44" s="147">
        <v>0</v>
      </c>
      <c r="AC44" s="147">
        <v>0</v>
      </c>
      <c r="AD44" s="147">
        <v>0</v>
      </c>
      <c r="AE44" s="147">
        <v>0</v>
      </c>
      <c r="AF44" s="147">
        <v>0</v>
      </c>
      <c r="AG44" s="147">
        <v>0</v>
      </c>
      <c r="AH44" s="147">
        <v>0</v>
      </c>
      <c r="AI44" s="147">
        <v>289938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</row>
    <row r="45" spans="3:41" x14ac:dyDescent="0.3">
      <c r="C45" s="147">
        <v>47</v>
      </c>
      <c r="D45" s="147">
        <v>6</v>
      </c>
      <c r="E45" s="147">
        <v>9</v>
      </c>
      <c r="F45" s="147">
        <v>23444</v>
      </c>
      <c r="G45" s="147">
        <v>0</v>
      </c>
      <c r="H45" s="147">
        <v>0</v>
      </c>
      <c r="I45" s="147">
        <v>0</v>
      </c>
      <c r="J45" s="147">
        <v>0</v>
      </c>
      <c r="K45" s="147">
        <v>7500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15944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</row>
    <row r="46" spans="3:41" x14ac:dyDescent="0.3">
      <c r="C46" s="147">
        <v>47</v>
      </c>
      <c r="D46" s="147">
        <v>6</v>
      </c>
      <c r="E46" s="147">
        <v>11</v>
      </c>
      <c r="F46" s="147">
        <v>8361.613294666915</v>
      </c>
      <c r="G46" s="147">
        <v>0</v>
      </c>
      <c r="H46" s="147">
        <v>28.279961333580143</v>
      </c>
      <c r="I46" s="147">
        <v>0</v>
      </c>
      <c r="J46" s="147">
        <v>0</v>
      </c>
      <c r="K46" s="147">
        <v>8333.3333333333339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</row>
    <row r="47" spans="3:41" x14ac:dyDescent="0.3">
      <c r="C47" s="147">
        <v>47</v>
      </c>
      <c r="D47" s="147">
        <v>7</v>
      </c>
      <c r="E47" s="147">
        <v>1</v>
      </c>
      <c r="F47" s="147">
        <v>53.35</v>
      </c>
      <c r="G47" s="147">
        <v>0</v>
      </c>
      <c r="H47" s="147">
        <v>0.1</v>
      </c>
      <c r="I47" s="147">
        <v>0</v>
      </c>
      <c r="J47" s="147">
        <v>0</v>
      </c>
      <c r="K47" s="147">
        <v>40.25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47">
        <v>0</v>
      </c>
      <c r="AD47" s="147">
        <v>0</v>
      </c>
      <c r="AE47" s="147">
        <v>0</v>
      </c>
      <c r="AF47" s="147">
        <v>0</v>
      </c>
      <c r="AG47" s="147">
        <v>0</v>
      </c>
      <c r="AH47" s="147">
        <v>0</v>
      </c>
      <c r="AI47" s="147">
        <v>13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>
        <v>0</v>
      </c>
    </row>
    <row r="48" spans="3:41" x14ac:dyDescent="0.3">
      <c r="C48" s="147">
        <v>47</v>
      </c>
      <c r="D48" s="147">
        <v>7</v>
      </c>
      <c r="E48" s="147">
        <v>2</v>
      </c>
      <c r="F48" s="147">
        <v>6267.8</v>
      </c>
      <c r="G48" s="147">
        <v>0</v>
      </c>
      <c r="H48" s="147">
        <v>36.799999999999997</v>
      </c>
      <c r="I48" s="147">
        <v>0</v>
      </c>
      <c r="J48" s="147">
        <v>0</v>
      </c>
      <c r="K48" s="147">
        <v>4720.5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0</v>
      </c>
      <c r="AF48" s="147">
        <v>0</v>
      </c>
      <c r="AG48" s="147">
        <v>0</v>
      </c>
      <c r="AH48" s="147">
        <v>0</v>
      </c>
      <c r="AI48" s="147">
        <v>1510.5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</row>
    <row r="49" spans="3:41" x14ac:dyDescent="0.3">
      <c r="C49" s="147">
        <v>47</v>
      </c>
      <c r="D49" s="147">
        <v>7</v>
      </c>
      <c r="E49" s="147">
        <v>6</v>
      </c>
      <c r="F49" s="147">
        <v>1797207</v>
      </c>
      <c r="G49" s="147">
        <v>0</v>
      </c>
      <c r="H49" s="147">
        <v>9605</v>
      </c>
      <c r="I49" s="147">
        <v>0</v>
      </c>
      <c r="J49" s="147">
        <v>0</v>
      </c>
      <c r="K49" s="147">
        <v>1453936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7">
        <v>0</v>
      </c>
      <c r="AI49" s="147">
        <v>333666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>
        <v>0</v>
      </c>
    </row>
    <row r="50" spans="3:41" x14ac:dyDescent="0.3">
      <c r="C50" s="147">
        <v>47</v>
      </c>
      <c r="D50" s="147">
        <v>7</v>
      </c>
      <c r="E50" s="147">
        <v>9</v>
      </c>
      <c r="F50" s="147">
        <v>474021</v>
      </c>
      <c r="G50" s="147">
        <v>0</v>
      </c>
      <c r="H50" s="147">
        <v>0</v>
      </c>
      <c r="I50" s="147">
        <v>0</v>
      </c>
      <c r="J50" s="147">
        <v>0</v>
      </c>
      <c r="K50" s="147">
        <v>380987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0</v>
      </c>
      <c r="AB50" s="147">
        <v>0</v>
      </c>
      <c r="AC50" s="147">
        <v>0</v>
      </c>
      <c r="AD50" s="147">
        <v>0</v>
      </c>
      <c r="AE50" s="147">
        <v>0</v>
      </c>
      <c r="AF50" s="147">
        <v>0</v>
      </c>
      <c r="AG50" s="147">
        <v>0</v>
      </c>
      <c r="AH50" s="147">
        <v>0</v>
      </c>
      <c r="AI50" s="147">
        <v>93034</v>
      </c>
      <c r="AJ50" s="147">
        <v>0</v>
      </c>
      <c r="AK50" s="147">
        <v>0</v>
      </c>
      <c r="AL50" s="147">
        <v>0</v>
      </c>
      <c r="AM50" s="147">
        <v>0</v>
      </c>
      <c r="AN50" s="147">
        <v>0</v>
      </c>
      <c r="AO50" s="147">
        <v>0</v>
      </c>
    </row>
    <row r="51" spans="3:41" x14ac:dyDescent="0.3">
      <c r="C51" s="147">
        <v>47</v>
      </c>
      <c r="D51" s="147">
        <v>7</v>
      </c>
      <c r="E51" s="147">
        <v>10</v>
      </c>
      <c r="F51" s="147">
        <v>15834</v>
      </c>
      <c r="G51" s="147">
        <v>0</v>
      </c>
      <c r="H51" s="147">
        <v>0</v>
      </c>
      <c r="I51" s="147">
        <v>0</v>
      </c>
      <c r="J51" s="147">
        <v>0</v>
      </c>
      <c r="K51" s="147">
        <v>15834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0</v>
      </c>
      <c r="AF51" s="147">
        <v>0</v>
      </c>
      <c r="AG51" s="147">
        <v>0</v>
      </c>
      <c r="AH51" s="147">
        <v>0</v>
      </c>
      <c r="AI51" s="147">
        <v>0</v>
      </c>
      <c r="AJ51" s="147">
        <v>0</v>
      </c>
      <c r="AK51" s="147">
        <v>0</v>
      </c>
      <c r="AL51" s="147">
        <v>0</v>
      </c>
      <c r="AM51" s="147">
        <v>0</v>
      </c>
      <c r="AN51" s="147">
        <v>0</v>
      </c>
      <c r="AO51" s="147">
        <v>0</v>
      </c>
    </row>
    <row r="52" spans="3:41" x14ac:dyDescent="0.3">
      <c r="C52" s="147">
        <v>47</v>
      </c>
      <c r="D52" s="147">
        <v>7</v>
      </c>
      <c r="E52" s="147">
        <v>11</v>
      </c>
      <c r="F52" s="147">
        <v>8361.613294666915</v>
      </c>
      <c r="G52" s="147">
        <v>0</v>
      </c>
      <c r="H52" s="147">
        <v>28.279961333580143</v>
      </c>
      <c r="I52" s="147">
        <v>0</v>
      </c>
      <c r="J52" s="147">
        <v>0</v>
      </c>
      <c r="K52" s="147">
        <v>8333.3333333333339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7">
        <v>0</v>
      </c>
      <c r="AF52" s="147">
        <v>0</v>
      </c>
      <c r="AG52" s="147">
        <v>0</v>
      </c>
      <c r="AH52" s="147">
        <v>0</v>
      </c>
      <c r="AI52" s="147">
        <v>0</v>
      </c>
      <c r="AJ52" s="147">
        <v>0</v>
      </c>
      <c r="AK52" s="147">
        <v>0</v>
      </c>
      <c r="AL52" s="147">
        <v>0</v>
      </c>
      <c r="AM52" s="147">
        <v>0</v>
      </c>
      <c r="AN52" s="147">
        <v>0</v>
      </c>
      <c r="AO52" s="147">
        <v>0</v>
      </c>
    </row>
    <row r="53" spans="3:41" x14ac:dyDescent="0.3">
      <c r="C53" s="147">
        <v>47</v>
      </c>
      <c r="D53" s="147">
        <v>8</v>
      </c>
      <c r="E53" s="147">
        <v>1</v>
      </c>
      <c r="F53" s="147">
        <v>53.1</v>
      </c>
      <c r="G53" s="147">
        <v>0</v>
      </c>
      <c r="H53" s="147">
        <v>0.1</v>
      </c>
      <c r="I53" s="147">
        <v>0</v>
      </c>
      <c r="J53" s="147">
        <v>0</v>
      </c>
      <c r="K53" s="147">
        <v>39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14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>
        <v>0</v>
      </c>
    </row>
    <row r="54" spans="3:41" x14ac:dyDescent="0.3">
      <c r="C54" s="147">
        <v>47</v>
      </c>
      <c r="D54" s="147">
        <v>8</v>
      </c>
      <c r="E54" s="147">
        <v>2</v>
      </c>
      <c r="F54" s="147">
        <v>6211.1</v>
      </c>
      <c r="G54" s="147">
        <v>0</v>
      </c>
      <c r="H54" s="147">
        <v>33.6</v>
      </c>
      <c r="I54" s="147">
        <v>0</v>
      </c>
      <c r="J54" s="147">
        <v>0</v>
      </c>
      <c r="K54" s="147">
        <v>4903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7">
        <v>0</v>
      </c>
      <c r="V54" s="147">
        <v>0</v>
      </c>
      <c r="W54" s="147">
        <v>0</v>
      </c>
      <c r="X54" s="147">
        <v>0</v>
      </c>
      <c r="Y54" s="147">
        <v>0</v>
      </c>
      <c r="Z54" s="147">
        <v>0</v>
      </c>
      <c r="AA54" s="147">
        <v>0</v>
      </c>
      <c r="AB54" s="147">
        <v>0</v>
      </c>
      <c r="AC54" s="147">
        <v>0</v>
      </c>
      <c r="AD54" s="147">
        <v>0</v>
      </c>
      <c r="AE54" s="147">
        <v>0</v>
      </c>
      <c r="AF54" s="147">
        <v>0</v>
      </c>
      <c r="AG54" s="147">
        <v>0</v>
      </c>
      <c r="AH54" s="147">
        <v>0</v>
      </c>
      <c r="AI54" s="147">
        <v>1274.5</v>
      </c>
      <c r="AJ54" s="147">
        <v>0</v>
      </c>
      <c r="AK54" s="147">
        <v>0</v>
      </c>
      <c r="AL54" s="147">
        <v>0</v>
      </c>
      <c r="AM54" s="147">
        <v>0</v>
      </c>
      <c r="AN54" s="147">
        <v>0</v>
      </c>
      <c r="AO54" s="147">
        <v>0</v>
      </c>
    </row>
    <row r="55" spans="3:41" x14ac:dyDescent="0.3">
      <c r="C55" s="147">
        <v>47</v>
      </c>
      <c r="D55" s="147">
        <v>8</v>
      </c>
      <c r="E55" s="147">
        <v>3</v>
      </c>
      <c r="F55" s="147">
        <v>7.5</v>
      </c>
      <c r="G55" s="147">
        <v>0</v>
      </c>
      <c r="H55" s="147">
        <v>0</v>
      </c>
      <c r="I55" s="147">
        <v>0</v>
      </c>
      <c r="J55" s="147">
        <v>0</v>
      </c>
      <c r="K55" s="147">
        <v>7.5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0</v>
      </c>
      <c r="AH55" s="147"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0</v>
      </c>
    </row>
    <row r="56" spans="3:41" x14ac:dyDescent="0.3">
      <c r="C56" s="147">
        <v>47</v>
      </c>
      <c r="D56" s="147">
        <v>8</v>
      </c>
      <c r="E56" s="147">
        <v>4</v>
      </c>
      <c r="F56" s="147">
        <v>993.75</v>
      </c>
      <c r="G56" s="147">
        <v>0</v>
      </c>
      <c r="H56" s="147">
        <v>0</v>
      </c>
      <c r="I56" s="147">
        <v>0</v>
      </c>
      <c r="J56" s="147">
        <v>0</v>
      </c>
      <c r="K56" s="147">
        <v>576.75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417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</row>
    <row r="57" spans="3:41" x14ac:dyDescent="0.3">
      <c r="C57" s="147">
        <v>47</v>
      </c>
      <c r="D57" s="147">
        <v>8</v>
      </c>
      <c r="E57" s="147">
        <v>6</v>
      </c>
      <c r="F57" s="147">
        <v>1463117</v>
      </c>
      <c r="G57" s="147">
        <v>0</v>
      </c>
      <c r="H57" s="147">
        <v>9605</v>
      </c>
      <c r="I57" s="147">
        <v>0</v>
      </c>
      <c r="J57" s="147">
        <v>0</v>
      </c>
      <c r="K57" s="147">
        <v>1146256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0</v>
      </c>
      <c r="Z57" s="147">
        <v>0</v>
      </c>
      <c r="AA57" s="147">
        <v>0</v>
      </c>
      <c r="AB57" s="147">
        <v>0</v>
      </c>
      <c r="AC57" s="147">
        <v>0</v>
      </c>
      <c r="AD57" s="147">
        <v>0</v>
      </c>
      <c r="AE57" s="147">
        <v>0</v>
      </c>
      <c r="AF57" s="147">
        <v>0</v>
      </c>
      <c r="AG57" s="147">
        <v>0</v>
      </c>
      <c r="AH57" s="147">
        <v>0</v>
      </c>
      <c r="AI57" s="147">
        <v>307256</v>
      </c>
      <c r="AJ57" s="147">
        <v>0</v>
      </c>
      <c r="AK57" s="147">
        <v>0</v>
      </c>
      <c r="AL57" s="147">
        <v>0</v>
      </c>
      <c r="AM57" s="147">
        <v>0</v>
      </c>
      <c r="AN57" s="147">
        <v>0</v>
      </c>
      <c r="AO57" s="147">
        <v>0</v>
      </c>
    </row>
    <row r="58" spans="3:41" x14ac:dyDescent="0.3">
      <c r="C58" s="147">
        <v>47</v>
      </c>
      <c r="D58" s="147">
        <v>8</v>
      </c>
      <c r="E58" s="147">
        <v>9</v>
      </c>
      <c r="F58" s="147">
        <v>29832</v>
      </c>
      <c r="G58" s="147">
        <v>0</v>
      </c>
      <c r="H58" s="147">
        <v>0</v>
      </c>
      <c r="I58" s="147">
        <v>0</v>
      </c>
      <c r="J58" s="147">
        <v>0</v>
      </c>
      <c r="K58" s="147">
        <v>16220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7">
        <v>0</v>
      </c>
      <c r="V58" s="147">
        <v>0</v>
      </c>
      <c r="W58" s="147">
        <v>0</v>
      </c>
      <c r="X58" s="147">
        <v>0</v>
      </c>
      <c r="Y58" s="147">
        <v>0</v>
      </c>
      <c r="Z58" s="147">
        <v>0</v>
      </c>
      <c r="AA58" s="147">
        <v>0</v>
      </c>
      <c r="AB58" s="147">
        <v>0</v>
      </c>
      <c r="AC58" s="147">
        <v>0</v>
      </c>
      <c r="AD58" s="147">
        <v>0</v>
      </c>
      <c r="AE58" s="147">
        <v>0</v>
      </c>
      <c r="AF58" s="147">
        <v>0</v>
      </c>
      <c r="AG58" s="147">
        <v>0</v>
      </c>
      <c r="AH58" s="147">
        <v>0</v>
      </c>
      <c r="AI58" s="147">
        <v>13612</v>
      </c>
      <c r="AJ58" s="147">
        <v>0</v>
      </c>
      <c r="AK58" s="147">
        <v>0</v>
      </c>
      <c r="AL58" s="147">
        <v>0</v>
      </c>
      <c r="AM58" s="147">
        <v>0</v>
      </c>
      <c r="AN58" s="147">
        <v>0</v>
      </c>
      <c r="AO58" s="147">
        <v>0</v>
      </c>
    </row>
    <row r="59" spans="3:41" x14ac:dyDescent="0.3">
      <c r="C59" s="147">
        <v>47</v>
      </c>
      <c r="D59" s="147">
        <v>8</v>
      </c>
      <c r="E59" s="147">
        <v>10</v>
      </c>
      <c r="F59" s="147">
        <v>3200</v>
      </c>
      <c r="G59" s="147">
        <v>0</v>
      </c>
      <c r="H59" s="147">
        <v>0</v>
      </c>
      <c r="I59" s="147">
        <v>0</v>
      </c>
      <c r="J59" s="147">
        <v>0</v>
      </c>
      <c r="K59" s="147">
        <v>3200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7">
        <v>0</v>
      </c>
      <c r="V59" s="147">
        <v>0</v>
      </c>
      <c r="W59" s="147">
        <v>0</v>
      </c>
      <c r="X59" s="147">
        <v>0</v>
      </c>
      <c r="Y59" s="147">
        <v>0</v>
      </c>
      <c r="Z59" s="147">
        <v>0</v>
      </c>
      <c r="AA59" s="147">
        <v>0</v>
      </c>
      <c r="AB59" s="147">
        <v>0</v>
      </c>
      <c r="AC59" s="147">
        <v>0</v>
      </c>
      <c r="AD59" s="147">
        <v>0</v>
      </c>
      <c r="AE59" s="147">
        <v>0</v>
      </c>
      <c r="AF59" s="147">
        <v>0</v>
      </c>
      <c r="AG59" s="147">
        <v>0</v>
      </c>
      <c r="AH59" s="147">
        <v>0</v>
      </c>
      <c r="AI59" s="147">
        <v>0</v>
      </c>
      <c r="AJ59" s="147">
        <v>0</v>
      </c>
      <c r="AK59" s="147">
        <v>0</v>
      </c>
      <c r="AL59" s="147">
        <v>0</v>
      </c>
      <c r="AM59" s="147">
        <v>0</v>
      </c>
      <c r="AN59" s="147">
        <v>0</v>
      </c>
      <c r="AO59" s="147">
        <v>0</v>
      </c>
    </row>
    <row r="60" spans="3:41" x14ac:dyDescent="0.3">
      <c r="C60" s="147">
        <v>47</v>
      </c>
      <c r="D60" s="147">
        <v>8</v>
      </c>
      <c r="E60" s="147">
        <v>11</v>
      </c>
      <c r="F60" s="147">
        <v>8361.613294666915</v>
      </c>
      <c r="G60" s="147">
        <v>0</v>
      </c>
      <c r="H60" s="147">
        <v>28.279961333580143</v>
      </c>
      <c r="I60" s="147">
        <v>0</v>
      </c>
      <c r="J60" s="147">
        <v>0</v>
      </c>
      <c r="K60" s="147">
        <v>8333.3333333333339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>
        <v>0</v>
      </c>
    </row>
    <row r="61" spans="3:41" x14ac:dyDescent="0.3">
      <c r="C61" s="147">
        <v>47</v>
      </c>
      <c r="D61" s="147">
        <v>9</v>
      </c>
      <c r="E61" s="147">
        <v>1</v>
      </c>
      <c r="F61" s="147">
        <v>54.1</v>
      </c>
      <c r="G61" s="147">
        <v>0</v>
      </c>
      <c r="H61" s="147">
        <v>0.1</v>
      </c>
      <c r="I61" s="147">
        <v>0</v>
      </c>
      <c r="J61" s="147">
        <v>0</v>
      </c>
      <c r="K61" s="147">
        <v>40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7">
        <v>0</v>
      </c>
      <c r="V61" s="147">
        <v>0</v>
      </c>
      <c r="W61" s="147">
        <v>0</v>
      </c>
      <c r="X61" s="147">
        <v>0</v>
      </c>
      <c r="Y61" s="147">
        <v>0</v>
      </c>
      <c r="Z61" s="147">
        <v>0</v>
      </c>
      <c r="AA61" s="147">
        <v>0</v>
      </c>
      <c r="AB61" s="147">
        <v>0</v>
      </c>
      <c r="AC61" s="147">
        <v>0</v>
      </c>
      <c r="AD61" s="147">
        <v>0</v>
      </c>
      <c r="AE61" s="147">
        <v>0</v>
      </c>
      <c r="AF61" s="147">
        <v>0</v>
      </c>
      <c r="AG61" s="147">
        <v>0</v>
      </c>
      <c r="AH61" s="147">
        <v>0</v>
      </c>
      <c r="AI61" s="147">
        <v>14</v>
      </c>
      <c r="AJ61" s="147">
        <v>0</v>
      </c>
      <c r="AK61" s="147">
        <v>0</v>
      </c>
      <c r="AL61" s="147">
        <v>0</v>
      </c>
      <c r="AM61" s="147">
        <v>0</v>
      </c>
      <c r="AN61" s="147">
        <v>0</v>
      </c>
      <c r="AO61" s="147">
        <v>0</v>
      </c>
    </row>
    <row r="62" spans="3:41" x14ac:dyDescent="0.3">
      <c r="C62" s="147">
        <v>47</v>
      </c>
      <c r="D62" s="147">
        <v>9</v>
      </c>
      <c r="E62" s="147">
        <v>2</v>
      </c>
      <c r="F62" s="147">
        <v>7457.3</v>
      </c>
      <c r="G62" s="147">
        <v>0</v>
      </c>
      <c r="H62" s="147">
        <v>12.8</v>
      </c>
      <c r="I62" s="147">
        <v>0</v>
      </c>
      <c r="J62" s="147">
        <v>0</v>
      </c>
      <c r="K62" s="147">
        <v>5631.5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7">
        <v>0</v>
      </c>
      <c r="V62" s="147">
        <v>0</v>
      </c>
      <c r="W62" s="147">
        <v>0</v>
      </c>
      <c r="X62" s="147">
        <v>0</v>
      </c>
      <c r="Y62" s="147">
        <v>0</v>
      </c>
      <c r="Z62" s="147">
        <v>0</v>
      </c>
      <c r="AA62" s="147">
        <v>0</v>
      </c>
      <c r="AB62" s="147">
        <v>0</v>
      </c>
      <c r="AC62" s="147">
        <v>0</v>
      </c>
      <c r="AD62" s="147">
        <v>0</v>
      </c>
      <c r="AE62" s="147">
        <v>0</v>
      </c>
      <c r="AF62" s="147">
        <v>0</v>
      </c>
      <c r="AG62" s="147">
        <v>0</v>
      </c>
      <c r="AH62" s="147">
        <v>0</v>
      </c>
      <c r="AI62" s="147">
        <v>1813</v>
      </c>
      <c r="AJ62" s="147">
        <v>0</v>
      </c>
      <c r="AK62" s="147">
        <v>0</v>
      </c>
      <c r="AL62" s="147">
        <v>0</v>
      </c>
      <c r="AM62" s="147">
        <v>0</v>
      </c>
      <c r="AN62" s="147">
        <v>0</v>
      </c>
      <c r="AO62" s="147">
        <v>0</v>
      </c>
    </row>
    <row r="63" spans="3:41" x14ac:dyDescent="0.3">
      <c r="C63" s="147">
        <v>47</v>
      </c>
      <c r="D63" s="147">
        <v>9</v>
      </c>
      <c r="E63" s="147">
        <v>3</v>
      </c>
      <c r="F63" s="147">
        <v>64.2</v>
      </c>
      <c r="G63" s="147">
        <v>0</v>
      </c>
      <c r="H63" s="147">
        <v>11.2</v>
      </c>
      <c r="I63" s="147">
        <v>0</v>
      </c>
      <c r="J63" s="147">
        <v>0</v>
      </c>
      <c r="K63" s="147">
        <v>53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7">
        <v>0</v>
      </c>
      <c r="V63" s="147">
        <v>0</v>
      </c>
      <c r="W63" s="147">
        <v>0</v>
      </c>
      <c r="X63" s="147">
        <v>0</v>
      </c>
      <c r="Y63" s="147">
        <v>0</v>
      </c>
      <c r="Z63" s="147">
        <v>0</v>
      </c>
      <c r="AA63" s="147">
        <v>0</v>
      </c>
      <c r="AB63" s="147">
        <v>0</v>
      </c>
      <c r="AC63" s="147">
        <v>0</v>
      </c>
      <c r="AD63" s="147">
        <v>0</v>
      </c>
      <c r="AE63" s="147">
        <v>0</v>
      </c>
      <c r="AF63" s="147">
        <v>0</v>
      </c>
      <c r="AG63" s="147">
        <v>0</v>
      </c>
      <c r="AH63" s="147">
        <v>0</v>
      </c>
      <c r="AI63" s="147">
        <v>0</v>
      </c>
      <c r="AJ63" s="147">
        <v>0</v>
      </c>
      <c r="AK63" s="147">
        <v>0</v>
      </c>
      <c r="AL63" s="147">
        <v>0</v>
      </c>
      <c r="AM63" s="147">
        <v>0</v>
      </c>
      <c r="AN63" s="147">
        <v>0</v>
      </c>
      <c r="AO63" s="147">
        <v>0</v>
      </c>
    </row>
    <row r="64" spans="3:41" x14ac:dyDescent="0.3">
      <c r="C64" s="147">
        <v>47</v>
      </c>
      <c r="D64" s="147">
        <v>9</v>
      </c>
      <c r="E64" s="147">
        <v>4</v>
      </c>
      <c r="F64" s="147">
        <v>507</v>
      </c>
      <c r="G64" s="147">
        <v>0</v>
      </c>
      <c r="H64" s="147">
        <v>0</v>
      </c>
      <c r="I64" s="147">
        <v>0</v>
      </c>
      <c r="J64" s="147">
        <v>0</v>
      </c>
      <c r="K64" s="147">
        <v>277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230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</row>
    <row r="65" spans="3:41" x14ac:dyDescent="0.3">
      <c r="C65" s="147">
        <v>47</v>
      </c>
      <c r="D65" s="147">
        <v>9</v>
      </c>
      <c r="E65" s="147">
        <v>6</v>
      </c>
      <c r="F65" s="147">
        <v>1381355</v>
      </c>
      <c r="G65" s="147">
        <v>0</v>
      </c>
      <c r="H65" s="147">
        <v>12756</v>
      </c>
      <c r="I65" s="147">
        <v>0</v>
      </c>
      <c r="J65" s="147">
        <v>0</v>
      </c>
      <c r="K65" s="147">
        <v>1108964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  <c r="Z65" s="147">
        <v>0</v>
      </c>
      <c r="AA65" s="147">
        <v>0</v>
      </c>
      <c r="AB65" s="147">
        <v>0</v>
      </c>
      <c r="AC65" s="147">
        <v>0</v>
      </c>
      <c r="AD65" s="147">
        <v>0</v>
      </c>
      <c r="AE65" s="147">
        <v>0</v>
      </c>
      <c r="AF65" s="147">
        <v>0</v>
      </c>
      <c r="AG65" s="147">
        <v>0</v>
      </c>
      <c r="AH65" s="147">
        <v>0</v>
      </c>
      <c r="AI65" s="147">
        <v>259635</v>
      </c>
      <c r="AJ65" s="147">
        <v>0</v>
      </c>
      <c r="AK65" s="147">
        <v>0</v>
      </c>
      <c r="AL65" s="147">
        <v>0</v>
      </c>
      <c r="AM65" s="147">
        <v>0</v>
      </c>
      <c r="AN65" s="147">
        <v>0</v>
      </c>
      <c r="AO65" s="147">
        <v>0</v>
      </c>
    </row>
    <row r="66" spans="3:41" x14ac:dyDescent="0.3">
      <c r="C66" s="147">
        <v>47</v>
      </c>
      <c r="D66" s="147">
        <v>9</v>
      </c>
      <c r="E66" s="147">
        <v>9</v>
      </c>
      <c r="F66" s="147">
        <v>28432</v>
      </c>
      <c r="G66" s="147">
        <v>0</v>
      </c>
      <c r="H66" s="147">
        <v>0</v>
      </c>
      <c r="I66" s="147">
        <v>0</v>
      </c>
      <c r="J66" s="147">
        <v>0</v>
      </c>
      <c r="K66" s="147">
        <v>16508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0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147">
        <v>0</v>
      </c>
      <c r="AG66" s="147">
        <v>0</v>
      </c>
      <c r="AH66" s="147">
        <v>0</v>
      </c>
      <c r="AI66" s="147">
        <v>11924</v>
      </c>
      <c r="AJ66" s="147">
        <v>0</v>
      </c>
      <c r="AK66" s="147">
        <v>0</v>
      </c>
      <c r="AL66" s="147">
        <v>0</v>
      </c>
      <c r="AM66" s="147">
        <v>0</v>
      </c>
      <c r="AN66" s="147">
        <v>0</v>
      </c>
      <c r="AO66" s="147">
        <v>0</v>
      </c>
    </row>
    <row r="67" spans="3:41" x14ac:dyDescent="0.3">
      <c r="C67" s="147">
        <v>47</v>
      </c>
      <c r="D67" s="147">
        <v>9</v>
      </c>
      <c r="E67" s="147">
        <v>11</v>
      </c>
      <c r="F67" s="147">
        <v>8361.613294666915</v>
      </c>
      <c r="G67" s="147">
        <v>0</v>
      </c>
      <c r="H67" s="147">
        <v>28.279961333580143</v>
      </c>
      <c r="I67" s="147">
        <v>0</v>
      </c>
      <c r="J67" s="147">
        <v>0</v>
      </c>
      <c r="K67" s="147">
        <v>8333.3333333333339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0</v>
      </c>
      <c r="AG67" s="147">
        <v>0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  <c r="AO67" s="147">
        <v>0</v>
      </c>
    </row>
    <row r="68" spans="3:41" x14ac:dyDescent="0.3">
      <c r="C68" s="147">
        <v>47</v>
      </c>
      <c r="D68" s="147">
        <v>10</v>
      </c>
      <c r="E68" s="147">
        <v>1</v>
      </c>
      <c r="F68" s="147">
        <v>56.6</v>
      </c>
      <c r="G68" s="147">
        <v>0</v>
      </c>
      <c r="H68" s="147">
        <v>0.1</v>
      </c>
      <c r="I68" s="147">
        <v>0</v>
      </c>
      <c r="J68" s="147">
        <v>0</v>
      </c>
      <c r="K68" s="147">
        <v>42.5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7">
        <v>0</v>
      </c>
      <c r="Z68" s="147">
        <v>0</v>
      </c>
      <c r="AA68" s="147">
        <v>0</v>
      </c>
      <c r="AB68" s="147">
        <v>0</v>
      </c>
      <c r="AC68" s="147">
        <v>0</v>
      </c>
      <c r="AD68" s="147">
        <v>0</v>
      </c>
      <c r="AE68" s="147">
        <v>0</v>
      </c>
      <c r="AF68" s="147">
        <v>0</v>
      </c>
      <c r="AG68" s="147">
        <v>0</v>
      </c>
      <c r="AH68" s="147">
        <v>0</v>
      </c>
      <c r="AI68" s="147">
        <v>14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>
        <v>0</v>
      </c>
    </row>
    <row r="69" spans="3:41" x14ac:dyDescent="0.3">
      <c r="C69" s="147">
        <v>47</v>
      </c>
      <c r="D69" s="147">
        <v>10</v>
      </c>
      <c r="E69" s="147">
        <v>2</v>
      </c>
      <c r="F69" s="147">
        <v>7761.44</v>
      </c>
      <c r="G69" s="147">
        <v>0</v>
      </c>
      <c r="H69" s="147">
        <v>35.200000000000003</v>
      </c>
      <c r="I69" s="147">
        <v>0</v>
      </c>
      <c r="J69" s="147">
        <v>0</v>
      </c>
      <c r="K69" s="147">
        <v>5925.24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1801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>
        <v>0</v>
      </c>
    </row>
    <row r="70" spans="3:41" x14ac:dyDescent="0.3">
      <c r="C70" s="147">
        <v>47</v>
      </c>
      <c r="D70" s="147">
        <v>10</v>
      </c>
      <c r="E70" s="147">
        <v>3</v>
      </c>
      <c r="F70" s="147">
        <v>69.010000000000005</v>
      </c>
      <c r="G70" s="147">
        <v>0</v>
      </c>
      <c r="H70" s="147">
        <v>0</v>
      </c>
      <c r="I70" s="147">
        <v>0</v>
      </c>
      <c r="J70" s="147">
        <v>0</v>
      </c>
      <c r="K70" s="147">
        <v>69.010000000000005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</row>
    <row r="71" spans="3:41" x14ac:dyDescent="0.3">
      <c r="C71" s="147">
        <v>47</v>
      </c>
      <c r="D71" s="147">
        <v>10</v>
      </c>
      <c r="E71" s="147">
        <v>4</v>
      </c>
      <c r="F71" s="147">
        <v>543</v>
      </c>
      <c r="G71" s="147">
        <v>0</v>
      </c>
      <c r="H71" s="147">
        <v>0</v>
      </c>
      <c r="I71" s="147">
        <v>0</v>
      </c>
      <c r="J71" s="147">
        <v>0</v>
      </c>
      <c r="K71" s="147">
        <v>323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7">
        <v>0</v>
      </c>
      <c r="V71" s="147">
        <v>0</v>
      </c>
      <c r="W71" s="147">
        <v>0</v>
      </c>
      <c r="X71" s="147">
        <v>0</v>
      </c>
      <c r="Y71" s="147">
        <v>0</v>
      </c>
      <c r="Z71" s="147">
        <v>0</v>
      </c>
      <c r="AA71" s="147">
        <v>0</v>
      </c>
      <c r="AB71" s="147">
        <v>0</v>
      </c>
      <c r="AC71" s="147">
        <v>0</v>
      </c>
      <c r="AD71" s="147">
        <v>0</v>
      </c>
      <c r="AE71" s="147">
        <v>0</v>
      </c>
      <c r="AF71" s="147">
        <v>0</v>
      </c>
      <c r="AG71" s="147">
        <v>0</v>
      </c>
      <c r="AH71" s="147">
        <v>0</v>
      </c>
      <c r="AI71" s="147">
        <v>220</v>
      </c>
      <c r="AJ71" s="147">
        <v>0</v>
      </c>
      <c r="AK71" s="147">
        <v>0</v>
      </c>
      <c r="AL71" s="147">
        <v>0</v>
      </c>
      <c r="AM71" s="147">
        <v>0</v>
      </c>
      <c r="AN71" s="147">
        <v>0</v>
      </c>
      <c r="AO71" s="147">
        <v>0</v>
      </c>
    </row>
    <row r="72" spans="3:41" x14ac:dyDescent="0.3">
      <c r="C72" s="147">
        <v>47</v>
      </c>
      <c r="D72" s="147">
        <v>10</v>
      </c>
      <c r="E72" s="147">
        <v>6</v>
      </c>
      <c r="F72" s="147">
        <v>1413386</v>
      </c>
      <c r="G72" s="147">
        <v>0</v>
      </c>
      <c r="H72" s="147">
        <v>9605</v>
      </c>
      <c r="I72" s="147">
        <v>0</v>
      </c>
      <c r="J72" s="147">
        <v>0</v>
      </c>
      <c r="K72" s="147">
        <v>1138072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7">
        <v>0</v>
      </c>
      <c r="V72" s="147">
        <v>0</v>
      </c>
      <c r="W72" s="147">
        <v>0</v>
      </c>
      <c r="X72" s="147">
        <v>0</v>
      </c>
      <c r="Y72" s="147">
        <v>0</v>
      </c>
      <c r="Z72" s="147">
        <v>0</v>
      </c>
      <c r="AA72" s="147">
        <v>0</v>
      </c>
      <c r="AB72" s="147">
        <v>0</v>
      </c>
      <c r="AC72" s="147">
        <v>0</v>
      </c>
      <c r="AD72" s="147">
        <v>0</v>
      </c>
      <c r="AE72" s="147">
        <v>0</v>
      </c>
      <c r="AF72" s="147">
        <v>0</v>
      </c>
      <c r="AG72" s="147">
        <v>0</v>
      </c>
      <c r="AH72" s="147">
        <v>0</v>
      </c>
      <c r="AI72" s="147">
        <v>265709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</row>
    <row r="73" spans="3:41" x14ac:dyDescent="0.3">
      <c r="C73" s="147">
        <v>47</v>
      </c>
      <c r="D73" s="147">
        <v>10</v>
      </c>
      <c r="E73" s="147">
        <v>9</v>
      </c>
      <c r="F73" s="147">
        <v>31692</v>
      </c>
      <c r="G73" s="147">
        <v>0</v>
      </c>
      <c r="H73" s="147">
        <v>0</v>
      </c>
      <c r="I73" s="147">
        <v>0</v>
      </c>
      <c r="J73" s="147">
        <v>0</v>
      </c>
      <c r="K73" s="147">
        <v>8072</v>
      </c>
      <c r="L73" s="147">
        <v>0</v>
      </c>
      <c r="M73" s="147">
        <v>0</v>
      </c>
      <c r="N73" s="147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7">
        <v>0</v>
      </c>
      <c r="V73" s="147">
        <v>0</v>
      </c>
      <c r="W73" s="147">
        <v>0</v>
      </c>
      <c r="X73" s="147">
        <v>0</v>
      </c>
      <c r="Y73" s="147">
        <v>0</v>
      </c>
      <c r="Z73" s="147">
        <v>0</v>
      </c>
      <c r="AA73" s="147">
        <v>0</v>
      </c>
      <c r="AB73" s="147">
        <v>0</v>
      </c>
      <c r="AC73" s="147">
        <v>0</v>
      </c>
      <c r="AD73" s="147">
        <v>0</v>
      </c>
      <c r="AE73" s="147">
        <v>0</v>
      </c>
      <c r="AF73" s="147">
        <v>0</v>
      </c>
      <c r="AG73" s="147">
        <v>0</v>
      </c>
      <c r="AH73" s="147">
        <v>0</v>
      </c>
      <c r="AI73" s="147">
        <v>23620</v>
      </c>
      <c r="AJ73" s="147">
        <v>0</v>
      </c>
      <c r="AK73" s="147">
        <v>0</v>
      </c>
      <c r="AL73" s="147">
        <v>0</v>
      </c>
      <c r="AM73" s="147">
        <v>0</v>
      </c>
      <c r="AN73" s="147">
        <v>0</v>
      </c>
      <c r="AO73" s="147">
        <v>0</v>
      </c>
    </row>
    <row r="74" spans="3:41" x14ac:dyDescent="0.3">
      <c r="C74" s="147">
        <v>47</v>
      </c>
      <c r="D74" s="147">
        <v>10</v>
      </c>
      <c r="E74" s="147">
        <v>11</v>
      </c>
      <c r="F74" s="147">
        <v>8361.613294666915</v>
      </c>
      <c r="G74" s="147">
        <v>0</v>
      </c>
      <c r="H74" s="147">
        <v>28.279961333580143</v>
      </c>
      <c r="I74" s="147">
        <v>0</v>
      </c>
      <c r="J74" s="147">
        <v>0</v>
      </c>
      <c r="K74" s="147">
        <v>8333.3333333333339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0</v>
      </c>
      <c r="AA74" s="147">
        <v>0</v>
      </c>
      <c r="AB74" s="147">
        <v>0</v>
      </c>
      <c r="AC74" s="147">
        <v>0</v>
      </c>
      <c r="AD74" s="147">
        <v>0</v>
      </c>
      <c r="AE74" s="147">
        <v>0</v>
      </c>
      <c r="AF74" s="147">
        <v>0</v>
      </c>
      <c r="AG74" s="147">
        <v>0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</row>
    <row r="75" spans="3:41" x14ac:dyDescent="0.3">
      <c r="C75" s="147">
        <v>47</v>
      </c>
      <c r="D75" s="147">
        <v>11</v>
      </c>
      <c r="E75" s="147">
        <v>1</v>
      </c>
      <c r="F75" s="147">
        <v>56.1</v>
      </c>
      <c r="G75" s="147">
        <v>0</v>
      </c>
      <c r="H75" s="147">
        <v>0.1</v>
      </c>
      <c r="I75" s="147">
        <v>0</v>
      </c>
      <c r="J75" s="147">
        <v>0</v>
      </c>
      <c r="K75" s="147">
        <v>43</v>
      </c>
      <c r="L75" s="147">
        <v>0</v>
      </c>
      <c r="M75" s="147">
        <v>0</v>
      </c>
      <c r="N75" s="147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7">
        <v>0</v>
      </c>
      <c r="AC75" s="147">
        <v>0</v>
      </c>
      <c r="AD75" s="147">
        <v>0</v>
      </c>
      <c r="AE75" s="147">
        <v>0</v>
      </c>
      <c r="AF75" s="147">
        <v>0</v>
      </c>
      <c r="AG75" s="147">
        <v>0</v>
      </c>
      <c r="AH75" s="147">
        <v>0</v>
      </c>
      <c r="AI75" s="147">
        <v>13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  <c r="AO75" s="147">
        <v>0</v>
      </c>
    </row>
    <row r="76" spans="3:41" x14ac:dyDescent="0.3">
      <c r="C76" s="147">
        <v>47</v>
      </c>
      <c r="D76" s="147">
        <v>11</v>
      </c>
      <c r="E76" s="147">
        <v>2</v>
      </c>
      <c r="F76" s="147">
        <v>7253.1</v>
      </c>
      <c r="G76" s="147">
        <v>0</v>
      </c>
      <c r="H76" s="147">
        <v>33.6</v>
      </c>
      <c r="I76" s="147">
        <v>0</v>
      </c>
      <c r="J76" s="147">
        <v>0</v>
      </c>
      <c r="K76" s="147">
        <v>5516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0</v>
      </c>
      <c r="Z76" s="147">
        <v>0</v>
      </c>
      <c r="AA76" s="147">
        <v>0</v>
      </c>
      <c r="AB76" s="147">
        <v>0</v>
      </c>
      <c r="AC76" s="147">
        <v>0</v>
      </c>
      <c r="AD76" s="147">
        <v>0</v>
      </c>
      <c r="AE76" s="147">
        <v>0</v>
      </c>
      <c r="AF76" s="147">
        <v>0</v>
      </c>
      <c r="AG76" s="147">
        <v>0</v>
      </c>
      <c r="AH76" s="147">
        <v>0</v>
      </c>
      <c r="AI76" s="147">
        <v>1703.5</v>
      </c>
      <c r="AJ76" s="147">
        <v>0</v>
      </c>
      <c r="AK76" s="147">
        <v>0</v>
      </c>
      <c r="AL76" s="147">
        <v>0</v>
      </c>
      <c r="AM76" s="147">
        <v>0</v>
      </c>
      <c r="AN76" s="147">
        <v>0</v>
      </c>
      <c r="AO76" s="147">
        <v>0</v>
      </c>
    </row>
    <row r="77" spans="3:41" x14ac:dyDescent="0.3">
      <c r="C77" s="147">
        <v>47</v>
      </c>
      <c r="D77" s="147">
        <v>11</v>
      </c>
      <c r="E77" s="147">
        <v>3</v>
      </c>
      <c r="F77" s="147">
        <v>40.9</v>
      </c>
      <c r="G77" s="147">
        <v>0</v>
      </c>
      <c r="H77" s="147">
        <v>6.4</v>
      </c>
      <c r="I77" s="147">
        <v>0</v>
      </c>
      <c r="J77" s="147">
        <v>0</v>
      </c>
      <c r="K77" s="147">
        <v>34.5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0</v>
      </c>
      <c r="AB77" s="147">
        <v>0</v>
      </c>
      <c r="AC77" s="147">
        <v>0</v>
      </c>
      <c r="AD77" s="147">
        <v>0</v>
      </c>
      <c r="AE77" s="147">
        <v>0</v>
      </c>
      <c r="AF77" s="147">
        <v>0</v>
      </c>
      <c r="AG77" s="147">
        <v>0</v>
      </c>
      <c r="AH77" s="147">
        <v>0</v>
      </c>
      <c r="AI77" s="147">
        <v>0</v>
      </c>
      <c r="AJ77" s="147">
        <v>0</v>
      </c>
      <c r="AK77" s="147">
        <v>0</v>
      </c>
      <c r="AL77" s="147">
        <v>0</v>
      </c>
      <c r="AM77" s="147">
        <v>0</v>
      </c>
      <c r="AN77" s="147">
        <v>0</v>
      </c>
      <c r="AO77" s="147">
        <v>0</v>
      </c>
    </row>
    <row r="78" spans="3:41" x14ac:dyDescent="0.3">
      <c r="C78" s="147">
        <v>47</v>
      </c>
      <c r="D78" s="147">
        <v>11</v>
      </c>
      <c r="E78" s="147">
        <v>4</v>
      </c>
      <c r="F78" s="147">
        <v>650.5</v>
      </c>
      <c r="G78" s="147">
        <v>0</v>
      </c>
      <c r="H78" s="147">
        <v>0</v>
      </c>
      <c r="I78" s="147">
        <v>0</v>
      </c>
      <c r="J78" s="147">
        <v>0</v>
      </c>
      <c r="K78" s="147">
        <v>425.5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0</v>
      </c>
      <c r="Z78" s="147">
        <v>0</v>
      </c>
      <c r="AA78" s="147">
        <v>0</v>
      </c>
      <c r="AB78" s="147">
        <v>0</v>
      </c>
      <c r="AC78" s="147">
        <v>0</v>
      </c>
      <c r="AD78" s="147">
        <v>0</v>
      </c>
      <c r="AE78" s="147">
        <v>0</v>
      </c>
      <c r="AF78" s="147">
        <v>0</v>
      </c>
      <c r="AG78" s="147">
        <v>0</v>
      </c>
      <c r="AH78" s="147">
        <v>0</v>
      </c>
      <c r="AI78" s="147">
        <v>225</v>
      </c>
      <c r="AJ78" s="147">
        <v>0</v>
      </c>
      <c r="AK78" s="147">
        <v>0</v>
      </c>
      <c r="AL78" s="147">
        <v>0</v>
      </c>
      <c r="AM78" s="147">
        <v>0</v>
      </c>
      <c r="AN78" s="147">
        <v>0</v>
      </c>
      <c r="AO78" s="147">
        <v>0</v>
      </c>
    </row>
    <row r="79" spans="3:41" x14ac:dyDescent="0.3">
      <c r="C79" s="147">
        <v>47</v>
      </c>
      <c r="D79" s="147">
        <v>11</v>
      </c>
      <c r="E79" s="147">
        <v>6</v>
      </c>
      <c r="F79" s="147">
        <v>1822664</v>
      </c>
      <c r="G79" s="147">
        <v>0</v>
      </c>
      <c r="H79" s="147">
        <v>11435</v>
      </c>
      <c r="I79" s="147">
        <v>0</v>
      </c>
      <c r="J79" s="147">
        <v>0</v>
      </c>
      <c r="K79" s="147">
        <v>1480786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7">
        <v>0</v>
      </c>
      <c r="V79" s="147">
        <v>0</v>
      </c>
      <c r="W79" s="147">
        <v>0</v>
      </c>
      <c r="X79" s="147">
        <v>0</v>
      </c>
      <c r="Y79" s="147">
        <v>0</v>
      </c>
      <c r="Z79" s="147">
        <v>0</v>
      </c>
      <c r="AA79" s="147">
        <v>0</v>
      </c>
      <c r="AB79" s="147">
        <v>0</v>
      </c>
      <c r="AC79" s="147">
        <v>0</v>
      </c>
      <c r="AD79" s="147">
        <v>0</v>
      </c>
      <c r="AE79" s="147">
        <v>0</v>
      </c>
      <c r="AF79" s="147">
        <v>0</v>
      </c>
      <c r="AG79" s="147">
        <v>0</v>
      </c>
      <c r="AH79" s="147">
        <v>0</v>
      </c>
      <c r="AI79" s="147">
        <v>330443</v>
      </c>
      <c r="AJ79" s="147">
        <v>0</v>
      </c>
      <c r="AK79" s="147">
        <v>0</v>
      </c>
      <c r="AL79" s="147">
        <v>0</v>
      </c>
      <c r="AM79" s="147">
        <v>0</v>
      </c>
      <c r="AN79" s="147">
        <v>0</v>
      </c>
      <c r="AO79" s="147">
        <v>0</v>
      </c>
    </row>
    <row r="80" spans="3:41" x14ac:dyDescent="0.3">
      <c r="C80" s="147">
        <v>47</v>
      </c>
      <c r="D80" s="147">
        <v>11</v>
      </c>
      <c r="E80" s="147">
        <v>9</v>
      </c>
      <c r="F80" s="147">
        <v>465219</v>
      </c>
      <c r="G80" s="147">
        <v>0</v>
      </c>
      <c r="H80" s="147">
        <v>0</v>
      </c>
      <c r="I80" s="147">
        <v>0</v>
      </c>
      <c r="J80" s="147">
        <v>0</v>
      </c>
      <c r="K80" s="147">
        <v>374611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7">
        <v>0</v>
      </c>
      <c r="AC80" s="147">
        <v>0</v>
      </c>
      <c r="AD80" s="147">
        <v>0</v>
      </c>
      <c r="AE80" s="147">
        <v>0</v>
      </c>
      <c r="AF80" s="147">
        <v>0</v>
      </c>
      <c r="AG80" s="147">
        <v>0</v>
      </c>
      <c r="AH80" s="147">
        <v>0</v>
      </c>
      <c r="AI80" s="147">
        <v>90608</v>
      </c>
      <c r="AJ80" s="147">
        <v>0</v>
      </c>
      <c r="AK80" s="147">
        <v>0</v>
      </c>
      <c r="AL80" s="147">
        <v>0</v>
      </c>
      <c r="AM80" s="147">
        <v>0</v>
      </c>
      <c r="AN80" s="147">
        <v>0</v>
      </c>
      <c r="AO80" s="147">
        <v>0</v>
      </c>
    </row>
    <row r="81" spans="3:41" x14ac:dyDescent="0.3">
      <c r="C81" s="147">
        <v>47</v>
      </c>
      <c r="D81" s="147">
        <v>11</v>
      </c>
      <c r="E81" s="147">
        <v>10</v>
      </c>
      <c r="F81" s="147">
        <v>4745</v>
      </c>
      <c r="G81" s="147">
        <v>0</v>
      </c>
      <c r="H81" s="147">
        <v>0</v>
      </c>
      <c r="I81" s="147">
        <v>0</v>
      </c>
      <c r="J81" s="147">
        <v>0</v>
      </c>
      <c r="K81" s="147">
        <v>4745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  <c r="AO81" s="147">
        <v>0</v>
      </c>
    </row>
    <row r="82" spans="3:41" x14ac:dyDescent="0.3">
      <c r="C82" s="147">
        <v>47</v>
      </c>
      <c r="D82" s="147">
        <v>11</v>
      </c>
      <c r="E82" s="147">
        <v>11</v>
      </c>
      <c r="F82" s="147">
        <v>8361.613294666915</v>
      </c>
      <c r="G82" s="147">
        <v>0</v>
      </c>
      <c r="H82" s="147">
        <v>28.279961333580143</v>
      </c>
      <c r="I82" s="147">
        <v>0</v>
      </c>
      <c r="J82" s="147">
        <v>0</v>
      </c>
      <c r="K82" s="147">
        <v>8333.3333333333339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Motivace</vt:lpstr>
      <vt:lpstr>HI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2015-12-26T17:27:49Z</dcterms:modified>
</cp:coreProperties>
</file>