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E11" i="339"/>
  <c r="C11" i="339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S6" i="419"/>
  <c r="AO6" i="419"/>
  <c r="AK6" i="419"/>
  <c r="AG6" i="419"/>
  <c r="AC6" i="419"/>
  <c r="Y6" i="419"/>
  <c r="Q6" i="419"/>
  <c r="AR6" i="419"/>
  <c r="AN6" i="419"/>
  <c r="AJ6" i="419"/>
  <c r="AF6" i="419"/>
  <c r="AB6" i="419"/>
  <c r="X6" i="419"/>
  <c r="T6" i="419"/>
  <c r="P6" i="419"/>
  <c r="L6" i="419"/>
  <c r="H6" i="419"/>
  <c r="AL6" i="419"/>
  <c r="AD6" i="419"/>
  <c r="V6" i="419"/>
  <c r="R6" i="419"/>
  <c r="J6" i="419"/>
  <c r="U6" i="419"/>
  <c r="I6" i="419"/>
  <c r="AQ6" i="419"/>
  <c r="AM6" i="419"/>
  <c r="AI6" i="419"/>
  <c r="AE6" i="419"/>
  <c r="AA6" i="419"/>
  <c r="W6" i="419"/>
  <c r="S6" i="419"/>
  <c r="O6" i="419"/>
  <c r="K6" i="419"/>
  <c r="G6" i="419"/>
  <c r="AH6" i="419"/>
  <c r="Z6" i="419"/>
  <c r="N6" i="419"/>
  <c r="F6" i="419"/>
  <c r="M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16" i="414"/>
  <c r="D4" i="414"/>
  <c r="C13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<sst xmlns="http://schemas.openxmlformats.org/spreadsheetml/2006/main" count="2369" uniqueCount="785">
  <si>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</si>
  <si>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</si>
  <si>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</si>
  <si>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</si>
  <si>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</si>
  <si>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</si>
  <si>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</si>
  <si>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</si>
  <si>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</si>
  <si>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</si>
  <si>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</si>
  <si>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</si>
  <si>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</si>
  <si>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</si>
  <si>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</si>
  <si>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</si>
  <si>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</si>
  <si>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</si>
  <si>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</si>
  <si>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</si>
  <si>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</si>
  <si>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</si>
  <si>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</si>
  <si>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</si>
  <si>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</si>
  <si>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</si>
  <si>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</si>
  <si>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</si>
  <si>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</si>
  <si>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</si>
  <si>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</si>
  <si>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</si>
  <si>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</si>
  <si>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</si>
  <si>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</si>
  <si>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</si>
  <si>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</si>
  <si>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</si>
  <si>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</si>
  <si>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</si>
  <si>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</si>
  <si>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</si>
  <si>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</si>
  <si>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</si>
  <si>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</si>
  <si>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</si>
  <si>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</si>
  <si>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</si>
  <si>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</si>
  <si>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</si>
  <si>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</si>
  <si>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</si>
  <si>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</si>
  <si>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</si>
  <si>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</si>
  <si>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</si>
  <si>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</si>
  <si>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</si>
  <si>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</si>
  <si>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</si>
  <si>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</si>
  <si>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</si>
  <si>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</si>
  <si>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</si>
  <si>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</si>
  <si>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</si>
  <si>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</si>
  <si>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</si>
  <si>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</si>
  <si>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</si>
  <si>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</si>
  <si>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</si>
  <si>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</si>
  <si>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</si>
  <si>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</si>
  <si>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</si>
  <si>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</si>
  <si>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</si>
  <si>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</si>
  <si>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</si>
  <si>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</si>
  <si>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</si>
  <si>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</si>
  <si>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</si>
  <si>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</si>
  <si>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</si>
  <si>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</si>
  <si>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</si>
  <si>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</si>
  <si>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</si>
  <si>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</si>
  <si>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</si>
  <si>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</si>
  <si>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</si>
  <si>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</si>
  <si>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</si>
  <si>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</si>
  <si>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</si>
  <si>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</si>
  <si>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</si>
  <si>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</si>
  <si>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</si>
  <si>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</si>
  <si>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</si>
  <si>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</si>
  <si>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</si>
  <si>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</si>
  <si>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</si>
  <si>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</si>
  <si>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</si>
  <si>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</si>
  <si>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</si>
  <si>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</si>
  <si>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</si>
  <si>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</si>
  <si>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</si>
  <si>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</si>
  <si>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</si>
  <si>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</si>
  <si>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</si>
  <si>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</si>
  <si>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</si>
  <si>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</si>
  <si>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</si>
  <si>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</si>
  <si>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</si>
  <si>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</si>
  <si>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</si>
  <si>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</si>
  <si>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</si>
  <si>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</si>
  <si>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</si>
  <si>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</si>
  <si>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</si>
  <si>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</si>
  <si>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</si>
  <si>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</si>
  <si>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</si>
  <si>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</si>
  <si>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</si>
  <si>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</si>
  <si>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</si>
  <si>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</si>
  <si>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</si>
  <si>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</si>
  <si>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</si>
  <si>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</si>
  <si>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</si>
  <si>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</si>
  <si>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</si>
  <si>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</si>
  <si>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</si>
  <si>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</si>
  <si>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</si>
  <si>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</si>
  <si>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</si>
  <si>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</si>
  <si>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</si>
  <si>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</si>
  <si>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</si>
  <si>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</si>
  <si>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</si>
  <si>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</si>
  <si>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</si>
  <si>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</si>
  <si>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</si>
  <si>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</si>
  <si>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</si>
  <si>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</si>
  <si>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</si>
  <si>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</si>
  <si>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</si>
  <si>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</si>
  <si>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</si>
  <si>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</si>
  <si>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ergoterapeuti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</si>
  <si>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</si>
  <si>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</si>
  <si>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</si>
  <si>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</si>
  <si>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</si>
  <si>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</si>
  <si>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</si>
  <si>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</si>
  <si>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</si>
  <si>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</si>
  <si>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</si>
  <si>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</si>
  <si>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</si>
  <si>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</si>
  <si>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</si>
  <si>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</si>
  <si>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</si>
  <si>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</si>
  <si>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</si>
  <si>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</si>
  <si>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</si>
  <si>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</si>
  <si>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</si>
  <si>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</si>
  <si>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</si>
  <si>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</si>
  <si>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</si>
  <si>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</si>
  <si>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</si>
  <si>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</si>
  <si>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</si>
  <si>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</si>
  <si>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</si>
  <si>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</si>
  <si>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</si>
  <si>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</si>
  <si>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</si>
  <si>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</si>
  <si>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</si>
  <si>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</si>
  <si>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</si>
  <si>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</si>
  <si>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</si>
  <si>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</si>
  <si>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</si>
  <si>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</si>
  <si>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</si>
  <si>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</si>
  <si>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</si>
  <si>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</si>
  <si>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</si>
  <si>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</si>
  <si>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</si>
  <si>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</si>
  <si>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</si>
  <si>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</si>
  <si>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</si>
  <si>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</si>
  <si>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</si>
  <si>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</si>
  <si>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</si>
  <si>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</si>
  <si>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</si>
  <si>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</si>
  <si>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</si>
  <si>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</si>
  <si>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</si>
  <si>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--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</si>
  <si>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</si>
  <si>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</si>
  <si>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</si>
  <si>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</si>
  <si>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</si>
  <si>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</si>
  <si>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</si>
  <si>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</si>
  <si>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</si>
  <si>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</si>
  <si>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</si>
  <si>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</si>
  <si>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</si>
  <si>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</si>
  <si>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</si>
  <si>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</si>
  <si>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</si>
  <si>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</si>
  <si>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</si>
  <si>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</si>
  <si>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</si>
  <si>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</si>
  <si>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</si>
  <si>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</si>
  <si>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</si>
  <si>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</si>
  <si>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</si>
  <si>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</si>
  <si>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</si>
  <si>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</si>
  <si>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</si>
  <si>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</si>
  <si>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</si>
  <si>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</si>
  <si>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</si>
  <si>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</si>
  <si>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</si>
  <si>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</si>
  <si>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</si>
  <si>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</si>
  <si>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</si>
  <si>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</si>
  <si>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</si>
  <si>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</si>
  <si>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</si>
  <si>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</si>
  <si>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</si>
  <si>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</si>
  <si>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</si>
  <si>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</si>
  <si>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</si>
  <si>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</si>
  <si>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</si>
  <si>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</si>
  <si>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</si>
  <si>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</si>
  <si>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</si>
  <si>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</si>
  <si>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</si>
  <si>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</si>
  <si>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</si>
  <si>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</si>
  <si>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</si>
  <si>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</si>
  <si>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</si>
  <si>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</si>
  <si>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</si>
  <si>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</si>
  <si>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</si>
  <si>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</si>
  <si>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</si>
  <si>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</si>
  <si>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</si>
  <si>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</si>
  <si>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</si>
  <si>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</si>
  <si>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</si>
  <si>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</si>
  <si>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</si>
  <si>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</si>
  <si>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</si>
  <si>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</si>
  <si>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</si>
  <si>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</si>
  <si>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</si>
  <si>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</si>
  <si>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</si>
  <si>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</si>
  <si>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</si>
  <si>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</si>
  <si>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</si>
  <si>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</si>
  <si>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</si>
  <si>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</si>
  <si>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</si>
  <si>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</si>
  <si>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</si>
  <si>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</si>
  <si>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</si>
  <si>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</si>
  <si>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</si>
  <si>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</si>
  <si>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</si>
  <si>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</si>
  <si>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</si>
  <si>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</si>
  <si>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</si>
  <si>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</si>
  <si>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</si>
  <si>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</si>
  <si>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</si>
  <si>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</si>
  <si>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</si>
  <si>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</si>
  <si>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</si>
  <si>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</si>
  <si>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</si>
  <si>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</si>
  <si>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</si>
  <si>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</si>
  <si>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</si>
  <si>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</si>
  <si>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</si>
  <si>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</si>
  <si>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</si>
  <si>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</si>
  <si>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</si>
  <si>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</si>
  <si>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</si>
  <si>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</si>
  <si>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</si>
  <si>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</si>
  <si>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</si>
  <si>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</si>
  <si>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</si>
  <si>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</si>
  <si>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</si>
  <si>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</si>
  <si>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</si>
  <si>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</si>
  <si>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</si>
  <si>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</si>
  <si>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</si>
  <si>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</si>
  <si>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</si>
  <si>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</si>
  <si>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</si>
  <si>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</si>
  <si>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</si>
  <si>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</si>
  <si>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</si>
  <si>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</si>
  <si>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</si>
  <si>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</si>
  <si>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</si>
  <si>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</si>
  <si>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</si>
  <si>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</si>
  <si>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</si>
  <si>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</si>
  <si>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</si>
  <si>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</si>
  <si>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</si>
  <si>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</si>
  <si>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</si>
  <si>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</si>
  <si>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</si>
  <si>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</si>
  <si>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905098</t>
  </si>
  <si>
    <t>23989</t>
  </si>
  <si>
    <t>DZ OCTENISEPT 1 l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</si>
  <si>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</si>
  <si>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</si>
  <si>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</si>
  <si>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</si>
  <si>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</si>
  <si>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</si>
  <si>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</si>
  <si>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844940</t>
  </si>
  <si>
    <t>0</t>
  </si>
  <si>
    <t>KL ELIXÍR NA OPTIKU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</si>
  <si>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</si>
  <si>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</si>
  <si>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</si>
  <si>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</si>
  <si>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</si>
  <si>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</si>
  <si>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</si>
  <si>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16326</t>
  </si>
  <si>
    <t>BRAUNOVIDON GÁZA S MASTÍ</t>
  </si>
  <si>
    <t>DRM LIG IPR 10X7.5X10CM</t>
  </si>
  <si>
    <t>501717</t>
  </si>
  <si>
    <t xml:space="preserve">IR  NaCl 0,9% Fresenius CFX DUO 3000 ml </t>
  </si>
  <si>
    <t>50113013</t>
  </si>
  <si>
    <t>114875</t>
  </si>
  <si>
    <t>14875</t>
  </si>
  <si>
    <t>IALUGEN PLUS</t>
  </si>
  <si>
    <t>CRM 1X20GM</t>
  </si>
  <si>
    <t>394712</t>
  </si>
  <si>
    <t>IR  AQUA STERILE OPLACH.1x1000 ml ECOTAINER</t>
  </si>
  <si>
    <t>IR OPLACH</t>
  </si>
  <si>
    <t>102668</t>
  </si>
  <si>
    <t>2668</t>
  </si>
  <si>
    <t>OPHTHALMO-HYDROCORTISON LECIVA</t>
  </si>
  <si>
    <t>UNG OPH 1X5GM 0.5%</t>
  </si>
  <si>
    <t>Centrální operační sály</t>
  </si>
  <si>
    <t>COSS: centrální operační sály</t>
  </si>
  <si>
    <t>COSS: operační sály dětské chirurgie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</si>
  <si>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</si>
  <si>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</si>
  <si>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</si>
  <si>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</si>
  <si>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</si>
  <si>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</si>
  <si>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</si>
  <si>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</si>
  <si>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</si>
  <si>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</si>
  <si>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</si>
  <si>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ZA451</t>
  </si>
  <si>
    <t>Náplast omniplast 5,0 cm x 9,2 m 9004540 (900429)</t>
  </si>
  <si>
    <t>ZA465</t>
  </si>
  <si>
    <t>Fólie incizní raucodrape sterilní 45 x 50 cm 25445</t>
  </si>
  <si>
    <t>ZA480</t>
  </si>
  <si>
    <t>Fólie incizní raucodrape 15 x 20 cm á 10 ks 25441</t>
  </si>
  <si>
    <t>ZA547</t>
  </si>
  <si>
    <t>Krytí inadine nepřilnavé 9,5 x 9,5 cm 1/10 SYS01512EE</t>
  </si>
  <si>
    <t>ZA601</t>
  </si>
  <si>
    <t>Obinadlo fixa crep 12 cm x 4 m 1323100105</t>
  </si>
  <si>
    <t>ZB084</t>
  </si>
  <si>
    <t>Náplast transpore 2,50 cm x 9,14 m 1527-1</t>
  </si>
  <si>
    <t>ZB085</t>
  </si>
  <si>
    <t>Krytí hemostatické standard 5 x 7,50 cm bal. á 12 ks 1903GB</t>
  </si>
  <si>
    <t>ZC352</t>
  </si>
  <si>
    <t>Obinadlo elastické universalní 12 cm x 10 m bal. á 12 ks 1320200207</t>
  </si>
  <si>
    <t>ZC848</t>
  </si>
  <si>
    <t>Obvaz ortho-pad 10 cm x 3 m pod sádru á 6 ks karton á 120 ks 1320105004</t>
  </si>
  <si>
    <t>ZD104</t>
  </si>
  <si>
    <t>Náplast omniplast 10,0 cm x 10,0 m 9004472 (900535)</t>
  </si>
  <si>
    <t>ZD829</t>
  </si>
  <si>
    <t>Bandáž evelína pod sádru 1321303125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</si>
  <si>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</si>
  <si>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</si>
  <si>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</si>
  <si>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</si>
  <si>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</si>
  <si>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</si>
  <si>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</si>
  <si>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</si>
  <si>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</si>
  <si>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</si>
  <si>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ZB086</t>
  </si>
  <si>
    <t>Krytí hemostatické surgicel standard 10 x 20,0 cm bal. á 12 ks 1902GB</t>
  </si>
  <si>
    <t>ZL663</t>
  </si>
  <si>
    <t>Krytí mastný tyl pharmatull 10 x 10 cm bal. á 10 ks P-Tull1010</t>
  </si>
  <si>
    <t>ZL664</t>
  </si>
  <si>
    <t>Krytí mastný tyl pharmatull 10 x 20 cm bal. á 10 ks P-Tull1020</t>
  </si>
  <si>
    <t>ZL974</t>
  </si>
  <si>
    <t>Pěna renasys-F velký set (L) 66800796</t>
  </si>
  <si>
    <t>ZE824</t>
  </si>
  <si>
    <t>Krytí ccellistyp 5 x 7 cm bal. á 15 ks (náhrada za okcel) 2080508</t>
  </si>
  <si>
    <t>ZF450</t>
  </si>
  <si>
    <t>Obinadlo elastické lenkideal krátkotažné 10 cm x 5 m bal. á 10 ks 19583</t>
  </si>
  <si>
    <t>ZL987</t>
  </si>
  <si>
    <t>Soft port 69 cm s koncovkou 15 x 10 cm 66800799</t>
  </si>
  <si>
    <t>ZA645</t>
  </si>
  <si>
    <t>Krytí s mastí atrauman 5 x 5 cm bal. á 10 ks 499571</t>
  </si>
  <si>
    <t>ZB048</t>
  </si>
  <si>
    <t>Krytí cellistyp F (fibrilar) 2,5 x 5 cm bal. á 10 ks (náhrada za okcel) 2082025</t>
  </si>
  <si>
    <t>ZM582</t>
  </si>
  <si>
    <t>Obinadlo elastické lenkideal krátkotažné 15 cm x 5 m bal. á 10 ks 19584</t>
  </si>
  <si>
    <t>ZA798</t>
  </si>
  <si>
    <t>Krytí hemostatické traumacel P 2g ks bal. 1 ks zásyp 80521</t>
  </si>
  <si>
    <t>ZM466</t>
  </si>
  <si>
    <t>Soft port kit renasys-F/AB abdominal foam 66800980</t>
  </si>
  <si>
    <t>ZA513</t>
  </si>
  <si>
    <t>Krytí s mastí atrauman 10 x 10 cm bal. á 10 ks 499573</t>
  </si>
  <si>
    <t>ZA194</t>
  </si>
  <si>
    <t>Krytí hemostatické surgicel standard 5 x 1,25 cm bal. á 12 ks 1906GB</t>
  </si>
  <si>
    <t>ZA210</t>
  </si>
  <si>
    <t>Cévka vyživovací CV-01 GAM646957</t>
  </si>
  <si>
    <t>ZA674</t>
  </si>
  <si>
    <t>Cévka CN-01, bal.á 40 ks,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</si>
  <si>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</si>
  <si>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</si>
  <si>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</si>
  <si>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</si>
  <si>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</si>
  <si>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</si>
  <si>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</si>
  <si>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</si>
  <si>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</si>
  <si>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</si>
  <si>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</si>
  <si>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</si>
  <si>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</si>
  <si>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</si>
  <si>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ZB103</t>
  </si>
  <si>
    <t>Láhev k odsávačce flovac 2l hadice 1,8 m 000-036-021</t>
  </si>
  <si>
    <t>ZB249</t>
  </si>
  <si>
    <t>Sáček močový s křížovou výpustí 2000 ml ZAR-TNU201601</t>
  </si>
  <si>
    <t>ZB384</t>
  </si>
  <si>
    <t>Stříkačka injekční 3-dílná 20 ml LL Omnifix Solo se závitem bal. á 100 ks 4617207V</t>
  </si>
  <si>
    <t>ZB598</t>
  </si>
  <si>
    <t>Spojka symetrická přímá 7 x 7 mm 60.23.00 (120 430)</t>
  </si>
  <si>
    <t>ZB758</t>
  </si>
  <si>
    <t>Zkumavka 9 ml K3 edta NR 455036</t>
  </si>
  <si>
    <t>ZC752</t>
  </si>
  <si>
    <t>Čepelka skalpelová 15 BB515</t>
  </si>
  <si>
    <t>ZC755</t>
  </si>
  <si>
    <t>Čepelka skalpelová 22 BB522</t>
  </si>
  <si>
    <t>ZE310</t>
  </si>
  <si>
    <t>Nádoba na kontaminovaný odpad CS 6 l pův. 077802300</t>
  </si>
  <si>
    <t>ZF159</t>
  </si>
  <si>
    <t>Nádoba na kontaminovaný odpad 1 l 15-0002</t>
  </si>
  <si>
    <t>ZI179</t>
  </si>
  <si>
    <t>Zkumavka s mediem+ flovakovaný tampon eSwab růžový 490CE.A</t>
  </si>
  <si>
    <t>ZK978</t>
  </si>
  <si>
    <t>Cévka odsávací CH16 s přerušovačem sání P01175a</t>
  </si>
  <si>
    <t>ZA891</t>
  </si>
  <si>
    <t>Elektroda neutrální nessy ke koagulaci á 50 ks 20193-070</t>
  </si>
  <si>
    <t>ZA783</t>
  </si>
  <si>
    <t>Drén Easy Flow 40 mm/30 cm, á 10 ks, 97.816.92.224</t>
  </si>
  <si>
    <t>ZM600</t>
  </si>
  <si>
    <t>Spojka flovac žlutá 000-036-102</t>
  </si>
  <si>
    <t>ZB708</t>
  </si>
  <si>
    <t>Katetr močový foley CH6 silikon 23.000.14.206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</si>
  <si>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</si>
  <si>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</si>
  <si>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</si>
  <si>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</si>
  <si>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ZH852</t>
  </si>
  <si>
    <t>Souprava odsávací zahnutá Yankauer 6 mm s rukojetí hadice CH 25 délka 2 m 34101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</si>
  <si>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</si>
  <si>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</si>
  <si>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</si>
  <si>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</si>
  <si>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</si>
  <si>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</si>
  <si>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</si>
  <si>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</si>
  <si>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ZH035</t>
  </si>
  <si>
    <t>Esmarch 12 cm x 5 m resterilizovatelný do 134° bezlatexový 20-20-120</t>
  </si>
  <si>
    <t>ZE174</t>
  </si>
  <si>
    <t>Nádoba na histologický mat. 920 ml Z1333000041024</t>
  </si>
  <si>
    <t>ZA892</t>
  </si>
  <si>
    <t>Elektroda neutrální kojenecká bal. á 50 ks 20193-073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</si>
  <si>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</si>
  <si>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</si>
  <si>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</si>
  <si>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</si>
  <si>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ZA523</t>
  </si>
  <si>
    <t>Klip hem-o-lok L 14 x 6 klipů WK544240</t>
  </si>
  <si>
    <t>ZK870</t>
  </si>
  <si>
    <t>Trokar s ostřím a fixačním balonkem 12 x 100 mm CFB73</t>
  </si>
  <si>
    <t>ZC473</t>
  </si>
  <si>
    <t>Obturátor á 24 ks 420023</t>
  </si>
  <si>
    <t>ZD613</t>
  </si>
  <si>
    <t>Obal na rameno robota bal. á 20 ks 420015</t>
  </si>
  <si>
    <t>ZE547</t>
  </si>
  <si>
    <t>Trokar xcel pr. 12 mm D12XT</t>
  </si>
  <si>
    <t>ZE762</t>
  </si>
  <si>
    <t>Nástroj robotický jehelec 8 mm 1 kus = 10 životů 420006</t>
  </si>
  <si>
    <t>ZE765</t>
  </si>
  <si>
    <t>Nástroj robotický kleště 8 mm 420093</t>
  </si>
  <si>
    <t>ZE766</t>
  </si>
  <si>
    <t>Nástroj robotický příslušenství 400180</t>
  </si>
  <si>
    <t>ZE842</t>
  </si>
  <si>
    <t>Obal na kameru sterilní Camera drape bal. á 20 ks 400027</t>
  </si>
  <si>
    <t>ZE843</t>
  </si>
  <si>
    <t>Obal na kameru sterilní Camera arm drape bal. á 20 ks 420022</t>
  </si>
  <si>
    <t>ZE916</t>
  </si>
  <si>
    <t>Trokar xcel pr. 12 mm D12LT</t>
  </si>
  <si>
    <t>ZE918</t>
  </si>
  <si>
    <t>Nůžky monopolární na pálení 420179  1kus=10životů</t>
  </si>
  <si>
    <t>ZE919</t>
  </si>
  <si>
    <t>Kleště biopolární maryland 420172</t>
  </si>
  <si>
    <t>ZK871</t>
  </si>
  <si>
    <t>Trokar s ostřím a fixačním balonkem 12 x 150 mm CFB71</t>
  </si>
  <si>
    <t>ZM556</t>
  </si>
  <si>
    <t>Sáček laparoskopický Memo bag 200 ml pro 10 mm trocar bal. á 5 ks 332800-000010</t>
  </si>
  <si>
    <t>ZH859</t>
  </si>
  <si>
    <t>Kamera arm sterile adapter 370534</t>
  </si>
  <si>
    <t>ZK869</t>
  </si>
  <si>
    <t>Jehla insuflační 120 mm, bal.á 20 ks, C2201</t>
  </si>
  <si>
    <t>ZA958</t>
  </si>
  <si>
    <t>Šití safil fialový 2/0 (3) bal. á 36 ks C1048251</t>
  </si>
  <si>
    <t>ZB033</t>
  </si>
  <si>
    <t>Šití dafilon modrý 3/0 (2) bal. á 36 ks C0935468</t>
  </si>
  <si>
    <t>ZB215</t>
  </si>
  <si>
    <t>Šití safil fialový 3/0 (2) bal. á 36 ks C1048041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</si>
  <si>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</si>
  <si>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</si>
  <si>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</si>
  <si>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</si>
  <si>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</si>
  <si>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</si>
  <si>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ZC690</t>
  </si>
  <si>
    <t>Šití vicryl plus vi 3-0 bal. á 36 ks VCP1225H</t>
  </si>
  <si>
    <t>ZF699</t>
  </si>
  <si>
    <t>Šití premicron zelený 3/0 (2.5) bal. á 12 ks G0120060</t>
  </si>
  <si>
    <t>ZG849</t>
  </si>
  <si>
    <t>Šití premicron zelený 2/0 (3) bal. á 12 ks G0120061</t>
  </si>
  <si>
    <t>ZB279</t>
  </si>
  <si>
    <t>Šití prolene bl 6-0 bal. á 12 ks W8815</t>
  </si>
  <si>
    <t>ZB286</t>
  </si>
  <si>
    <t>Šití prolene bl 7-0 bal. á 12 ks W8704</t>
  </si>
  <si>
    <t>ZI467</t>
  </si>
  <si>
    <t>Šití monoplus fialový 1 (4) bal. á 24 ks B0024091</t>
  </si>
  <si>
    <t>ZA959</t>
  </si>
  <si>
    <t>Šití safil fialový 3/0 (2) bal. á 36 ks C1048241</t>
  </si>
  <si>
    <t>ZB508</t>
  </si>
  <si>
    <t>Šití safil fialový 2/0 (3) bal. á 12 ks G1038716</t>
  </si>
  <si>
    <t>ZB166</t>
  </si>
  <si>
    <t>Šití safil fialový 2/0 (3) bal. á 36 ks C1048095</t>
  </si>
  <si>
    <t>ZB219</t>
  </si>
  <si>
    <t>Šití safil fialový 2 (5) bal. á 24 ks B1048535</t>
  </si>
  <si>
    <t>ZJ135</t>
  </si>
  <si>
    <t>Šití supolene zelený 3,5EP 0 USP á 36 ks 90618</t>
  </si>
  <si>
    <t>ZE535</t>
  </si>
  <si>
    <t>Šití vicryl rapide un 6-0 bal. á 12 ks W9913</t>
  </si>
  <si>
    <t>ZB214</t>
  </si>
  <si>
    <t>Šití safil fialový 4/0 (1.5) bal. á 36 ks C1048029</t>
  </si>
  <si>
    <t>ZB213</t>
  </si>
  <si>
    <t>Šití safil fialový 5/0 (1) bal. á 36 ks C1048012</t>
  </si>
  <si>
    <t>ZA853</t>
  </si>
  <si>
    <t>Šití prolene bl 5-0 bal. á 12 ks W8830</t>
  </si>
  <si>
    <t>ZM354</t>
  </si>
  <si>
    <t>Šití PDSII vi 5-0 bal. á 36 ks W9108H</t>
  </si>
  <si>
    <t>ZA781</t>
  </si>
  <si>
    <t>Šití maxon 3/0 bal. á 36 ks 8886621741</t>
  </si>
  <si>
    <t>ZB212</t>
  </si>
  <si>
    <t>Šití safil fialový 6/0 (0.7) bal. á 36 ks C1048006</t>
  </si>
  <si>
    <t>ZG003</t>
  </si>
  <si>
    <t>Šití prolene bl 5-0 bal. á 12 ks W8816</t>
  </si>
  <si>
    <t>ZA833</t>
  </si>
  <si>
    <t>Jehla injekční 0,8 x 40 mm zelená 4657527</t>
  </si>
  <si>
    <t>ZA834</t>
  </si>
  <si>
    <t>Jehla injekční 0,7 x 40 mm černá 4660021</t>
  </si>
  <si>
    <t>ZB168</t>
  </si>
  <si>
    <t>Jehla chirurgická 0,9 x 36 B10</t>
  </si>
  <si>
    <t>ZB479</t>
  </si>
  <si>
    <t>Jehla chirurgická B12</t>
  </si>
  <si>
    <t>ZB556</t>
  </si>
  <si>
    <t>Jehla injekční 1,2 x 40 mm růžová 4665120</t>
  </si>
  <si>
    <t>ZH201</t>
  </si>
  <si>
    <t>Jehla injekční 0,8 x 120 mm zelená 4665643</t>
  </si>
  <si>
    <t>ZB868</t>
  </si>
  <si>
    <t>Jehla perican 18G 1,30 x 80 mm pro epid.anest. bal. á 25 ks 4512383</t>
  </si>
  <si>
    <t>ZB169</t>
  </si>
  <si>
    <t>Jehla chirurgická PB3</t>
  </si>
  <si>
    <t>ZB470</t>
  </si>
  <si>
    <t>Jehla chirurgická PB4</t>
  </si>
  <si>
    <t>ZG674</t>
  </si>
  <si>
    <t>Jehla chirurgická s pérovými oušky bal. á 12 ks DSF - 21 3073</t>
  </si>
  <si>
    <t>ZG673</t>
  </si>
  <si>
    <t>Jehla chirurgická s pérovými oušky bal. á 12 ks DSF - 25 3072</t>
  </si>
  <si>
    <t>ZB106</t>
  </si>
  <si>
    <t>Jehla bioptická tru cat bal. á 5 ks HSPRE1615</t>
  </si>
  <si>
    <t>ZK482</t>
  </si>
  <si>
    <t>Rukavice operační latexové bez pudru ortpedic vel. 8,0 5788205 (330106080)</t>
  </si>
  <si>
    <t>ZK483</t>
  </si>
  <si>
    <t>Rukavice operační latexové bez pudru ortpedic vel. 7,5 5788204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</si>
  <si>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</si>
  <si>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</si>
  <si>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</si>
  <si>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</si>
  <si>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</si>
  <si>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latex PF bez pudru 6,5 330048065</t>
  </si>
  <si>
    <t>ZN126</t>
  </si>
  <si>
    <t>Rukavice operační gammex latex PF bez pudru 7,0 330048070</t>
  </si>
  <si>
    <t>ZN130</t>
  </si>
  <si>
    <t>Rukavice operační gammex latex PF bez pudru 6,0 330048060</t>
  </si>
  <si>
    <t>ZN108</t>
  </si>
  <si>
    <t>Rukavice operační gammex latex PF bez pudru 8,0 330048080</t>
  </si>
  <si>
    <t>ZN125</t>
  </si>
  <si>
    <t>Rukavice operační gammex latex PF bez pudru 7,5 330048075</t>
  </si>
  <si>
    <t>ZK479</t>
  </si>
  <si>
    <t>Rukavice operační latexové bez pudru ortpedic vel. 8,5 5788206</t>
  </si>
  <si>
    <t>ZH072</t>
  </si>
  <si>
    <t>Hadice spojovací k odsávacím soupravám CH30 délka 3 m 07.068.30.301</t>
  </si>
  <si>
    <t>ZE385</t>
  </si>
  <si>
    <t>Hadice silikon 1 x 3,0 mm á 25 m (34.000.00.100) 70232</t>
  </si>
  <si>
    <t>ZJ368</t>
  </si>
  <si>
    <t>Hadice sací trychtýř-trychtýř bal. á 30 ks 07.068.30.300</t>
  </si>
  <si>
    <t>ZJ687</t>
  </si>
  <si>
    <t>Krytí hemostatické gelitaspon tampon   80 x 30 mm bal. á 5 ks GS -210</t>
  </si>
  <si>
    <t>ZN105</t>
  </si>
  <si>
    <t>Rouška břišní NT Special s RTG vláknem sterilní 30 x 30 cm 130g/m2 bal. á 5 ks 187705-08</t>
  </si>
  <si>
    <t>ZF381</t>
  </si>
  <si>
    <t>Tampon sterilní stáčený 20 x 20 cm s RTG nití bal. á 10 ks 28203</t>
  </si>
  <si>
    <t>ZE898</t>
  </si>
  <si>
    <t>Tampon sterilní stáčený 50 x 50 cm / á 5 ks 28017</t>
  </si>
  <si>
    <t>ZA761</t>
  </si>
  <si>
    <t>Drén redon CH12 50 cm U2111200</t>
  </si>
  <si>
    <t>ZL862</t>
  </si>
  <si>
    <t>Rezervoár balonkový sací J-VAC 100ml bal á 10 ks 2160</t>
  </si>
  <si>
    <t>ZL861</t>
  </si>
  <si>
    <t>Drén silikonový BLAKE plochý 7 mm bal á 10 ks 2211</t>
  </si>
  <si>
    <t>ZB021</t>
  </si>
  <si>
    <t>Síťka vstřebatelná vicrylová mesh 8,5 x 10,5 cm VM96</t>
  </si>
  <si>
    <t>ZG263</t>
  </si>
  <si>
    <t>Rukojeť aktivní elektrody resterizovatelná 4,6 m kabel bal. á 10 ks E2100</t>
  </si>
  <si>
    <t>ZN550</t>
  </si>
  <si>
    <t>Páska retrakční silikonová modrá (surgical look) 750 mm x 2,5 mm bal. á 24 ks B1095528</t>
  </si>
  <si>
    <t>ZD294</t>
  </si>
  <si>
    <t>Spojka T 8-8-8 UH bal. á 50 ks 882,08 D</t>
  </si>
  <si>
    <t>ZE841</t>
  </si>
  <si>
    <t>Elektroda defibrilační pro dospělé multifun. stat - padz 8900-4003/4004-Ks</t>
  </si>
  <si>
    <t>ZM748</t>
  </si>
  <si>
    <t>Elektroda defibrilační pro děti pedi - patz Zoll 8900-2065/3000-1</t>
  </si>
  <si>
    <t>ZI117</t>
  </si>
  <si>
    <t>Gumičky těsnící k LSK trokarům Wolf bal. á 10 ks 89.02</t>
  </si>
  <si>
    <t>ZE740</t>
  </si>
  <si>
    <t>Klip titanový ML se zámkem po 6 ks bal. á 15 ks PL465SU</t>
  </si>
  <si>
    <t>ZF431</t>
  </si>
  <si>
    <t>Rukavice operační gammex PF sensitive vel. 7,5 latex bal. á 50 párů 330051075</t>
  </si>
  <si>
    <t>ZK683</t>
  </si>
  <si>
    <t>Rukavice operační gammex PF sensitive vel. 7,0 bal. á 50 párů 330051070</t>
  </si>
  <si>
    <t>ZJ718</t>
  </si>
  <si>
    <t>Rukavice operační gammex PF sensitive vel. 6,5 bal. á 50 párů 330051065</t>
  </si>
  <si>
    <t>ZL346</t>
  </si>
  <si>
    <t>Rukavice operační gammex PF sensitive vel. 8,5 bal. á 50 párů 330051085</t>
  </si>
  <si>
    <t>ZJ719</t>
  </si>
  <si>
    <t>Rukavice operační gammex PF sensitive vel. 6,0 bal. á 50 párů 330051060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</si>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</sst>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5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3" xfId="0" applyNumberFormat="1" applyFont="1" applyFill="1" applyBorder="1"/>
    <xf numFmtId="3" fontId="51" fillId="8" borderId="54" xfId="0" applyNumberFormat="1" applyFont="1" applyFill="1" applyBorder="1"/>
    <xf numFmtId="3" fontId="51" fillId="8" borderId="53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7" xfId="0" applyNumberFormat="1" applyFont="1" applyFill="1" applyBorder="1" applyAlignment="1">
      <alignment horizontal="center" vertical="center"/>
    </xf>
    <xf numFmtId="0" fontId="39" fillId="2" borderId="58" xfId="0" applyFont="1" applyFill="1" applyBorder="1" applyAlignment="1">
      <alignment horizontal="center" vertical="center"/>
    </xf>
    <xf numFmtId="3" fontId="53" fillId="2" borderId="60" xfId="0" applyNumberFormat="1" applyFont="1" applyFill="1" applyBorder="1" applyAlignment="1">
      <alignment horizontal="center" vertical="center" wrapText="1"/>
    </xf>
    <xf numFmtId="0" fontId="53" fillId="2" borderId="61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/>
    <xf numFmtId="0" fontId="39" fillId="2" borderId="65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3" xfId="0" applyFont="1" applyFill="1" applyBorder="1" applyAlignment="1"/>
    <xf numFmtId="0" fontId="39" fillId="4" borderId="65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5" xfId="0" quotePrefix="1" applyFont="1" applyFill="1" applyBorder="1" applyAlignment="1">
      <alignment horizontal="left" indent="2"/>
    </xf>
    <xf numFmtId="0" fontId="32" fillId="2" borderId="71" xfId="0" quotePrefix="1" applyFont="1" applyFill="1" applyBorder="1" applyAlignment="1">
      <alignment horizontal="left" indent="2"/>
    </xf>
    <xf numFmtId="0" fontId="39" fillId="2" borderId="63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5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3" fillId="2" borderId="78" xfId="0" applyNumberFormat="1" applyFont="1" applyFill="1" applyBorder="1" applyAlignment="1">
      <alignment horizontal="center" vertical="center" wrapText="1"/>
    </xf>
    <xf numFmtId="173" fontId="39" fillId="4" borderId="64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4" borderId="58" xfId="0" applyNumberFormat="1" applyFont="1" applyFill="1" applyBorder="1" applyAlignment="1"/>
    <xf numFmtId="173" fontId="39" fillId="0" borderId="66" xfId="0" applyNumberFormat="1" applyFont="1" applyBorder="1"/>
    <xf numFmtId="173" fontId="32" fillId="0" borderId="70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77" xfId="0" applyNumberFormat="1" applyFont="1" applyBorder="1"/>
    <xf numFmtId="173" fontId="32" fillId="0" borderId="78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3" fontId="39" fillId="2" borderId="79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2" borderId="58" xfId="0" applyNumberFormat="1" applyFont="1" applyFill="1" applyBorder="1" applyAlignment="1"/>
    <xf numFmtId="173" fontId="39" fillId="0" borderId="72" xfId="0" applyNumberFormat="1" applyFont="1" applyBorder="1"/>
    <xf numFmtId="173" fontId="32" fillId="0" borderId="73" xfId="0" applyNumberFormat="1" applyFont="1" applyBorder="1"/>
    <xf numFmtId="173" fontId="32" fillId="0" borderId="74" xfId="0" applyNumberFormat="1" applyFont="1" applyBorder="1"/>
    <xf numFmtId="173" fontId="39" fillId="0" borderId="64" xfId="0" applyNumberFormat="1" applyFont="1" applyBorder="1"/>
    <xf numFmtId="173" fontId="32" fillId="0" borderId="80" xfId="0" applyNumberFormat="1" applyFont="1" applyBorder="1"/>
    <xf numFmtId="173" fontId="32" fillId="0" borderId="58" xfId="0" applyNumberFormat="1" applyFont="1" applyBorder="1"/>
    <xf numFmtId="174" fontId="39" fillId="2" borderId="64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2" fillId="2" borderId="58" xfId="0" applyNumberFormat="1" applyFont="1" applyFill="1" applyBorder="1" applyAlignment="1"/>
    <xf numFmtId="174" fontId="39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2" fillId="0" borderId="70" xfId="0" applyNumberFormat="1" applyFont="1" applyBorder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4" xfId="0" applyNumberFormat="1" applyFont="1" applyFill="1" applyBorder="1" applyAlignment="1">
      <alignment horizontal="center"/>
    </xf>
    <xf numFmtId="175" fontId="39" fillId="0" borderId="72" xfId="0" applyNumberFormat="1" applyFont="1" applyBorder="1"/>
    <xf numFmtId="0" fontId="31" fillId="2" borderId="88" xfId="74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9" xfId="0" applyFont="1" applyFill="1" applyBorder="1"/>
    <xf numFmtId="0" fontId="32" fillId="0" borderId="70" xfId="0" applyFont="1" applyBorder="1" applyAlignment="1"/>
    <xf numFmtId="9" fontId="32" fillId="0" borderId="68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6" xfId="0" applyNumberFormat="1" applyFont="1" applyBorder="1"/>
    <xf numFmtId="9" fontId="32" fillId="0" borderId="70" xfId="0" applyNumberFormat="1" applyFont="1" applyBorder="1"/>
    <xf numFmtId="9" fontId="32" fillId="0" borderId="68" xfId="0" applyNumberFormat="1" applyFont="1" applyBorder="1"/>
    <xf numFmtId="9" fontId="32" fillId="0" borderId="69" xfId="0" applyNumberFormat="1" applyFont="1" applyBorder="1"/>
    <xf numFmtId="0" fontId="53" fillId="2" borderId="78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3" fontId="39" fillId="4" borderId="80" xfId="0" applyNumberFormat="1" applyFont="1" applyFill="1" applyBorder="1" applyAlignment="1"/>
    <xf numFmtId="173" fontId="39" fillId="2" borderId="80" xfId="0" applyNumberFormat="1" applyFont="1" applyFill="1" applyBorder="1" applyAlignment="1"/>
    <xf numFmtId="49" fontId="37" fillId="2" borderId="68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3" fontId="39" fillId="2" borderId="58" xfId="0" applyNumberFormat="1" applyFont="1" applyFill="1" applyBorder="1" applyAlignment="1">
      <alignment horizontal="center" vertical="center"/>
    </xf>
    <xf numFmtId="3" fontId="53" fillId="2" borderId="6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2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79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6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5" xfId="53" applyNumberFormat="1" applyFont="1" applyFill="1" applyBorder="1" applyAlignment="1">
      <alignment horizontal="left"/>
    </xf>
    <xf numFmtId="164" fontId="31" fillId="2" borderId="106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74" xfId="80" applyNumberFormat="1" applyFont="1" applyFill="1" applyBorder="1"/>
    <xf numFmtId="3" fontId="3" fillId="2" borderId="7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" fillId="2" borderId="75" xfId="80" applyNumberFormat="1" applyFont="1" applyFill="1" applyBorder="1"/>
    <xf numFmtId="9" fontId="32" fillId="0" borderId="58" xfId="0" applyNumberFormat="1" applyFont="1" applyFill="1" applyBorder="1"/>
    <xf numFmtId="9" fontId="32" fillId="0" borderId="59" xfId="0" applyNumberFormat="1" applyFont="1" applyFill="1" applyBorder="1"/>
    <xf numFmtId="9" fontId="32" fillId="0" borderId="68" xfId="0" applyNumberFormat="1" applyFont="1" applyFill="1" applyBorder="1"/>
    <xf numFmtId="9" fontId="32" fillId="0" borderId="69" xfId="0" applyNumberFormat="1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9" fillId="0" borderId="88" xfId="0" applyFont="1" applyFill="1" applyBorder="1"/>
    <xf numFmtId="0" fontId="39" fillId="0" borderId="86" xfId="0" applyFont="1" applyFill="1" applyBorder="1" applyAlignment="1">
      <alignment horizontal="left" indent="1"/>
    </xf>
    <xf numFmtId="0" fontId="39" fillId="0" borderId="87" xfId="0" applyFont="1" applyFill="1" applyBorder="1" applyAlignment="1">
      <alignment horizontal="left" indent="1"/>
    </xf>
    <xf numFmtId="9" fontId="32" fillId="0" borderId="80" xfId="0" applyNumberFormat="1" applyFont="1" applyFill="1" applyBorder="1"/>
    <xf numFmtId="9" fontId="32" fillId="0" borderId="70" xfId="0" applyNumberFormat="1" applyFont="1" applyFill="1" applyBorder="1"/>
    <xf numFmtId="9" fontId="32" fillId="0" borderId="78" xfId="0" applyNumberFormat="1" applyFont="1" applyFill="1" applyBorder="1"/>
    <xf numFmtId="3" fontId="32" fillId="0" borderId="57" xfId="0" applyNumberFormat="1" applyFont="1" applyFill="1" applyBorder="1"/>
    <xf numFmtId="3" fontId="32" fillId="0" borderId="67" xfId="0" applyNumberFormat="1" applyFont="1" applyFill="1" applyBorder="1"/>
    <xf numFmtId="3" fontId="32" fillId="0" borderId="60" xfId="0" applyNumberFormat="1" applyFont="1" applyFill="1" applyBorder="1"/>
    <xf numFmtId="9" fontId="32" fillId="0" borderId="84" xfId="0" applyNumberFormat="1" applyFont="1" applyFill="1" applyBorder="1"/>
    <xf numFmtId="9" fontId="32" fillId="0" borderId="82" xfId="0" applyNumberFormat="1" applyFont="1" applyFill="1" applyBorder="1"/>
    <xf numFmtId="9" fontId="32" fillId="0" borderId="83" xfId="0" applyNumberFormat="1" applyFont="1" applyFill="1" applyBorder="1"/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173" fontId="39" fillId="4" borderId="108" xfId="0" applyNumberFormat="1" applyFont="1" applyFill="1" applyBorder="1" applyAlignment="1">
      <alignment horizontal="center"/>
    </xf>
    <xf numFmtId="0" fontId="0" fillId="0" borderId="108" xfId="0" applyBorder="1" applyAlignment="1"/>
    <xf numFmtId="0" fontId="0" fillId="0" borderId="109" xfId="0" applyBorder="1" applyAlignment="1">
      <alignment horizontal="right"/>
    </xf>
    <xf numFmtId="0" fontId="0" fillId="0" borderId="110" xfId="0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 wrapText="1"/>
    </xf>
    <xf numFmtId="0" fontId="0" fillId="0" borderId="110" xfId="0" applyBorder="1" applyAlignment="1">
      <alignment horizontal="right" wrapText="1"/>
    </xf>
    <xf numFmtId="175" fontId="32" fillId="0" borderId="110" xfId="0" applyNumberFormat="1" applyFont="1" applyBorder="1" applyAlignment="1">
      <alignment horizontal="right"/>
    </xf>
    <xf numFmtId="0" fontId="0" fillId="0" borderId="111" xfId="0" applyBorder="1" applyAlignment="1">
      <alignment horizontal="right"/>
    </xf>
    <xf numFmtId="0" fontId="0" fillId="0" borderId="112" xfId="0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14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14" xfId="0" applyNumberFormat="1" applyFont="1" applyBorder="1"/>
    <xf numFmtId="173" fontId="32" fillId="0" borderId="84" xfId="0" applyNumberFormat="1" applyFont="1" applyBorder="1"/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right"/>
    </xf>
    <xf numFmtId="0" fontId="0" fillId="0" borderId="116" xfId="0" applyBorder="1" applyAlignment="1">
      <alignment horizontal="right" wrapText="1"/>
    </xf>
    <xf numFmtId="0" fontId="0" fillId="0" borderId="117" xfId="0" applyBorder="1" applyAlignment="1">
      <alignment horizontal="right"/>
    </xf>
    <xf numFmtId="0" fontId="0" fillId="0" borderId="113" xfId="0" applyBorder="1"/>
    <xf numFmtId="173" fontId="39" fillId="4" borderId="63" xfId="0" applyNumberFormat="1" applyFont="1" applyFill="1" applyBorder="1" applyAlignment="1">
      <alignment horizontal="center"/>
    </xf>
    <xf numFmtId="173" fontId="32" fillId="0" borderId="65" xfId="0" applyNumberFormat="1" applyFont="1" applyBorder="1" applyAlignment="1">
      <alignment horizontal="right"/>
    </xf>
    <xf numFmtId="175" fontId="32" fillId="0" borderId="65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74" t="s">
        <v>63</v>
      </c>
      <c r="B1" s="274"/>
    </row>
    <row r="2" spans="1:3" ht="14.4" customHeight="1" thickBot="1" x14ac:dyDescent="0.35">
      <c r="A2" s="173" t="s">
        <v>217</v>
      </c>
      <c r="B2" s="41"/>
    </row>
    <row r="3" spans="1:3" ht="14.4" customHeight="1" thickBot="1" x14ac:dyDescent="0.35">
      <c r="A3" s="270" t="s">
        <v>79</v>
      </c>
      <c r="B3" s="271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09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0" t="str">
        <f t="shared" si="0"/>
        <v>Man Tab</v>
      </c>
      <c r="B6" s="63" t="s">
        <v>219</v>
      </c>
      <c r="C6" s="42" t="s">
        <v>67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72" t="s">
        <v>64</v>
      </c>
      <c r="B9" s="271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0" t="str">
        <f t="shared" si="2"/>
        <v>LŽ Statim</v>
      </c>
      <c r="B12" s="249" t="s">
        <v>163</v>
      </c>
      <c r="C12" s="42" t="s">
        <v>173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0" t="str">
        <f t="shared" si="2"/>
        <v>MŽ Detail</v>
      </c>
      <c r="B14" s="63" t="s">
        <v>783</v>
      </c>
      <c r="C14" s="42" t="s">
        <v>71</v>
      </c>
    </row>
    <row r="15" spans="1:3" ht="14.4" customHeight="1" thickBot="1" x14ac:dyDescent="0.35">
      <c r="A15" s="112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3" t="s">
        <v>65</v>
      </c>
      <c r="B17" s="271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311" t="s">
        <v>783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4" customHeight="1" thickBot="1" x14ac:dyDescent="0.35">
      <c r="A2" s="173" t="s">
        <v>217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307"/>
      <c r="D3" s="308"/>
      <c r="E3" s="308"/>
      <c r="F3" s="308"/>
      <c r="G3" s="308"/>
      <c r="H3" s="107" t="s">
        <v>75</v>
      </c>
      <c r="I3" s="71">
        <f>IF(J3&lt;&gt;0,K3/J3,0)</f>
        <v>69.303275552112765</v>
      </c>
      <c r="J3" s="71">
        <f>SUBTOTAL(9,J5:J1048576)</f>
        <v>68419</v>
      </c>
      <c r="K3" s="72">
        <f>SUBTOTAL(9,K5:K1048576)</f>
        <v>4741660.8100000033</v>
      </c>
    </row>
    <row r="4" spans="1:11" s="162" customFormat="1" ht="14.4" customHeight="1" thickBot="1" x14ac:dyDescent="0.35">
      <c r="A4" s="355" t="s">
        <v>3</v>
      </c>
      <c r="B4" s="356" t="s">
        <v>4</v>
      </c>
      <c r="C4" s="356" t="s">
        <v>0</v>
      </c>
      <c r="D4" s="356" t="s">
        <v>5</v>
      </c>
      <c r="E4" s="356" t="s">
        <v>6</v>
      </c>
      <c r="F4" s="356" t="s">
        <v>1</v>
      </c>
      <c r="G4" s="356" t="s">
        <v>54</v>
      </c>
      <c r="H4" s="357" t="s">
        <v>10</v>
      </c>
      <c r="I4" s="358" t="s">
        <v>81</v>
      </c>
      <c r="J4" s="358" t="s">
        <v>12</v>
      </c>
      <c r="K4" s="359" t="s">
        <v>89</v>
      </c>
    </row>
    <row r="5" spans="1:11" ht="14.4" customHeight="1" x14ac:dyDescent="0.3">
      <c r="A5" s="360" t="s">
        <v>381</v>
      </c>
      <c r="B5" s="361" t="s">
        <v>449</v>
      </c>
      <c r="C5" s="362" t="s">
        <v>386</v>
      </c>
      <c r="D5" s="363" t="s">
        <v>450</v>
      </c>
      <c r="E5" s="362" t="s">
        <v>769</v>
      </c>
      <c r="F5" s="363" t="s">
        <v>770</v>
      </c>
      <c r="G5" s="362" t="s">
        <v>457</v>
      </c>
      <c r="H5" s="362" t="s">
        <v>458</v>
      </c>
      <c r="I5" s="364">
        <v>2.5099999999999998</v>
      </c>
      <c r="J5" s="364">
        <v>240</v>
      </c>
      <c r="K5" s="365">
        <v>602.4</v>
      </c>
    </row>
    <row r="6" spans="1:11" ht="14.4" customHeight="1" x14ac:dyDescent="0.3">
      <c r="A6" s="366" t="s">
        <v>381</v>
      </c>
      <c r="B6" s="367" t="s">
        <v>449</v>
      </c>
      <c r="C6" s="368" t="s">
        <v>386</v>
      </c>
      <c r="D6" s="369" t="s">
        <v>450</v>
      </c>
      <c r="E6" s="368" t="s">
        <v>769</v>
      </c>
      <c r="F6" s="369" t="s">
        <v>770</v>
      </c>
      <c r="G6" s="368" t="s">
        <v>459</v>
      </c>
      <c r="H6" s="368" t="s">
        <v>460</v>
      </c>
      <c r="I6" s="370">
        <v>3.27</v>
      </c>
      <c r="J6" s="370">
        <v>120</v>
      </c>
      <c r="K6" s="371">
        <v>392.4</v>
      </c>
    </row>
    <row r="7" spans="1:11" ht="14.4" customHeight="1" x14ac:dyDescent="0.3">
      <c r="A7" s="366" t="s">
        <v>381</v>
      </c>
      <c r="B7" s="367" t="s">
        <v>449</v>
      </c>
      <c r="C7" s="368" t="s">
        <v>386</v>
      </c>
      <c r="D7" s="369" t="s">
        <v>450</v>
      </c>
      <c r="E7" s="368" t="s">
        <v>769</v>
      </c>
      <c r="F7" s="369" t="s">
        <v>770</v>
      </c>
      <c r="G7" s="368" t="s">
        <v>461</v>
      </c>
      <c r="H7" s="368" t="s">
        <v>462</v>
      </c>
      <c r="I7" s="370">
        <v>3.9649999999999999</v>
      </c>
      <c r="J7" s="370">
        <v>240</v>
      </c>
      <c r="K7" s="371">
        <v>951.59999999999991</v>
      </c>
    </row>
    <row r="8" spans="1:11" ht="14.4" customHeight="1" x14ac:dyDescent="0.3">
      <c r="A8" s="366" t="s">
        <v>381</v>
      </c>
      <c r="B8" s="367" t="s">
        <v>449</v>
      </c>
      <c r="C8" s="368" t="s">
        <v>386</v>
      </c>
      <c r="D8" s="369" t="s">
        <v>450</v>
      </c>
      <c r="E8" s="368" t="s">
        <v>769</v>
      </c>
      <c r="F8" s="369" t="s">
        <v>770</v>
      </c>
      <c r="G8" s="368" t="s">
        <v>463</v>
      </c>
      <c r="H8" s="368" t="s">
        <v>464</v>
      </c>
      <c r="I8" s="370">
        <v>46.32</v>
      </c>
      <c r="J8" s="370">
        <v>10</v>
      </c>
      <c r="K8" s="371">
        <v>463.2</v>
      </c>
    </row>
    <row r="9" spans="1:11" ht="14.4" customHeight="1" x14ac:dyDescent="0.3">
      <c r="A9" s="366" t="s">
        <v>381</v>
      </c>
      <c r="B9" s="367" t="s">
        <v>449</v>
      </c>
      <c r="C9" s="368" t="s">
        <v>386</v>
      </c>
      <c r="D9" s="369" t="s">
        <v>450</v>
      </c>
      <c r="E9" s="368" t="s">
        <v>769</v>
      </c>
      <c r="F9" s="369" t="s">
        <v>770</v>
      </c>
      <c r="G9" s="368" t="s">
        <v>465</v>
      </c>
      <c r="H9" s="368" t="s">
        <v>466</v>
      </c>
      <c r="I9" s="370">
        <v>65.2</v>
      </c>
      <c r="J9" s="370">
        <v>140</v>
      </c>
      <c r="K9" s="371">
        <v>9128</v>
      </c>
    </row>
    <row r="10" spans="1:11" ht="14.4" customHeight="1" x14ac:dyDescent="0.3">
      <c r="A10" s="366" t="s">
        <v>381</v>
      </c>
      <c r="B10" s="367" t="s">
        <v>449</v>
      </c>
      <c r="C10" s="368" t="s">
        <v>386</v>
      </c>
      <c r="D10" s="369" t="s">
        <v>450</v>
      </c>
      <c r="E10" s="368" t="s">
        <v>769</v>
      </c>
      <c r="F10" s="369" t="s">
        <v>770</v>
      </c>
      <c r="G10" s="368" t="s">
        <v>467</v>
      </c>
      <c r="H10" s="368" t="s">
        <v>468</v>
      </c>
      <c r="I10" s="370">
        <v>15.53</v>
      </c>
      <c r="J10" s="370">
        <v>80</v>
      </c>
      <c r="K10" s="371">
        <v>1242.3900000000001</v>
      </c>
    </row>
    <row r="11" spans="1:11" ht="14.4" customHeight="1" x14ac:dyDescent="0.3">
      <c r="A11" s="366" t="s">
        <v>381</v>
      </c>
      <c r="B11" s="367" t="s">
        <v>449</v>
      </c>
      <c r="C11" s="368" t="s">
        <v>386</v>
      </c>
      <c r="D11" s="369" t="s">
        <v>450</v>
      </c>
      <c r="E11" s="368" t="s">
        <v>769</v>
      </c>
      <c r="F11" s="369" t="s">
        <v>770</v>
      </c>
      <c r="G11" s="368" t="s">
        <v>469</v>
      </c>
      <c r="H11" s="368" t="s">
        <v>470</v>
      </c>
      <c r="I11" s="370">
        <v>30.17</v>
      </c>
      <c r="J11" s="370">
        <v>30</v>
      </c>
      <c r="K11" s="371">
        <v>905.1</v>
      </c>
    </row>
    <row r="12" spans="1:11" ht="14.4" customHeight="1" x14ac:dyDescent="0.3">
      <c r="A12" s="366" t="s">
        <v>381</v>
      </c>
      <c r="B12" s="367" t="s">
        <v>449</v>
      </c>
      <c r="C12" s="368" t="s">
        <v>386</v>
      </c>
      <c r="D12" s="369" t="s">
        <v>450</v>
      </c>
      <c r="E12" s="368" t="s">
        <v>769</v>
      </c>
      <c r="F12" s="369" t="s">
        <v>770</v>
      </c>
      <c r="G12" s="368" t="s">
        <v>471</v>
      </c>
      <c r="H12" s="368" t="s">
        <v>472</v>
      </c>
      <c r="I12" s="370">
        <v>4.49</v>
      </c>
      <c r="J12" s="370">
        <v>220</v>
      </c>
      <c r="K12" s="371">
        <v>987.8</v>
      </c>
    </row>
    <row r="13" spans="1:11" ht="14.4" customHeight="1" x14ac:dyDescent="0.3">
      <c r="A13" s="366" t="s">
        <v>381</v>
      </c>
      <c r="B13" s="367" t="s">
        <v>449</v>
      </c>
      <c r="C13" s="368" t="s">
        <v>386</v>
      </c>
      <c r="D13" s="369" t="s">
        <v>450</v>
      </c>
      <c r="E13" s="368" t="s">
        <v>769</v>
      </c>
      <c r="F13" s="369" t="s">
        <v>770</v>
      </c>
      <c r="G13" s="368" t="s">
        <v>473</v>
      </c>
      <c r="H13" s="368" t="s">
        <v>474</v>
      </c>
      <c r="I13" s="370">
        <v>8.58</v>
      </c>
      <c r="J13" s="370">
        <v>108</v>
      </c>
      <c r="K13" s="371">
        <v>926.63999999999987</v>
      </c>
    </row>
    <row r="14" spans="1:11" ht="14.4" customHeight="1" x14ac:dyDescent="0.3">
      <c r="A14" s="366" t="s">
        <v>381</v>
      </c>
      <c r="B14" s="367" t="s">
        <v>449</v>
      </c>
      <c r="C14" s="368" t="s">
        <v>386</v>
      </c>
      <c r="D14" s="369" t="s">
        <v>450</v>
      </c>
      <c r="E14" s="368" t="s">
        <v>769</v>
      </c>
      <c r="F14" s="369" t="s">
        <v>770</v>
      </c>
      <c r="G14" s="368" t="s">
        <v>475</v>
      </c>
      <c r="H14" s="368" t="s">
        <v>476</v>
      </c>
      <c r="I14" s="370">
        <v>352.28</v>
      </c>
      <c r="J14" s="370">
        <v>48</v>
      </c>
      <c r="K14" s="371">
        <v>16909.599999999999</v>
      </c>
    </row>
    <row r="15" spans="1:11" ht="14.4" customHeight="1" x14ac:dyDescent="0.3">
      <c r="A15" s="366" t="s">
        <v>381</v>
      </c>
      <c r="B15" s="367" t="s">
        <v>449</v>
      </c>
      <c r="C15" s="368" t="s">
        <v>386</v>
      </c>
      <c r="D15" s="369" t="s">
        <v>450</v>
      </c>
      <c r="E15" s="368" t="s">
        <v>769</v>
      </c>
      <c r="F15" s="369" t="s">
        <v>770</v>
      </c>
      <c r="G15" s="368" t="s">
        <v>477</v>
      </c>
      <c r="H15" s="368" t="s">
        <v>478</v>
      </c>
      <c r="I15" s="370">
        <v>68.150000000000006</v>
      </c>
      <c r="J15" s="370">
        <v>192</v>
      </c>
      <c r="K15" s="371">
        <v>13084.61</v>
      </c>
    </row>
    <row r="16" spans="1:11" ht="14.4" customHeight="1" x14ac:dyDescent="0.3">
      <c r="A16" s="366" t="s">
        <v>381</v>
      </c>
      <c r="B16" s="367" t="s">
        <v>449</v>
      </c>
      <c r="C16" s="368" t="s">
        <v>386</v>
      </c>
      <c r="D16" s="369" t="s">
        <v>450</v>
      </c>
      <c r="E16" s="368" t="s">
        <v>769</v>
      </c>
      <c r="F16" s="369" t="s">
        <v>770</v>
      </c>
      <c r="G16" s="368" t="s">
        <v>479</v>
      </c>
      <c r="H16" s="368" t="s">
        <v>480</v>
      </c>
      <c r="I16" s="370">
        <v>9.73</v>
      </c>
      <c r="J16" s="370">
        <v>360</v>
      </c>
      <c r="K16" s="371">
        <v>3502.8</v>
      </c>
    </row>
    <row r="17" spans="1:11" ht="14.4" customHeight="1" x14ac:dyDescent="0.3">
      <c r="A17" s="366" t="s">
        <v>381</v>
      </c>
      <c r="B17" s="367" t="s">
        <v>449</v>
      </c>
      <c r="C17" s="368" t="s">
        <v>386</v>
      </c>
      <c r="D17" s="369" t="s">
        <v>450</v>
      </c>
      <c r="E17" s="368" t="s">
        <v>769</v>
      </c>
      <c r="F17" s="369" t="s">
        <v>770</v>
      </c>
      <c r="G17" s="368" t="s">
        <v>481</v>
      </c>
      <c r="H17" s="368" t="s">
        <v>482</v>
      </c>
      <c r="I17" s="370">
        <v>98.38</v>
      </c>
      <c r="J17" s="370">
        <v>10</v>
      </c>
      <c r="K17" s="371">
        <v>983.8</v>
      </c>
    </row>
    <row r="18" spans="1:11" ht="14.4" customHeight="1" x14ac:dyDescent="0.3">
      <c r="A18" s="366" t="s">
        <v>381</v>
      </c>
      <c r="B18" s="367" t="s">
        <v>449</v>
      </c>
      <c r="C18" s="368" t="s">
        <v>386</v>
      </c>
      <c r="D18" s="369" t="s">
        <v>450</v>
      </c>
      <c r="E18" s="368" t="s">
        <v>769</v>
      </c>
      <c r="F18" s="369" t="s">
        <v>770</v>
      </c>
      <c r="G18" s="368" t="s">
        <v>483</v>
      </c>
      <c r="H18" s="368" t="s">
        <v>484</v>
      </c>
      <c r="I18" s="370">
        <v>224.7225</v>
      </c>
      <c r="J18" s="370">
        <v>20</v>
      </c>
      <c r="K18" s="371">
        <v>4494.5200000000004</v>
      </c>
    </row>
    <row r="19" spans="1:11" ht="14.4" customHeight="1" x14ac:dyDescent="0.3">
      <c r="A19" s="366" t="s">
        <v>381</v>
      </c>
      <c r="B19" s="367" t="s">
        <v>449</v>
      </c>
      <c r="C19" s="368" t="s">
        <v>386</v>
      </c>
      <c r="D19" s="369" t="s">
        <v>450</v>
      </c>
      <c r="E19" s="368" t="s">
        <v>769</v>
      </c>
      <c r="F19" s="369" t="s">
        <v>770</v>
      </c>
      <c r="G19" s="368" t="s">
        <v>485</v>
      </c>
      <c r="H19" s="368" t="s">
        <v>486</v>
      </c>
      <c r="I19" s="370">
        <v>0.85499999999999998</v>
      </c>
      <c r="J19" s="370">
        <v>600</v>
      </c>
      <c r="K19" s="371">
        <v>514</v>
      </c>
    </row>
    <row r="20" spans="1:11" ht="14.4" customHeight="1" x14ac:dyDescent="0.3">
      <c r="A20" s="366" t="s">
        <v>381</v>
      </c>
      <c r="B20" s="367" t="s">
        <v>449</v>
      </c>
      <c r="C20" s="368" t="s">
        <v>386</v>
      </c>
      <c r="D20" s="369" t="s">
        <v>450</v>
      </c>
      <c r="E20" s="368" t="s">
        <v>769</v>
      </c>
      <c r="F20" s="369" t="s">
        <v>770</v>
      </c>
      <c r="G20" s="368" t="s">
        <v>487</v>
      </c>
      <c r="H20" s="368" t="s">
        <v>488</v>
      </c>
      <c r="I20" s="370">
        <v>1.52</v>
      </c>
      <c r="J20" s="370">
        <v>600</v>
      </c>
      <c r="K20" s="371">
        <v>912</v>
      </c>
    </row>
    <row r="21" spans="1:11" ht="14.4" customHeight="1" x14ac:dyDescent="0.3">
      <c r="A21" s="366" t="s">
        <v>381</v>
      </c>
      <c r="B21" s="367" t="s">
        <v>449</v>
      </c>
      <c r="C21" s="368" t="s">
        <v>386</v>
      </c>
      <c r="D21" s="369" t="s">
        <v>450</v>
      </c>
      <c r="E21" s="368" t="s">
        <v>769</v>
      </c>
      <c r="F21" s="369" t="s">
        <v>770</v>
      </c>
      <c r="G21" s="368" t="s">
        <v>489</v>
      </c>
      <c r="H21" s="368" t="s">
        <v>490</v>
      </c>
      <c r="I21" s="370">
        <v>2.0649999999999999</v>
      </c>
      <c r="J21" s="370">
        <v>400</v>
      </c>
      <c r="K21" s="371">
        <v>826</v>
      </c>
    </row>
    <row r="22" spans="1:11" ht="14.4" customHeight="1" x14ac:dyDescent="0.3">
      <c r="A22" s="366" t="s">
        <v>381</v>
      </c>
      <c r="B22" s="367" t="s">
        <v>449</v>
      </c>
      <c r="C22" s="368" t="s">
        <v>386</v>
      </c>
      <c r="D22" s="369" t="s">
        <v>450</v>
      </c>
      <c r="E22" s="368" t="s">
        <v>769</v>
      </c>
      <c r="F22" s="369" t="s">
        <v>770</v>
      </c>
      <c r="G22" s="368" t="s">
        <v>491</v>
      </c>
      <c r="H22" s="368" t="s">
        <v>492</v>
      </c>
      <c r="I22" s="370">
        <v>3.36</v>
      </c>
      <c r="J22" s="370">
        <v>300</v>
      </c>
      <c r="K22" s="371">
        <v>1008</v>
      </c>
    </row>
    <row r="23" spans="1:11" ht="14.4" customHeight="1" x14ac:dyDescent="0.3">
      <c r="A23" s="366" t="s">
        <v>381</v>
      </c>
      <c r="B23" s="367" t="s">
        <v>449</v>
      </c>
      <c r="C23" s="368" t="s">
        <v>386</v>
      </c>
      <c r="D23" s="369" t="s">
        <v>450</v>
      </c>
      <c r="E23" s="368" t="s">
        <v>769</v>
      </c>
      <c r="F23" s="369" t="s">
        <v>770</v>
      </c>
      <c r="G23" s="368" t="s">
        <v>493</v>
      </c>
      <c r="H23" s="368" t="s">
        <v>494</v>
      </c>
      <c r="I23" s="370">
        <v>5.88</v>
      </c>
      <c r="J23" s="370">
        <v>200</v>
      </c>
      <c r="K23" s="371">
        <v>1176</v>
      </c>
    </row>
    <row r="24" spans="1:11" ht="14.4" customHeight="1" x14ac:dyDescent="0.3">
      <c r="A24" s="366" t="s">
        <v>381</v>
      </c>
      <c r="B24" s="367" t="s">
        <v>449</v>
      </c>
      <c r="C24" s="368" t="s">
        <v>386</v>
      </c>
      <c r="D24" s="369" t="s">
        <v>450</v>
      </c>
      <c r="E24" s="368" t="s">
        <v>769</v>
      </c>
      <c r="F24" s="369" t="s">
        <v>770</v>
      </c>
      <c r="G24" s="368" t="s">
        <v>495</v>
      </c>
      <c r="H24" s="368" t="s">
        <v>496</v>
      </c>
      <c r="I24" s="370">
        <v>659.91</v>
      </c>
      <c r="J24" s="370">
        <v>48</v>
      </c>
      <c r="K24" s="371">
        <v>31675.599999999999</v>
      </c>
    </row>
    <row r="25" spans="1:11" ht="14.4" customHeight="1" x14ac:dyDescent="0.3">
      <c r="A25" s="366" t="s">
        <v>381</v>
      </c>
      <c r="B25" s="367" t="s">
        <v>449</v>
      </c>
      <c r="C25" s="368" t="s">
        <v>386</v>
      </c>
      <c r="D25" s="369" t="s">
        <v>450</v>
      </c>
      <c r="E25" s="368" t="s">
        <v>769</v>
      </c>
      <c r="F25" s="369" t="s">
        <v>770</v>
      </c>
      <c r="G25" s="368" t="s">
        <v>497</v>
      </c>
      <c r="H25" s="368" t="s">
        <v>498</v>
      </c>
      <c r="I25" s="370">
        <v>5.17</v>
      </c>
      <c r="J25" s="370">
        <v>50</v>
      </c>
      <c r="K25" s="371">
        <v>258.60000000000002</v>
      </c>
    </row>
    <row r="26" spans="1:11" ht="14.4" customHeight="1" x14ac:dyDescent="0.3">
      <c r="A26" s="366" t="s">
        <v>381</v>
      </c>
      <c r="B26" s="367" t="s">
        <v>449</v>
      </c>
      <c r="C26" s="368" t="s">
        <v>386</v>
      </c>
      <c r="D26" s="369" t="s">
        <v>450</v>
      </c>
      <c r="E26" s="368" t="s">
        <v>769</v>
      </c>
      <c r="F26" s="369" t="s">
        <v>770</v>
      </c>
      <c r="G26" s="368" t="s">
        <v>499</v>
      </c>
      <c r="H26" s="368" t="s">
        <v>500</v>
      </c>
      <c r="I26" s="370">
        <v>9.7799999999999994</v>
      </c>
      <c r="J26" s="370">
        <v>50</v>
      </c>
      <c r="K26" s="371">
        <v>488.75</v>
      </c>
    </row>
    <row r="27" spans="1:11" ht="14.4" customHeight="1" x14ac:dyDescent="0.3">
      <c r="A27" s="366" t="s">
        <v>381</v>
      </c>
      <c r="B27" s="367" t="s">
        <v>449</v>
      </c>
      <c r="C27" s="368" t="s">
        <v>386</v>
      </c>
      <c r="D27" s="369" t="s">
        <v>450</v>
      </c>
      <c r="E27" s="368" t="s">
        <v>769</v>
      </c>
      <c r="F27" s="369" t="s">
        <v>770</v>
      </c>
      <c r="G27" s="368" t="s">
        <v>501</v>
      </c>
      <c r="H27" s="368" t="s">
        <v>502</v>
      </c>
      <c r="I27" s="370">
        <v>1083.895</v>
      </c>
      <c r="J27" s="370">
        <v>16</v>
      </c>
      <c r="K27" s="371">
        <v>17342.34</v>
      </c>
    </row>
    <row r="28" spans="1:11" ht="14.4" customHeight="1" x14ac:dyDescent="0.3">
      <c r="A28" s="366" t="s">
        <v>381</v>
      </c>
      <c r="B28" s="367" t="s">
        <v>449</v>
      </c>
      <c r="C28" s="368" t="s">
        <v>386</v>
      </c>
      <c r="D28" s="369" t="s">
        <v>450</v>
      </c>
      <c r="E28" s="368" t="s">
        <v>769</v>
      </c>
      <c r="F28" s="369" t="s">
        <v>770</v>
      </c>
      <c r="G28" s="368" t="s">
        <v>503</v>
      </c>
      <c r="H28" s="368" t="s">
        <v>504</v>
      </c>
      <c r="I28" s="370">
        <v>138</v>
      </c>
      <c r="J28" s="370">
        <v>150</v>
      </c>
      <c r="K28" s="371">
        <v>20700</v>
      </c>
    </row>
    <row r="29" spans="1:11" ht="14.4" customHeight="1" x14ac:dyDescent="0.3">
      <c r="A29" s="366" t="s">
        <v>381</v>
      </c>
      <c r="B29" s="367" t="s">
        <v>449</v>
      </c>
      <c r="C29" s="368" t="s">
        <v>386</v>
      </c>
      <c r="D29" s="369" t="s">
        <v>450</v>
      </c>
      <c r="E29" s="368" t="s">
        <v>769</v>
      </c>
      <c r="F29" s="369" t="s">
        <v>770</v>
      </c>
      <c r="G29" s="368" t="s">
        <v>505</v>
      </c>
      <c r="H29" s="368" t="s">
        <v>506</v>
      </c>
      <c r="I29" s="370">
        <v>13.22</v>
      </c>
      <c r="J29" s="370">
        <v>180</v>
      </c>
      <c r="K29" s="371">
        <v>2380.5</v>
      </c>
    </row>
    <row r="30" spans="1:11" ht="14.4" customHeight="1" x14ac:dyDescent="0.3">
      <c r="A30" s="366" t="s">
        <v>381</v>
      </c>
      <c r="B30" s="367" t="s">
        <v>449</v>
      </c>
      <c r="C30" s="368" t="s">
        <v>386</v>
      </c>
      <c r="D30" s="369" t="s">
        <v>450</v>
      </c>
      <c r="E30" s="368" t="s">
        <v>769</v>
      </c>
      <c r="F30" s="369" t="s">
        <v>770</v>
      </c>
      <c r="G30" s="368" t="s">
        <v>507</v>
      </c>
      <c r="H30" s="368" t="s">
        <v>508</v>
      </c>
      <c r="I30" s="370">
        <v>591.69000000000005</v>
      </c>
      <c r="J30" s="370">
        <v>5</v>
      </c>
      <c r="K30" s="371">
        <v>2958.45</v>
      </c>
    </row>
    <row r="31" spans="1:11" ht="14.4" customHeight="1" x14ac:dyDescent="0.3">
      <c r="A31" s="366" t="s">
        <v>381</v>
      </c>
      <c r="B31" s="367" t="s">
        <v>449</v>
      </c>
      <c r="C31" s="368" t="s">
        <v>386</v>
      </c>
      <c r="D31" s="369" t="s">
        <v>450</v>
      </c>
      <c r="E31" s="368" t="s">
        <v>769</v>
      </c>
      <c r="F31" s="369" t="s">
        <v>770</v>
      </c>
      <c r="G31" s="368" t="s">
        <v>509</v>
      </c>
      <c r="H31" s="368" t="s">
        <v>510</v>
      </c>
      <c r="I31" s="370">
        <v>21.06</v>
      </c>
      <c r="J31" s="370">
        <v>60</v>
      </c>
      <c r="K31" s="371">
        <v>1263.8</v>
      </c>
    </row>
    <row r="32" spans="1:11" ht="14.4" customHeight="1" x14ac:dyDescent="0.3">
      <c r="A32" s="366" t="s">
        <v>381</v>
      </c>
      <c r="B32" s="367" t="s">
        <v>449</v>
      </c>
      <c r="C32" s="368" t="s">
        <v>386</v>
      </c>
      <c r="D32" s="369" t="s">
        <v>450</v>
      </c>
      <c r="E32" s="368" t="s">
        <v>769</v>
      </c>
      <c r="F32" s="369" t="s">
        <v>770</v>
      </c>
      <c r="G32" s="368" t="s">
        <v>511</v>
      </c>
      <c r="H32" s="368" t="s">
        <v>512</v>
      </c>
      <c r="I32" s="370">
        <v>517.5</v>
      </c>
      <c r="J32" s="370">
        <v>290</v>
      </c>
      <c r="K32" s="371">
        <v>150075</v>
      </c>
    </row>
    <row r="33" spans="1:11" ht="14.4" customHeight="1" x14ac:dyDescent="0.3">
      <c r="A33" s="366" t="s">
        <v>381</v>
      </c>
      <c r="B33" s="367" t="s">
        <v>449</v>
      </c>
      <c r="C33" s="368" t="s">
        <v>386</v>
      </c>
      <c r="D33" s="369" t="s">
        <v>450</v>
      </c>
      <c r="E33" s="368" t="s">
        <v>769</v>
      </c>
      <c r="F33" s="369" t="s">
        <v>770</v>
      </c>
      <c r="G33" s="368" t="s">
        <v>513</v>
      </c>
      <c r="H33" s="368" t="s">
        <v>514</v>
      </c>
      <c r="I33" s="370">
        <v>18.86</v>
      </c>
      <c r="J33" s="370">
        <v>80</v>
      </c>
      <c r="K33" s="371">
        <v>1508.8</v>
      </c>
    </row>
    <row r="34" spans="1:11" ht="14.4" customHeight="1" x14ac:dyDescent="0.3">
      <c r="A34" s="366" t="s">
        <v>381</v>
      </c>
      <c r="B34" s="367" t="s">
        <v>449</v>
      </c>
      <c r="C34" s="368" t="s">
        <v>386</v>
      </c>
      <c r="D34" s="369" t="s">
        <v>450</v>
      </c>
      <c r="E34" s="368" t="s">
        <v>769</v>
      </c>
      <c r="F34" s="369" t="s">
        <v>770</v>
      </c>
      <c r="G34" s="368" t="s">
        <v>515</v>
      </c>
      <c r="H34" s="368" t="s">
        <v>516</v>
      </c>
      <c r="I34" s="370">
        <v>100.38</v>
      </c>
      <c r="J34" s="370">
        <v>16</v>
      </c>
      <c r="K34" s="371">
        <v>1606.1</v>
      </c>
    </row>
    <row r="35" spans="1:11" ht="14.4" customHeight="1" x14ac:dyDescent="0.3">
      <c r="A35" s="366" t="s">
        <v>381</v>
      </c>
      <c r="B35" s="367" t="s">
        <v>449</v>
      </c>
      <c r="C35" s="368" t="s">
        <v>386</v>
      </c>
      <c r="D35" s="369" t="s">
        <v>450</v>
      </c>
      <c r="E35" s="368" t="s">
        <v>769</v>
      </c>
      <c r="F35" s="369" t="s">
        <v>770</v>
      </c>
      <c r="G35" s="368" t="s">
        <v>517</v>
      </c>
      <c r="H35" s="368" t="s">
        <v>518</v>
      </c>
      <c r="I35" s="370">
        <v>4714.34</v>
      </c>
      <c r="J35" s="370">
        <v>15</v>
      </c>
      <c r="K35" s="371">
        <v>70715.100000000006</v>
      </c>
    </row>
    <row r="36" spans="1:11" ht="14.4" customHeight="1" x14ac:dyDescent="0.3">
      <c r="A36" s="366" t="s">
        <v>381</v>
      </c>
      <c r="B36" s="367" t="s">
        <v>449</v>
      </c>
      <c r="C36" s="368" t="s">
        <v>386</v>
      </c>
      <c r="D36" s="369" t="s">
        <v>450</v>
      </c>
      <c r="E36" s="368" t="s">
        <v>769</v>
      </c>
      <c r="F36" s="369" t="s">
        <v>770</v>
      </c>
      <c r="G36" s="368" t="s">
        <v>519</v>
      </c>
      <c r="H36" s="368" t="s">
        <v>520</v>
      </c>
      <c r="I36" s="370">
        <v>38.4</v>
      </c>
      <c r="J36" s="370">
        <v>60</v>
      </c>
      <c r="K36" s="371">
        <v>2304</v>
      </c>
    </row>
    <row r="37" spans="1:11" ht="14.4" customHeight="1" x14ac:dyDescent="0.3">
      <c r="A37" s="366" t="s">
        <v>381</v>
      </c>
      <c r="B37" s="367" t="s">
        <v>449</v>
      </c>
      <c r="C37" s="368" t="s">
        <v>386</v>
      </c>
      <c r="D37" s="369" t="s">
        <v>450</v>
      </c>
      <c r="E37" s="368" t="s">
        <v>769</v>
      </c>
      <c r="F37" s="369" t="s">
        <v>770</v>
      </c>
      <c r="G37" s="368" t="s">
        <v>521</v>
      </c>
      <c r="H37" s="368" t="s">
        <v>522</v>
      </c>
      <c r="I37" s="370">
        <v>269.39</v>
      </c>
      <c r="J37" s="370">
        <v>48</v>
      </c>
      <c r="K37" s="371">
        <v>12930.6</v>
      </c>
    </row>
    <row r="38" spans="1:11" ht="14.4" customHeight="1" x14ac:dyDescent="0.3">
      <c r="A38" s="366" t="s">
        <v>381</v>
      </c>
      <c r="B38" s="367" t="s">
        <v>449</v>
      </c>
      <c r="C38" s="368" t="s">
        <v>386</v>
      </c>
      <c r="D38" s="369" t="s">
        <v>450</v>
      </c>
      <c r="E38" s="368" t="s">
        <v>771</v>
      </c>
      <c r="F38" s="369" t="s">
        <v>772</v>
      </c>
      <c r="G38" s="368" t="s">
        <v>523</v>
      </c>
      <c r="H38" s="368" t="s">
        <v>524</v>
      </c>
      <c r="I38" s="370">
        <v>11.68</v>
      </c>
      <c r="J38" s="370">
        <v>80</v>
      </c>
      <c r="K38" s="371">
        <v>934.4</v>
      </c>
    </row>
    <row r="39" spans="1:11" ht="14.4" customHeight="1" x14ac:dyDescent="0.3">
      <c r="A39" s="366" t="s">
        <v>381</v>
      </c>
      <c r="B39" s="367" t="s">
        <v>449</v>
      </c>
      <c r="C39" s="368" t="s">
        <v>386</v>
      </c>
      <c r="D39" s="369" t="s">
        <v>450</v>
      </c>
      <c r="E39" s="368" t="s">
        <v>771</v>
      </c>
      <c r="F39" s="369" t="s">
        <v>772</v>
      </c>
      <c r="G39" s="368" t="s">
        <v>525</v>
      </c>
      <c r="H39" s="368" t="s">
        <v>526</v>
      </c>
      <c r="I39" s="370">
        <v>16.399999999999999</v>
      </c>
      <c r="J39" s="370">
        <v>80</v>
      </c>
      <c r="K39" s="371">
        <v>1312</v>
      </c>
    </row>
    <row r="40" spans="1:11" ht="14.4" customHeight="1" x14ac:dyDescent="0.3">
      <c r="A40" s="366" t="s">
        <v>381</v>
      </c>
      <c r="B40" s="367" t="s">
        <v>449</v>
      </c>
      <c r="C40" s="368" t="s">
        <v>386</v>
      </c>
      <c r="D40" s="369" t="s">
        <v>450</v>
      </c>
      <c r="E40" s="368" t="s">
        <v>771</v>
      </c>
      <c r="F40" s="369" t="s">
        <v>772</v>
      </c>
      <c r="G40" s="368" t="s">
        <v>527</v>
      </c>
      <c r="H40" s="368" t="s">
        <v>528</v>
      </c>
      <c r="I40" s="370">
        <v>2.9</v>
      </c>
      <c r="J40" s="370">
        <v>700</v>
      </c>
      <c r="K40" s="371">
        <v>2030</v>
      </c>
    </row>
    <row r="41" spans="1:11" ht="14.4" customHeight="1" x14ac:dyDescent="0.3">
      <c r="A41" s="366" t="s">
        <v>381</v>
      </c>
      <c r="B41" s="367" t="s">
        <v>449</v>
      </c>
      <c r="C41" s="368" t="s">
        <v>386</v>
      </c>
      <c r="D41" s="369" t="s">
        <v>450</v>
      </c>
      <c r="E41" s="368" t="s">
        <v>771</v>
      </c>
      <c r="F41" s="369" t="s">
        <v>772</v>
      </c>
      <c r="G41" s="368" t="s">
        <v>529</v>
      </c>
      <c r="H41" s="368" t="s">
        <v>530</v>
      </c>
      <c r="I41" s="370">
        <v>7.43</v>
      </c>
      <c r="J41" s="370">
        <v>160</v>
      </c>
      <c r="K41" s="371">
        <v>1188.8</v>
      </c>
    </row>
    <row r="42" spans="1:11" ht="14.4" customHeight="1" x14ac:dyDescent="0.3">
      <c r="A42" s="366" t="s">
        <v>381</v>
      </c>
      <c r="B42" s="367" t="s">
        <v>449</v>
      </c>
      <c r="C42" s="368" t="s">
        <v>386</v>
      </c>
      <c r="D42" s="369" t="s">
        <v>450</v>
      </c>
      <c r="E42" s="368" t="s">
        <v>771</v>
      </c>
      <c r="F42" s="369" t="s">
        <v>772</v>
      </c>
      <c r="G42" s="368" t="s">
        <v>531</v>
      </c>
      <c r="H42" s="368" t="s">
        <v>532</v>
      </c>
      <c r="I42" s="370">
        <v>8.4700000000000006</v>
      </c>
      <c r="J42" s="370">
        <v>200</v>
      </c>
      <c r="K42" s="371">
        <v>1694</v>
      </c>
    </row>
    <row r="43" spans="1:11" ht="14.4" customHeight="1" x14ac:dyDescent="0.3">
      <c r="A43" s="366" t="s">
        <v>381</v>
      </c>
      <c r="B43" s="367" t="s">
        <v>449</v>
      </c>
      <c r="C43" s="368" t="s">
        <v>386</v>
      </c>
      <c r="D43" s="369" t="s">
        <v>450</v>
      </c>
      <c r="E43" s="368" t="s">
        <v>771</v>
      </c>
      <c r="F43" s="369" t="s">
        <v>772</v>
      </c>
      <c r="G43" s="368" t="s">
        <v>533</v>
      </c>
      <c r="H43" s="368" t="s">
        <v>534</v>
      </c>
      <c r="I43" s="370">
        <v>8.4700000000000006</v>
      </c>
      <c r="J43" s="370">
        <v>200</v>
      </c>
      <c r="K43" s="371">
        <v>1694</v>
      </c>
    </row>
    <row r="44" spans="1:11" ht="14.4" customHeight="1" x14ac:dyDescent="0.3">
      <c r="A44" s="366" t="s">
        <v>381</v>
      </c>
      <c r="B44" s="367" t="s">
        <v>449</v>
      </c>
      <c r="C44" s="368" t="s">
        <v>386</v>
      </c>
      <c r="D44" s="369" t="s">
        <v>450</v>
      </c>
      <c r="E44" s="368" t="s">
        <v>771</v>
      </c>
      <c r="F44" s="369" t="s">
        <v>772</v>
      </c>
      <c r="G44" s="368" t="s">
        <v>535</v>
      </c>
      <c r="H44" s="368" t="s">
        <v>536</v>
      </c>
      <c r="I44" s="370">
        <v>1.0900000000000001</v>
      </c>
      <c r="J44" s="370">
        <v>500</v>
      </c>
      <c r="K44" s="371">
        <v>545</v>
      </c>
    </row>
    <row r="45" spans="1:11" ht="14.4" customHeight="1" x14ac:dyDescent="0.3">
      <c r="A45" s="366" t="s">
        <v>381</v>
      </c>
      <c r="B45" s="367" t="s">
        <v>449</v>
      </c>
      <c r="C45" s="368" t="s">
        <v>386</v>
      </c>
      <c r="D45" s="369" t="s">
        <v>450</v>
      </c>
      <c r="E45" s="368" t="s">
        <v>771</v>
      </c>
      <c r="F45" s="369" t="s">
        <v>772</v>
      </c>
      <c r="G45" s="368" t="s">
        <v>537</v>
      </c>
      <c r="H45" s="368" t="s">
        <v>538</v>
      </c>
      <c r="I45" s="370">
        <v>1.67</v>
      </c>
      <c r="J45" s="370">
        <v>800</v>
      </c>
      <c r="K45" s="371">
        <v>1336</v>
      </c>
    </row>
    <row r="46" spans="1:11" ht="14.4" customHeight="1" x14ac:dyDescent="0.3">
      <c r="A46" s="366" t="s">
        <v>381</v>
      </c>
      <c r="B46" s="367" t="s">
        <v>449</v>
      </c>
      <c r="C46" s="368" t="s">
        <v>386</v>
      </c>
      <c r="D46" s="369" t="s">
        <v>450</v>
      </c>
      <c r="E46" s="368" t="s">
        <v>771</v>
      </c>
      <c r="F46" s="369" t="s">
        <v>772</v>
      </c>
      <c r="G46" s="368" t="s">
        <v>539</v>
      </c>
      <c r="H46" s="368" t="s">
        <v>540</v>
      </c>
      <c r="I46" s="370">
        <v>0.48</v>
      </c>
      <c r="J46" s="370">
        <v>100</v>
      </c>
      <c r="K46" s="371">
        <v>48</v>
      </c>
    </row>
    <row r="47" spans="1:11" ht="14.4" customHeight="1" x14ac:dyDescent="0.3">
      <c r="A47" s="366" t="s">
        <v>381</v>
      </c>
      <c r="B47" s="367" t="s">
        <v>449</v>
      </c>
      <c r="C47" s="368" t="s">
        <v>386</v>
      </c>
      <c r="D47" s="369" t="s">
        <v>450</v>
      </c>
      <c r="E47" s="368" t="s">
        <v>771</v>
      </c>
      <c r="F47" s="369" t="s">
        <v>772</v>
      </c>
      <c r="G47" s="368" t="s">
        <v>541</v>
      </c>
      <c r="H47" s="368" t="s">
        <v>542</v>
      </c>
      <c r="I47" s="370">
        <v>80.576666666666654</v>
      </c>
      <c r="J47" s="370">
        <v>400</v>
      </c>
      <c r="K47" s="371">
        <v>32230.799999999999</v>
      </c>
    </row>
    <row r="48" spans="1:11" ht="14.4" customHeight="1" x14ac:dyDescent="0.3">
      <c r="A48" s="366" t="s">
        <v>381</v>
      </c>
      <c r="B48" s="367" t="s">
        <v>449</v>
      </c>
      <c r="C48" s="368" t="s">
        <v>386</v>
      </c>
      <c r="D48" s="369" t="s">
        <v>450</v>
      </c>
      <c r="E48" s="368" t="s">
        <v>771</v>
      </c>
      <c r="F48" s="369" t="s">
        <v>772</v>
      </c>
      <c r="G48" s="368" t="s">
        <v>543</v>
      </c>
      <c r="H48" s="368" t="s">
        <v>544</v>
      </c>
      <c r="I48" s="370">
        <v>6.17</v>
      </c>
      <c r="J48" s="370">
        <v>200</v>
      </c>
      <c r="K48" s="371">
        <v>1234</v>
      </c>
    </row>
    <row r="49" spans="1:11" ht="14.4" customHeight="1" x14ac:dyDescent="0.3">
      <c r="A49" s="366" t="s">
        <v>381</v>
      </c>
      <c r="B49" s="367" t="s">
        <v>449</v>
      </c>
      <c r="C49" s="368" t="s">
        <v>386</v>
      </c>
      <c r="D49" s="369" t="s">
        <v>450</v>
      </c>
      <c r="E49" s="368" t="s">
        <v>771</v>
      </c>
      <c r="F49" s="369" t="s">
        <v>772</v>
      </c>
      <c r="G49" s="368" t="s">
        <v>545</v>
      </c>
      <c r="H49" s="368" t="s">
        <v>546</v>
      </c>
      <c r="I49" s="370">
        <v>9.1449999999999996</v>
      </c>
      <c r="J49" s="370">
        <v>300</v>
      </c>
      <c r="K49" s="371">
        <v>2743.26</v>
      </c>
    </row>
    <row r="50" spans="1:11" ht="14.4" customHeight="1" x14ac:dyDescent="0.3">
      <c r="A50" s="366" t="s">
        <v>381</v>
      </c>
      <c r="B50" s="367" t="s">
        <v>449</v>
      </c>
      <c r="C50" s="368" t="s">
        <v>386</v>
      </c>
      <c r="D50" s="369" t="s">
        <v>450</v>
      </c>
      <c r="E50" s="368" t="s">
        <v>771</v>
      </c>
      <c r="F50" s="369" t="s">
        <v>772</v>
      </c>
      <c r="G50" s="368" t="s">
        <v>547</v>
      </c>
      <c r="H50" s="368" t="s">
        <v>548</v>
      </c>
      <c r="I50" s="370">
        <v>9.68</v>
      </c>
      <c r="J50" s="370">
        <v>100</v>
      </c>
      <c r="K50" s="371">
        <v>968</v>
      </c>
    </row>
    <row r="51" spans="1:11" ht="14.4" customHeight="1" x14ac:dyDescent="0.3">
      <c r="A51" s="366" t="s">
        <v>381</v>
      </c>
      <c r="B51" s="367" t="s">
        <v>449</v>
      </c>
      <c r="C51" s="368" t="s">
        <v>386</v>
      </c>
      <c r="D51" s="369" t="s">
        <v>450</v>
      </c>
      <c r="E51" s="368" t="s">
        <v>771</v>
      </c>
      <c r="F51" s="369" t="s">
        <v>772</v>
      </c>
      <c r="G51" s="368" t="s">
        <v>549</v>
      </c>
      <c r="H51" s="368" t="s">
        <v>550</v>
      </c>
      <c r="I51" s="370">
        <v>2.0299999999999998</v>
      </c>
      <c r="J51" s="370">
        <v>60</v>
      </c>
      <c r="K51" s="371">
        <v>121.8</v>
      </c>
    </row>
    <row r="52" spans="1:11" ht="14.4" customHeight="1" x14ac:dyDescent="0.3">
      <c r="A52" s="366" t="s">
        <v>381</v>
      </c>
      <c r="B52" s="367" t="s">
        <v>449</v>
      </c>
      <c r="C52" s="368" t="s">
        <v>386</v>
      </c>
      <c r="D52" s="369" t="s">
        <v>450</v>
      </c>
      <c r="E52" s="368" t="s">
        <v>771</v>
      </c>
      <c r="F52" s="369" t="s">
        <v>772</v>
      </c>
      <c r="G52" s="368" t="s">
        <v>551</v>
      </c>
      <c r="H52" s="368" t="s">
        <v>552</v>
      </c>
      <c r="I52" s="370">
        <v>2.9050000000000002</v>
      </c>
      <c r="J52" s="370">
        <v>400</v>
      </c>
      <c r="K52" s="371">
        <v>1162</v>
      </c>
    </row>
    <row r="53" spans="1:11" ht="14.4" customHeight="1" x14ac:dyDescent="0.3">
      <c r="A53" s="366" t="s">
        <v>381</v>
      </c>
      <c r="B53" s="367" t="s">
        <v>449</v>
      </c>
      <c r="C53" s="368" t="s">
        <v>386</v>
      </c>
      <c r="D53" s="369" t="s">
        <v>450</v>
      </c>
      <c r="E53" s="368" t="s">
        <v>771</v>
      </c>
      <c r="F53" s="369" t="s">
        <v>772</v>
      </c>
      <c r="G53" s="368" t="s">
        <v>553</v>
      </c>
      <c r="H53" s="368" t="s">
        <v>554</v>
      </c>
      <c r="I53" s="370">
        <v>2.9025000000000003</v>
      </c>
      <c r="J53" s="370">
        <v>900</v>
      </c>
      <c r="K53" s="371">
        <v>2612.8000000000002</v>
      </c>
    </row>
    <row r="54" spans="1:11" ht="14.4" customHeight="1" x14ac:dyDescent="0.3">
      <c r="A54" s="366" t="s">
        <v>381</v>
      </c>
      <c r="B54" s="367" t="s">
        <v>449</v>
      </c>
      <c r="C54" s="368" t="s">
        <v>386</v>
      </c>
      <c r="D54" s="369" t="s">
        <v>450</v>
      </c>
      <c r="E54" s="368" t="s">
        <v>771</v>
      </c>
      <c r="F54" s="369" t="s">
        <v>772</v>
      </c>
      <c r="G54" s="368" t="s">
        <v>555</v>
      </c>
      <c r="H54" s="368" t="s">
        <v>556</v>
      </c>
      <c r="I54" s="370">
        <v>79.62</v>
      </c>
      <c r="J54" s="370">
        <v>55</v>
      </c>
      <c r="K54" s="371">
        <v>4379.1000000000004</v>
      </c>
    </row>
    <row r="55" spans="1:11" ht="14.4" customHeight="1" x14ac:dyDescent="0.3">
      <c r="A55" s="366" t="s">
        <v>381</v>
      </c>
      <c r="B55" s="367" t="s">
        <v>449</v>
      </c>
      <c r="C55" s="368" t="s">
        <v>386</v>
      </c>
      <c r="D55" s="369" t="s">
        <v>450</v>
      </c>
      <c r="E55" s="368" t="s">
        <v>771</v>
      </c>
      <c r="F55" s="369" t="s">
        <v>772</v>
      </c>
      <c r="G55" s="368" t="s">
        <v>557</v>
      </c>
      <c r="H55" s="368" t="s">
        <v>558</v>
      </c>
      <c r="I55" s="370">
        <v>11.734999999999999</v>
      </c>
      <c r="J55" s="370">
        <v>200</v>
      </c>
      <c r="K55" s="371">
        <v>2347</v>
      </c>
    </row>
    <row r="56" spans="1:11" ht="14.4" customHeight="1" x14ac:dyDescent="0.3">
      <c r="A56" s="366" t="s">
        <v>381</v>
      </c>
      <c r="B56" s="367" t="s">
        <v>449</v>
      </c>
      <c r="C56" s="368" t="s">
        <v>386</v>
      </c>
      <c r="D56" s="369" t="s">
        <v>450</v>
      </c>
      <c r="E56" s="368" t="s">
        <v>771</v>
      </c>
      <c r="F56" s="369" t="s">
        <v>772</v>
      </c>
      <c r="G56" s="368" t="s">
        <v>559</v>
      </c>
      <c r="H56" s="368" t="s">
        <v>560</v>
      </c>
      <c r="I56" s="370">
        <v>21.24</v>
      </c>
      <c r="J56" s="370">
        <v>180</v>
      </c>
      <c r="K56" s="371">
        <v>3823.2000000000003</v>
      </c>
    </row>
    <row r="57" spans="1:11" ht="14.4" customHeight="1" x14ac:dyDescent="0.3">
      <c r="A57" s="366" t="s">
        <v>381</v>
      </c>
      <c r="B57" s="367" t="s">
        <v>449</v>
      </c>
      <c r="C57" s="368" t="s">
        <v>386</v>
      </c>
      <c r="D57" s="369" t="s">
        <v>450</v>
      </c>
      <c r="E57" s="368" t="s">
        <v>771</v>
      </c>
      <c r="F57" s="369" t="s">
        <v>772</v>
      </c>
      <c r="G57" s="368" t="s">
        <v>561</v>
      </c>
      <c r="H57" s="368" t="s">
        <v>562</v>
      </c>
      <c r="I57" s="370">
        <v>2.91</v>
      </c>
      <c r="J57" s="370">
        <v>200</v>
      </c>
      <c r="K57" s="371">
        <v>582</v>
      </c>
    </row>
    <row r="58" spans="1:11" ht="14.4" customHeight="1" x14ac:dyDescent="0.3">
      <c r="A58" s="366" t="s">
        <v>381</v>
      </c>
      <c r="B58" s="367" t="s">
        <v>449</v>
      </c>
      <c r="C58" s="368" t="s">
        <v>386</v>
      </c>
      <c r="D58" s="369" t="s">
        <v>450</v>
      </c>
      <c r="E58" s="368" t="s">
        <v>771</v>
      </c>
      <c r="F58" s="369" t="s">
        <v>772</v>
      </c>
      <c r="G58" s="368" t="s">
        <v>563</v>
      </c>
      <c r="H58" s="368" t="s">
        <v>564</v>
      </c>
      <c r="I58" s="370">
        <v>50.65</v>
      </c>
      <c r="J58" s="370">
        <v>1000</v>
      </c>
      <c r="K58" s="371">
        <v>50650.600000000006</v>
      </c>
    </row>
    <row r="59" spans="1:11" ht="14.4" customHeight="1" x14ac:dyDescent="0.3">
      <c r="A59" s="366" t="s">
        <v>381</v>
      </c>
      <c r="B59" s="367" t="s">
        <v>449</v>
      </c>
      <c r="C59" s="368" t="s">
        <v>386</v>
      </c>
      <c r="D59" s="369" t="s">
        <v>450</v>
      </c>
      <c r="E59" s="368" t="s">
        <v>771</v>
      </c>
      <c r="F59" s="369" t="s">
        <v>772</v>
      </c>
      <c r="G59" s="368" t="s">
        <v>565</v>
      </c>
      <c r="H59" s="368" t="s">
        <v>566</v>
      </c>
      <c r="I59" s="370">
        <v>181.5</v>
      </c>
      <c r="J59" s="370">
        <v>30</v>
      </c>
      <c r="K59" s="371">
        <v>5445</v>
      </c>
    </row>
    <row r="60" spans="1:11" ht="14.4" customHeight="1" x14ac:dyDescent="0.3">
      <c r="A60" s="366" t="s">
        <v>381</v>
      </c>
      <c r="B60" s="367" t="s">
        <v>449</v>
      </c>
      <c r="C60" s="368" t="s">
        <v>386</v>
      </c>
      <c r="D60" s="369" t="s">
        <v>450</v>
      </c>
      <c r="E60" s="368" t="s">
        <v>771</v>
      </c>
      <c r="F60" s="369" t="s">
        <v>772</v>
      </c>
      <c r="G60" s="368" t="s">
        <v>567</v>
      </c>
      <c r="H60" s="368" t="s">
        <v>568</v>
      </c>
      <c r="I60" s="370">
        <v>5.84</v>
      </c>
      <c r="J60" s="370">
        <v>100</v>
      </c>
      <c r="K60" s="371">
        <v>583.83000000000004</v>
      </c>
    </row>
    <row r="61" spans="1:11" ht="14.4" customHeight="1" x14ac:dyDescent="0.3">
      <c r="A61" s="366" t="s">
        <v>381</v>
      </c>
      <c r="B61" s="367" t="s">
        <v>449</v>
      </c>
      <c r="C61" s="368" t="s">
        <v>386</v>
      </c>
      <c r="D61" s="369" t="s">
        <v>450</v>
      </c>
      <c r="E61" s="368" t="s">
        <v>771</v>
      </c>
      <c r="F61" s="369" t="s">
        <v>772</v>
      </c>
      <c r="G61" s="368" t="s">
        <v>569</v>
      </c>
      <c r="H61" s="368" t="s">
        <v>570</v>
      </c>
      <c r="I61" s="370">
        <v>115</v>
      </c>
      <c r="J61" s="370">
        <v>20</v>
      </c>
      <c r="K61" s="371">
        <v>2300</v>
      </c>
    </row>
    <row r="62" spans="1:11" ht="14.4" customHeight="1" x14ac:dyDescent="0.3">
      <c r="A62" s="366" t="s">
        <v>381</v>
      </c>
      <c r="B62" s="367" t="s">
        <v>449</v>
      </c>
      <c r="C62" s="368" t="s">
        <v>386</v>
      </c>
      <c r="D62" s="369" t="s">
        <v>450</v>
      </c>
      <c r="E62" s="368" t="s">
        <v>771</v>
      </c>
      <c r="F62" s="369" t="s">
        <v>772</v>
      </c>
      <c r="G62" s="368" t="s">
        <v>571</v>
      </c>
      <c r="H62" s="368" t="s">
        <v>572</v>
      </c>
      <c r="I62" s="370">
        <v>6.32</v>
      </c>
      <c r="J62" s="370">
        <v>200</v>
      </c>
      <c r="K62" s="371">
        <v>1263.24</v>
      </c>
    </row>
    <row r="63" spans="1:11" ht="14.4" customHeight="1" x14ac:dyDescent="0.3">
      <c r="A63" s="366" t="s">
        <v>381</v>
      </c>
      <c r="B63" s="367" t="s">
        <v>449</v>
      </c>
      <c r="C63" s="368" t="s">
        <v>386</v>
      </c>
      <c r="D63" s="369" t="s">
        <v>450</v>
      </c>
      <c r="E63" s="368" t="s">
        <v>771</v>
      </c>
      <c r="F63" s="369" t="s">
        <v>772</v>
      </c>
      <c r="G63" s="368" t="s">
        <v>573</v>
      </c>
      <c r="H63" s="368" t="s">
        <v>574</v>
      </c>
      <c r="I63" s="370">
        <v>5.38</v>
      </c>
      <c r="J63" s="370">
        <v>100</v>
      </c>
      <c r="K63" s="371">
        <v>538.45000000000005</v>
      </c>
    </row>
    <row r="64" spans="1:11" ht="14.4" customHeight="1" x14ac:dyDescent="0.3">
      <c r="A64" s="366" t="s">
        <v>381</v>
      </c>
      <c r="B64" s="367" t="s">
        <v>449</v>
      </c>
      <c r="C64" s="368" t="s">
        <v>386</v>
      </c>
      <c r="D64" s="369" t="s">
        <v>450</v>
      </c>
      <c r="E64" s="368" t="s">
        <v>771</v>
      </c>
      <c r="F64" s="369" t="s">
        <v>772</v>
      </c>
      <c r="G64" s="368" t="s">
        <v>575</v>
      </c>
      <c r="H64" s="368" t="s">
        <v>576</v>
      </c>
      <c r="I64" s="370">
        <v>37.51</v>
      </c>
      <c r="J64" s="370">
        <v>50</v>
      </c>
      <c r="K64" s="371">
        <v>1875.5</v>
      </c>
    </row>
    <row r="65" spans="1:11" ht="14.4" customHeight="1" x14ac:dyDescent="0.3">
      <c r="A65" s="366" t="s">
        <v>381</v>
      </c>
      <c r="B65" s="367" t="s">
        <v>449</v>
      </c>
      <c r="C65" s="368" t="s">
        <v>386</v>
      </c>
      <c r="D65" s="369" t="s">
        <v>450</v>
      </c>
      <c r="E65" s="368" t="s">
        <v>771</v>
      </c>
      <c r="F65" s="369" t="s">
        <v>772</v>
      </c>
      <c r="G65" s="368" t="s">
        <v>577</v>
      </c>
      <c r="H65" s="368" t="s">
        <v>578</v>
      </c>
      <c r="I65" s="370">
        <v>48.28</v>
      </c>
      <c r="J65" s="370">
        <v>250</v>
      </c>
      <c r="K65" s="371">
        <v>12069.859999999999</v>
      </c>
    </row>
    <row r="66" spans="1:11" ht="14.4" customHeight="1" x14ac:dyDescent="0.3">
      <c r="A66" s="366" t="s">
        <v>381</v>
      </c>
      <c r="B66" s="367" t="s">
        <v>449</v>
      </c>
      <c r="C66" s="368" t="s">
        <v>386</v>
      </c>
      <c r="D66" s="369" t="s">
        <v>450</v>
      </c>
      <c r="E66" s="368" t="s">
        <v>771</v>
      </c>
      <c r="F66" s="369" t="s">
        <v>772</v>
      </c>
      <c r="G66" s="368" t="s">
        <v>579</v>
      </c>
      <c r="H66" s="368" t="s">
        <v>580</v>
      </c>
      <c r="I66" s="370">
        <v>48.28</v>
      </c>
      <c r="J66" s="370">
        <v>200</v>
      </c>
      <c r="K66" s="371">
        <v>9655.7099999999991</v>
      </c>
    </row>
    <row r="67" spans="1:11" ht="14.4" customHeight="1" x14ac:dyDescent="0.3">
      <c r="A67" s="366" t="s">
        <v>381</v>
      </c>
      <c r="B67" s="367" t="s">
        <v>449</v>
      </c>
      <c r="C67" s="368" t="s">
        <v>386</v>
      </c>
      <c r="D67" s="369" t="s">
        <v>450</v>
      </c>
      <c r="E67" s="368" t="s">
        <v>771</v>
      </c>
      <c r="F67" s="369" t="s">
        <v>772</v>
      </c>
      <c r="G67" s="368" t="s">
        <v>581</v>
      </c>
      <c r="H67" s="368" t="s">
        <v>582</v>
      </c>
      <c r="I67" s="370">
        <v>12.52</v>
      </c>
      <c r="J67" s="370">
        <v>280</v>
      </c>
      <c r="K67" s="371">
        <v>3506.58</v>
      </c>
    </row>
    <row r="68" spans="1:11" ht="14.4" customHeight="1" x14ac:dyDescent="0.3">
      <c r="A68" s="366" t="s">
        <v>381</v>
      </c>
      <c r="B68" s="367" t="s">
        <v>449</v>
      </c>
      <c r="C68" s="368" t="s">
        <v>386</v>
      </c>
      <c r="D68" s="369" t="s">
        <v>450</v>
      </c>
      <c r="E68" s="368" t="s">
        <v>771</v>
      </c>
      <c r="F68" s="369" t="s">
        <v>772</v>
      </c>
      <c r="G68" s="368" t="s">
        <v>583</v>
      </c>
      <c r="H68" s="368" t="s">
        <v>584</v>
      </c>
      <c r="I68" s="370">
        <v>20.149999999999999</v>
      </c>
      <c r="J68" s="370">
        <v>70</v>
      </c>
      <c r="K68" s="371">
        <v>1410.26</v>
      </c>
    </row>
    <row r="69" spans="1:11" ht="14.4" customHeight="1" x14ac:dyDescent="0.3">
      <c r="A69" s="366" t="s">
        <v>381</v>
      </c>
      <c r="B69" s="367" t="s">
        <v>449</v>
      </c>
      <c r="C69" s="368" t="s">
        <v>386</v>
      </c>
      <c r="D69" s="369" t="s">
        <v>450</v>
      </c>
      <c r="E69" s="368" t="s">
        <v>771</v>
      </c>
      <c r="F69" s="369" t="s">
        <v>772</v>
      </c>
      <c r="G69" s="368" t="s">
        <v>585</v>
      </c>
      <c r="H69" s="368" t="s">
        <v>586</v>
      </c>
      <c r="I69" s="370">
        <v>1197.9000000000001</v>
      </c>
      <c r="J69" s="370">
        <v>1</v>
      </c>
      <c r="K69" s="371">
        <v>1197.9000000000001</v>
      </c>
    </row>
    <row r="70" spans="1:11" ht="14.4" customHeight="1" x14ac:dyDescent="0.3">
      <c r="A70" s="366" t="s">
        <v>381</v>
      </c>
      <c r="B70" s="367" t="s">
        <v>449</v>
      </c>
      <c r="C70" s="368" t="s">
        <v>386</v>
      </c>
      <c r="D70" s="369" t="s">
        <v>450</v>
      </c>
      <c r="E70" s="368" t="s">
        <v>771</v>
      </c>
      <c r="F70" s="369" t="s">
        <v>772</v>
      </c>
      <c r="G70" s="368" t="s">
        <v>587</v>
      </c>
      <c r="H70" s="368" t="s">
        <v>588</v>
      </c>
      <c r="I70" s="370">
        <v>21.9</v>
      </c>
      <c r="J70" s="370">
        <v>50</v>
      </c>
      <c r="K70" s="371">
        <v>1095.05</v>
      </c>
    </row>
    <row r="71" spans="1:11" ht="14.4" customHeight="1" x14ac:dyDescent="0.3">
      <c r="A71" s="366" t="s">
        <v>381</v>
      </c>
      <c r="B71" s="367" t="s">
        <v>449</v>
      </c>
      <c r="C71" s="368" t="s">
        <v>386</v>
      </c>
      <c r="D71" s="369" t="s">
        <v>450</v>
      </c>
      <c r="E71" s="368" t="s">
        <v>771</v>
      </c>
      <c r="F71" s="369" t="s">
        <v>772</v>
      </c>
      <c r="G71" s="368" t="s">
        <v>589</v>
      </c>
      <c r="H71" s="368" t="s">
        <v>590</v>
      </c>
      <c r="I71" s="370">
        <v>87.82</v>
      </c>
      <c r="J71" s="370">
        <v>100</v>
      </c>
      <c r="K71" s="371">
        <v>8782</v>
      </c>
    </row>
    <row r="72" spans="1:11" ht="14.4" customHeight="1" x14ac:dyDescent="0.3">
      <c r="A72" s="366" t="s">
        <v>381</v>
      </c>
      <c r="B72" s="367" t="s">
        <v>449</v>
      </c>
      <c r="C72" s="368" t="s">
        <v>386</v>
      </c>
      <c r="D72" s="369" t="s">
        <v>450</v>
      </c>
      <c r="E72" s="368" t="s">
        <v>771</v>
      </c>
      <c r="F72" s="369" t="s">
        <v>772</v>
      </c>
      <c r="G72" s="368" t="s">
        <v>591</v>
      </c>
      <c r="H72" s="368" t="s">
        <v>592</v>
      </c>
      <c r="I72" s="370">
        <v>2.08</v>
      </c>
      <c r="J72" s="370">
        <v>200</v>
      </c>
      <c r="K72" s="371">
        <v>416</v>
      </c>
    </row>
    <row r="73" spans="1:11" ht="14.4" customHeight="1" x14ac:dyDescent="0.3">
      <c r="A73" s="366" t="s">
        <v>381</v>
      </c>
      <c r="B73" s="367" t="s">
        <v>449</v>
      </c>
      <c r="C73" s="368" t="s">
        <v>386</v>
      </c>
      <c r="D73" s="369" t="s">
        <v>450</v>
      </c>
      <c r="E73" s="368" t="s">
        <v>771</v>
      </c>
      <c r="F73" s="369" t="s">
        <v>772</v>
      </c>
      <c r="G73" s="368" t="s">
        <v>593</v>
      </c>
      <c r="H73" s="368" t="s">
        <v>594</v>
      </c>
      <c r="I73" s="370">
        <v>4.62</v>
      </c>
      <c r="J73" s="370">
        <v>200</v>
      </c>
      <c r="K73" s="371">
        <v>924</v>
      </c>
    </row>
    <row r="74" spans="1:11" ht="14.4" customHeight="1" x14ac:dyDescent="0.3">
      <c r="A74" s="366" t="s">
        <v>381</v>
      </c>
      <c r="B74" s="367" t="s">
        <v>449</v>
      </c>
      <c r="C74" s="368" t="s">
        <v>386</v>
      </c>
      <c r="D74" s="369" t="s">
        <v>450</v>
      </c>
      <c r="E74" s="368" t="s">
        <v>773</v>
      </c>
      <c r="F74" s="369" t="s">
        <v>774</v>
      </c>
      <c r="G74" s="368" t="s">
        <v>595</v>
      </c>
      <c r="H74" s="368" t="s">
        <v>596</v>
      </c>
      <c r="I74" s="370">
        <v>432.29333333333329</v>
      </c>
      <c r="J74" s="370">
        <v>238</v>
      </c>
      <c r="K74" s="371">
        <v>102886.62</v>
      </c>
    </row>
    <row r="75" spans="1:11" ht="14.4" customHeight="1" x14ac:dyDescent="0.3">
      <c r="A75" s="366" t="s">
        <v>381</v>
      </c>
      <c r="B75" s="367" t="s">
        <v>449</v>
      </c>
      <c r="C75" s="368" t="s">
        <v>386</v>
      </c>
      <c r="D75" s="369" t="s">
        <v>450</v>
      </c>
      <c r="E75" s="368" t="s">
        <v>773</v>
      </c>
      <c r="F75" s="369" t="s">
        <v>774</v>
      </c>
      <c r="G75" s="368" t="s">
        <v>597</v>
      </c>
      <c r="H75" s="368" t="s">
        <v>598</v>
      </c>
      <c r="I75" s="370">
        <v>1493.87</v>
      </c>
      <c r="J75" s="370">
        <v>66</v>
      </c>
      <c r="K75" s="371">
        <v>98595.159999999989</v>
      </c>
    </row>
    <row r="76" spans="1:11" ht="14.4" customHeight="1" x14ac:dyDescent="0.3">
      <c r="A76" s="366" t="s">
        <v>381</v>
      </c>
      <c r="B76" s="367" t="s">
        <v>449</v>
      </c>
      <c r="C76" s="368" t="s">
        <v>386</v>
      </c>
      <c r="D76" s="369" t="s">
        <v>450</v>
      </c>
      <c r="E76" s="368" t="s">
        <v>773</v>
      </c>
      <c r="F76" s="369" t="s">
        <v>774</v>
      </c>
      <c r="G76" s="368" t="s">
        <v>599</v>
      </c>
      <c r="H76" s="368" t="s">
        <v>600</v>
      </c>
      <c r="I76" s="370">
        <v>980.83</v>
      </c>
      <c r="J76" s="370">
        <v>48</v>
      </c>
      <c r="K76" s="371">
        <v>47079.65</v>
      </c>
    </row>
    <row r="77" spans="1:11" ht="14.4" customHeight="1" x14ac:dyDescent="0.3">
      <c r="A77" s="366" t="s">
        <v>381</v>
      </c>
      <c r="B77" s="367" t="s">
        <v>449</v>
      </c>
      <c r="C77" s="368" t="s">
        <v>386</v>
      </c>
      <c r="D77" s="369" t="s">
        <v>450</v>
      </c>
      <c r="E77" s="368" t="s">
        <v>773</v>
      </c>
      <c r="F77" s="369" t="s">
        <v>774</v>
      </c>
      <c r="G77" s="368" t="s">
        <v>601</v>
      </c>
      <c r="H77" s="368" t="s">
        <v>602</v>
      </c>
      <c r="I77" s="370">
        <v>1765.49</v>
      </c>
      <c r="J77" s="370">
        <v>180</v>
      </c>
      <c r="K77" s="371">
        <v>317787.63</v>
      </c>
    </row>
    <row r="78" spans="1:11" ht="14.4" customHeight="1" x14ac:dyDescent="0.3">
      <c r="A78" s="366" t="s">
        <v>381</v>
      </c>
      <c r="B78" s="367" t="s">
        <v>449</v>
      </c>
      <c r="C78" s="368" t="s">
        <v>386</v>
      </c>
      <c r="D78" s="369" t="s">
        <v>450</v>
      </c>
      <c r="E78" s="368" t="s">
        <v>773</v>
      </c>
      <c r="F78" s="369" t="s">
        <v>774</v>
      </c>
      <c r="G78" s="368" t="s">
        <v>603</v>
      </c>
      <c r="H78" s="368" t="s">
        <v>604</v>
      </c>
      <c r="I78" s="370">
        <v>2939.45</v>
      </c>
      <c r="J78" s="370">
        <v>6</v>
      </c>
      <c r="K78" s="371">
        <v>17636.72</v>
      </c>
    </row>
    <row r="79" spans="1:11" ht="14.4" customHeight="1" x14ac:dyDescent="0.3">
      <c r="A79" s="366" t="s">
        <v>381</v>
      </c>
      <c r="B79" s="367" t="s">
        <v>449</v>
      </c>
      <c r="C79" s="368" t="s">
        <v>386</v>
      </c>
      <c r="D79" s="369" t="s">
        <v>450</v>
      </c>
      <c r="E79" s="368" t="s">
        <v>773</v>
      </c>
      <c r="F79" s="369" t="s">
        <v>774</v>
      </c>
      <c r="G79" s="368" t="s">
        <v>605</v>
      </c>
      <c r="H79" s="368" t="s">
        <v>606</v>
      </c>
      <c r="I79" s="370">
        <v>86312.69</v>
      </c>
      <c r="J79" s="370">
        <v>6</v>
      </c>
      <c r="K79" s="371">
        <v>517876.12</v>
      </c>
    </row>
    <row r="80" spans="1:11" ht="14.4" customHeight="1" x14ac:dyDescent="0.3">
      <c r="A80" s="366" t="s">
        <v>381</v>
      </c>
      <c r="B80" s="367" t="s">
        <v>449</v>
      </c>
      <c r="C80" s="368" t="s">
        <v>386</v>
      </c>
      <c r="D80" s="369" t="s">
        <v>450</v>
      </c>
      <c r="E80" s="368" t="s">
        <v>773</v>
      </c>
      <c r="F80" s="369" t="s">
        <v>774</v>
      </c>
      <c r="G80" s="368" t="s">
        <v>607</v>
      </c>
      <c r="H80" s="368" t="s">
        <v>608</v>
      </c>
      <c r="I80" s="370">
        <v>86312.69</v>
      </c>
      <c r="J80" s="370">
        <v>5</v>
      </c>
      <c r="K80" s="371">
        <v>431563.44</v>
      </c>
    </row>
    <row r="81" spans="1:11" ht="14.4" customHeight="1" x14ac:dyDescent="0.3">
      <c r="A81" s="366" t="s">
        <v>381</v>
      </c>
      <c r="B81" s="367" t="s">
        <v>449</v>
      </c>
      <c r="C81" s="368" t="s">
        <v>386</v>
      </c>
      <c r="D81" s="369" t="s">
        <v>450</v>
      </c>
      <c r="E81" s="368" t="s">
        <v>773</v>
      </c>
      <c r="F81" s="369" t="s">
        <v>774</v>
      </c>
      <c r="G81" s="368" t="s">
        <v>609</v>
      </c>
      <c r="H81" s="368" t="s">
        <v>610</v>
      </c>
      <c r="I81" s="370">
        <v>784.66</v>
      </c>
      <c r="J81" s="370">
        <v>60</v>
      </c>
      <c r="K81" s="371">
        <v>47079.659999999996</v>
      </c>
    </row>
    <row r="82" spans="1:11" ht="14.4" customHeight="1" x14ac:dyDescent="0.3">
      <c r="A82" s="366" t="s">
        <v>381</v>
      </c>
      <c r="B82" s="367" t="s">
        <v>449</v>
      </c>
      <c r="C82" s="368" t="s">
        <v>386</v>
      </c>
      <c r="D82" s="369" t="s">
        <v>450</v>
      </c>
      <c r="E82" s="368" t="s">
        <v>773</v>
      </c>
      <c r="F82" s="369" t="s">
        <v>774</v>
      </c>
      <c r="G82" s="368" t="s">
        <v>611</v>
      </c>
      <c r="H82" s="368" t="s">
        <v>612</v>
      </c>
      <c r="I82" s="370">
        <v>980.83</v>
      </c>
      <c r="J82" s="370">
        <v>60</v>
      </c>
      <c r="K82" s="371">
        <v>58849.56</v>
      </c>
    </row>
    <row r="83" spans="1:11" ht="14.4" customHeight="1" x14ac:dyDescent="0.3">
      <c r="A83" s="366" t="s">
        <v>381</v>
      </c>
      <c r="B83" s="367" t="s">
        <v>449</v>
      </c>
      <c r="C83" s="368" t="s">
        <v>386</v>
      </c>
      <c r="D83" s="369" t="s">
        <v>450</v>
      </c>
      <c r="E83" s="368" t="s">
        <v>773</v>
      </c>
      <c r="F83" s="369" t="s">
        <v>774</v>
      </c>
      <c r="G83" s="368" t="s">
        <v>613</v>
      </c>
      <c r="H83" s="368" t="s">
        <v>614</v>
      </c>
      <c r="I83" s="370">
        <v>1157.3699999999999</v>
      </c>
      <c r="J83" s="370">
        <v>40</v>
      </c>
      <c r="K83" s="371">
        <v>46294.98</v>
      </c>
    </row>
    <row r="84" spans="1:11" ht="14.4" customHeight="1" x14ac:dyDescent="0.3">
      <c r="A84" s="366" t="s">
        <v>381</v>
      </c>
      <c r="B84" s="367" t="s">
        <v>449</v>
      </c>
      <c r="C84" s="368" t="s">
        <v>386</v>
      </c>
      <c r="D84" s="369" t="s">
        <v>450</v>
      </c>
      <c r="E84" s="368" t="s">
        <v>773</v>
      </c>
      <c r="F84" s="369" t="s">
        <v>774</v>
      </c>
      <c r="G84" s="368" t="s">
        <v>615</v>
      </c>
      <c r="H84" s="368" t="s">
        <v>616</v>
      </c>
      <c r="I84" s="370">
        <v>3006.65</v>
      </c>
      <c r="J84" s="370">
        <v>6</v>
      </c>
      <c r="K84" s="371">
        <v>18039.89</v>
      </c>
    </row>
    <row r="85" spans="1:11" ht="14.4" customHeight="1" x14ac:dyDescent="0.3">
      <c r="A85" s="366" t="s">
        <v>381</v>
      </c>
      <c r="B85" s="367" t="s">
        <v>449</v>
      </c>
      <c r="C85" s="368" t="s">
        <v>386</v>
      </c>
      <c r="D85" s="369" t="s">
        <v>450</v>
      </c>
      <c r="E85" s="368" t="s">
        <v>773</v>
      </c>
      <c r="F85" s="369" t="s">
        <v>774</v>
      </c>
      <c r="G85" s="368" t="s">
        <v>617</v>
      </c>
      <c r="H85" s="368" t="s">
        <v>618</v>
      </c>
      <c r="I85" s="370">
        <v>125545.73</v>
      </c>
      <c r="J85" s="370">
        <v>6</v>
      </c>
      <c r="K85" s="371">
        <v>753274.38</v>
      </c>
    </row>
    <row r="86" spans="1:11" ht="14.4" customHeight="1" x14ac:dyDescent="0.3">
      <c r="A86" s="366" t="s">
        <v>381</v>
      </c>
      <c r="B86" s="367" t="s">
        <v>449</v>
      </c>
      <c r="C86" s="368" t="s">
        <v>386</v>
      </c>
      <c r="D86" s="369" t="s">
        <v>450</v>
      </c>
      <c r="E86" s="368" t="s">
        <v>773</v>
      </c>
      <c r="F86" s="369" t="s">
        <v>774</v>
      </c>
      <c r="G86" s="368" t="s">
        <v>619</v>
      </c>
      <c r="H86" s="368" t="s">
        <v>620</v>
      </c>
      <c r="I86" s="370">
        <v>105929.21</v>
      </c>
      <c r="J86" s="370">
        <v>6</v>
      </c>
      <c r="K86" s="371">
        <v>635575.24</v>
      </c>
    </row>
    <row r="87" spans="1:11" ht="14.4" customHeight="1" x14ac:dyDescent="0.3">
      <c r="A87" s="366" t="s">
        <v>381</v>
      </c>
      <c r="B87" s="367" t="s">
        <v>449</v>
      </c>
      <c r="C87" s="368" t="s">
        <v>386</v>
      </c>
      <c r="D87" s="369" t="s">
        <v>450</v>
      </c>
      <c r="E87" s="368" t="s">
        <v>773</v>
      </c>
      <c r="F87" s="369" t="s">
        <v>774</v>
      </c>
      <c r="G87" s="368" t="s">
        <v>621</v>
      </c>
      <c r="H87" s="368" t="s">
        <v>622</v>
      </c>
      <c r="I87" s="370">
        <v>1493.87</v>
      </c>
      <c r="J87" s="370">
        <v>54</v>
      </c>
      <c r="K87" s="371">
        <v>80668.77</v>
      </c>
    </row>
    <row r="88" spans="1:11" ht="14.4" customHeight="1" x14ac:dyDescent="0.3">
      <c r="A88" s="366" t="s">
        <v>381</v>
      </c>
      <c r="B88" s="367" t="s">
        <v>449</v>
      </c>
      <c r="C88" s="368" t="s">
        <v>386</v>
      </c>
      <c r="D88" s="369" t="s">
        <v>450</v>
      </c>
      <c r="E88" s="368" t="s">
        <v>773</v>
      </c>
      <c r="F88" s="369" t="s">
        <v>774</v>
      </c>
      <c r="G88" s="368" t="s">
        <v>623</v>
      </c>
      <c r="H88" s="368" t="s">
        <v>624</v>
      </c>
      <c r="I88" s="370">
        <v>598.95000000000005</v>
      </c>
      <c r="J88" s="370">
        <v>40</v>
      </c>
      <c r="K88" s="371">
        <v>23958</v>
      </c>
    </row>
    <row r="89" spans="1:11" ht="14.4" customHeight="1" x14ac:dyDescent="0.3">
      <c r="A89" s="366" t="s">
        <v>381</v>
      </c>
      <c r="B89" s="367" t="s">
        <v>449</v>
      </c>
      <c r="C89" s="368" t="s">
        <v>386</v>
      </c>
      <c r="D89" s="369" t="s">
        <v>450</v>
      </c>
      <c r="E89" s="368" t="s">
        <v>773</v>
      </c>
      <c r="F89" s="369" t="s">
        <v>774</v>
      </c>
      <c r="G89" s="368" t="s">
        <v>625</v>
      </c>
      <c r="H89" s="368" t="s">
        <v>626</v>
      </c>
      <c r="I89" s="370">
        <v>37271.39</v>
      </c>
      <c r="J89" s="370">
        <v>1</v>
      </c>
      <c r="K89" s="371">
        <v>37271.39</v>
      </c>
    </row>
    <row r="90" spans="1:11" ht="14.4" customHeight="1" x14ac:dyDescent="0.3">
      <c r="A90" s="366" t="s">
        <v>381</v>
      </c>
      <c r="B90" s="367" t="s">
        <v>449</v>
      </c>
      <c r="C90" s="368" t="s">
        <v>386</v>
      </c>
      <c r="D90" s="369" t="s">
        <v>450</v>
      </c>
      <c r="E90" s="368" t="s">
        <v>773</v>
      </c>
      <c r="F90" s="369" t="s">
        <v>774</v>
      </c>
      <c r="G90" s="368" t="s">
        <v>627</v>
      </c>
      <c r="H90" s="368" t="s">
        <v>628</v>
      </c>
      <c r="I90" s="370">
        <v>424.35</v>
      </c>
      <c r="J90" s="370">
        <v>20</v>
      </c>
      <c r="K90" s="371">
        <v>8486.94</v>
      </c>
    </row>
    <row r="91" spans="1:11" ht="14.4" customHeight="1" x14ac:dyDescent="0.3">
      <c r="A91" s="366" t="s">
        <v>381</v>
      </c>
      <c r="B91" s="367" t="s">
        <v>449</v>
      </c>
      <c r="C91" s="368" t="s">
        <v>386</v>
      </c>
      <c r="D91" s="369" t="s">
        <v>450</v>
      </c>
      <c r="E91" s="368" t="s">
        <v>775</v>
      </c>
      <c r="F91" s="369" t="s">
        <v>776</v>
      </c>
      <c r="G91" s="368" t="s">
        <v>629</v>
      </c>
      <c r="H91" s="368" t="s">
        <v>630</v>
      </c>
      <c r="I91" s="370">
        <v>50.48</v>
      </c>
      <c r="J91" s="370">
        <v>252</v>
      </c>
      <c r="K91" s="371">
        <v>12719.810000000001</v>
      </c>
    </row>
    <row r="92" spans="1:11" ht="14.4" customHeight="1" x14ac:dyDescent="0.3">
      <c r="A92" s="366" t="s">
        <v>381</v>
      </c>
      <c r="B92" s="367" t="s">
        <v>449</v>
      </c>
      <c r="C92" s="368" t="s">
        <v>386</v>
      </c>
      <c r="D92" s="369" t="s">
        <v>450</v>
      </c>
      <c r="E92" s="368" t="s">
        <v>775</v>
      </c>
      <c r="F92" s="369" t="s">
        <v>776</v>
      </c>
      <c r="G92" s="368" t="s">
        <v>631</v>
      </c>
      <c r="H92" s="368" t="s">
        <v>632</v>
      </c>
      <c r="I92" s="370">
        <v>28.06</v>
      </c>
      <c r="J92" s="370">
        <v>360</v>
      </c>
      <c r="K92" s="371">
        <v>10101.6</v>
      </c>
    </row>
    <row r="93" spans="1:11" ht="14.4" customHeight="1" x14ac:dyDescent="0.3">
      <c r="A93" s="366" t="s">
        <v>381</v>
      </c>
      <c r="B93" s="367" t="s">
        <v>449</v>
      </c>
      <c r="C93" s="368" t="s">
        <v>386</v>
      </c>
      <c r="D93" s="369" t="s">
        <v>450</v>
      </c>
      <c r="E93" s="368" t="s">
        <v>775</v>
      </c>
      <c r="F93" s="369" t="s">
        <v>776</v>
      </c>
      <c r="G93" s="368" t="s">
        <v>633</v>
      </c>
      <c r="H93" s="368" t="s">
        <v>634</v>
      </c>
      <c r="I93" s="370">
        <v>34.159999999999997</v>
      </c>
      <c r="J93" s="370">
        <v>360</v>
      </c>
      <c r="K93" s="371">
        <v>12296.95</v>
      </c>
    </row>
    <row r="94" spans="1:11" ht="14.4" customHeight="1" x14ac:dyDescent="0.3">
      <c r="A94" s="366" t="s">
        <v>381</v>
      </c>
      <c r="B94" s="367" t="s">
        <v>449</v>
      </c>
      <c r="C94" s="368" t="s">
        <v>386</v>
      </c>
      <c r="D94" s="369" t="s">
        <v>450</v>
      </c>
      <c r="E94" s="368" t="s">
        <v>775</v>
      </c>
      <c r="F94" s="369" t="s">
        <v>776</v>
      </c>
      <c r="G94" s="368" t="s">
        <v>635</v>
      </c>
      <c r="H94" s="368" t="s">
        <v>636</v>
      </c>
      <c r="I94" s="370">
        <v>27.25</v>
      </c>
      <c r="J94" s="370">
        <v>720</v>
      </c>
      <c r="K94" s="371">
        <v>19623.599999999999</v>
      </c>
    </row>
    <row r="95" spans="1:11" ht="14.4" customHeight="1" x14ac:dyDescent="0.3">
      <c r="A95" s="366" t="s">
        <v>381</v>
      </c>
      <c r="B95" s="367" t="s">
        <v>449</v>
      </c>
      <c r="C95" s="368" t="s">
        <v>386</v>
      </c>
      <c r="D95" s="369" t="s">
        <v>450</v>
      </c>
      <c r="E95" s="368" t="s">
        <v>775</v>
      </c>
      <c r="F95" s="369" t="s">
        <v>776</v>
      </c>
      <c r="G95" s="368" t="s">
        <v>637</v>
      </c>
      <c r="H95" s="368" t="s">
        <v>638</v>
      </c>
      <c r="I95" s="370">
        <v>41.81</v>
      </c>
      <c r="J95" s="370">
        <v>360</v>
      </c>
      <c r="K95" s="371">
        <v>15051.2</v>
      </c>
    </row>
    <row r="96" spans="1:11" ht="14.4" customHeight="1" x14ac:dyDescent="0.3">
      <c r="A96" s="366" t="s">
        <v>381</v>
      </c>
      <c r="B96" s="367" t="s">
        <v>449</v>
      </c>
      <c r="C96" s="368" t="s">
        <v>386</v>
      </c>
      <c r="D96" s="369" t="s">
        <v>450</v>
      </c>
      <c r="E96" s="368" t="s">
        <v>775</v>
      </c>
      <c r="F96" s="369" t="s">
        <v>776</v>
      </c>
      <c r="G96" s="368" t="s">
        <v>639</v>
      </c>
      <c r="H96" s="368" t="s">
        <v>640</v>
      </c>
      <c r="I96" s="370">
        <v>75.650000000000006</v>
      </c>
      <c r="J96" s="370">
        <v>120</v>
      </c>
      <c r="K96" s="371">
        <v>9078.1</v>
      </c>
    </row>
    <row r="97" spans="1:11" ht="14.4" customHeight="1" x14ac:dyDescent="0.3">
      <c r="A97" s="366" t="s">
        <v>381</v>
      </c>
      <c r="B97" s="367" t="s">
        <v>449</v>
      </c>
      <c r="C97" s="368" t="s">
        <v>386</v>
      </c>
      <c r="D97" s="369" t="s">
        <v>450</v>
      </c>
      <c r="E97" s="368" t="s">
        <v>775</v>
      </c>
      <c r="F97" s="369" t="s">
        <v>776</v>
      </c>
      <c r="G97" s="368" t="s">
        <v>641</v>
      </c>
      <c r="H97" s="368" t="s">
        <v>642</v>
      </c>
      <c r="I97" s="370">
        <v>167.15</v>
      </c>
      <c r="J97" s="370">
        <v>144</v>
      </c>
      <c r="K97" s="371">
        <v>24069.96</v>
      </c>
    </row>
    <row r="98" spans="1:11" ht="14.4" customHeight="1" x14ac:dyDescent="0.3">
      <c r="A98" s="366" t="s">
        <v>381</v>
      </c>
      <c r="B98" s="367" t="s">
        <v>449</v>
      </c>
      <c r="C98" s="368" t="s">
        <v>386</v>
      </c>
      <c r="D98" s="369" t="s">
        <v>450</v>
      </c>
      <c r="E98" s="368" t="s">
        <v>775</v>
      </c>
      <c r="F98" s="369" t="s">
        <v>776</v>
      </c>
      <c r="G98" s="368" t="s">
        <v>643</v>
      </c>
      <c r="H98" s="368" t="s">
        <v>644</v>
      </c>
      <c r="I98" s="370">
        <v>31.36</v>
      </c>
      <c r="J98" s="370">
        <v>720</v>
      </c>
      <c r="K98" s="371">
        <v>22576.799999999999</v>
      </c>
    </row>
    <row r="99" spans="1:11" ht="14.4" customHeight="1" x14ac:dyDescent="0.3">
      <c r="A99" s="366" t="s">
        <v>381</v>
      </c>
      <c r="B99" s="367" t="s">
        <v>449</v>
      </c>
      <c r="C99" s="368" t="s">
        <v>386</v>
      </c>
      <c r="D99" s="369" t="s">
        <v>450</v>
      </c>
      <c r="E99" s="368" t="s">
        <v>775</v>
      </c>
      <c r="F99" s="369" t="s">
        <v>776</v>
      </c>
      <c r="G99" s="368" t="s">
        <v>645</v>
      </c>
      <c r="H99" s="368" t="s">
        <v>646</v>
      </c>
      <c r="I99" s="370">
        <v>30.31</v>
      </c>
      <c r="J99" s="370">
        <v>1680</v>
      </c>
      <c r="K99" s="371">
        <v>50924.3</v>
      </c>
    </row>
    <row r="100" spans="1:11" ht="14.4" customHeight="1" x14ac:dyDescent="0.3">
      <c r="A100" s="366" t="s">
        <v>381</v>
      </c>
      <c r="B100" s="367" t="s">
        <v>449</v>
      </c>
      <c r="C100" s="368" t="s">
        <v>386</v>
      </c>
      <c r="D100" s="369" t="s">
        <v>450</v>
      </c>
      <c r="E100" s="368" t="s">
        <v>775</v>
      </c>
      <c r="F100" s="369" t="s">
        <v>776</v>
      </c>
      <c r="G100" s="368" t="s">
        <v>647</v>
      </c>
      <c r="H100" s="368" t="s">
        <v>648</v>
      </c>
      <c r="I100" s="370">
        <v>258.06</v>
      </c>
      <c r="J100" s="370">
        <v>360</v>
      </c>
      <c r="K100" s="371">
        <v>92901.6</v>
      </c>
    </row>
    <row r="101" spans="1:11" ht="14.4" customHeight="1" x14ac:dyDescent="0.3">
      <c r="A101" s="366" t="s">
        <v>381</v>
      </c>
      <c r="B101" s="367" t="s">
        <v>449</v>
      </c>
      <c r="C101" s="368" t="s">
        <v>386</v>
      </c>
      <c r="D101" s="369" t="s">
        <v>450</v>
      </c>
      <c r="E101" s="368" t="s">
        <v>775</v>
      </c>
      <c r="F101" s="369" t="s">
        <v>776</v>
      </c>
      <c r="G101" s="368" t="s">
        <v>649</v>
      </c>
      <c r="H101" s="368" t="s">
        <v>650</v>
      </c>
      <c r="I101" s="370">
        <v>337.24</v>
      </c>
      <c r="J101" s="370">
        <v>24</v>
      </c>
      <c r="K101" s="371">
        <v>8093.7</v>
      </c>
    </row>
    <row r="102" spans="1:11" ht="14.4" customHeight="1" x14ac:dyDescent="0.3">
      <c r="A102" s="366" t="s">
        <v>381</v>
      </c>
      <c r="B102" s="367" t="s">
        <v>449</v>
      </c>
      <c r="C102" s="368" t="s">
        <v>386</v>
      </c>
      <c r="D102" s="369" t="s">
        <v>450</v>
      </c>
      <c r="E102" s="368" t="s">
        <v>775</v>
      </c>
      <c r="F102" s="369" t="s">
        <v>776</v>
      </c>
      <c r="G102" s="368" t="s">
        <v>651</v>
      </c>
      <c r="H102" s="368" t="s">
        <v>652</v>
      </c>
      <c r="I102" s="370">
        <v>108.21</v>
      </c>
      <c r="J102" s="370">
        <v>144</v>
      </c>
      <c r="K102" s="371">
        <v>15582.96</v>
      </c>
    </row>
    <row r="103" spans="1:11" ht="14.4" customHeight="1" x14ac:dyDescent="0.3">
      <c r="A103" s="366" t="s">
        <v>381</v>
      </c>
      <c r="B103" s="367" t="s">
        <v>449</v>
      </c>
      <c r="C103" s="368" t="s">
        <v>386</v>
      </c>
      <c r="D103" s="369" t="s">
        <v>450</v>
      </c>
      <c r="E103" s="368" t="s">
        <v>775</v>
      </c>
      <c r="F103" s="369" t="s">
        <v>776</v>
      </c>
      <c r="G103" s="368" t="s">
        <v>653</v>
      </c>
      <c r="H103" s="368" t="s">
        <v>654</v>
      </c>
      <c r="I103" s="370">
        <v>47.74</v>
      </c>
      <c r="J103" s="370">
        <v>108</v>
      </c>
      <c r="K103" s="371">
        <v>5156.37</v>
      </c>
    </row>
    <row r="104" spans="1:11" ht="14.4" customHeight="1" x14ac:dyDescent="0.3">
      <c r="A104" s="366" t="s">
        <v>381</v>
      </c>
      <c r="B104" s="367" t="s">
        <v>449</v>
      </c>
      <c r="C104" s="368" t="s">
        <v>386</v>
      </c>
      <c r="D104" s="369" t="s">
        <v>450</v>
      </c>
      <c r="E104" s="368" t="s">
        <v>775</v>
      </c>
      <c r="F104" s="369" t="s">
        <v>776</v>
      </c>
      <c r="G104" s="368" t="s">
        <v>655</v>
      </c>
      <c r="H104" s="368" t="s">
        <v>656</v>
      </c>
      <c r="I104" s="370">
        <v>77.900000000000006</v>
      </c>
      <c r="J104" s="370">
        <v>120</v>
      </c>
      <c r="K104" s="371">
        <v>9348.35</v>
      </c>
    </row>
    <row r="105" spans="1:11" ht="14.4" customHeight="1" x14ac:dyDescent="0.3">
      <c r="A105" s="366" t="s">
        <v>381</v>
      </c>
      <c r="B105" s="367" t="s">
        <v>449</v>
      </c>
      <c r="C105" s="368" t="s">
        <v>386</v>
      </c>
      <c r="D105" s="369" t="s">
        <v>450</v>
      </c>
      <c r="E105" s="368" t="s">
        <v>775</v>
      </c>
      <c r="F105" s="369" t="s">
        <v>776</v>
      </c>
      <c r="G105" s="368" t="s">
        <v>657</v>
      </c>
      <c r="H105" s="368" t="s">
        <v>658</v>
      </c>
      <c r="I105" s="370">
        <v>42</v>
      </c>
      <c r="J105" s="370">
        <v>144</v>
      </c>
      <c r="K105" s="371">
        <v>6047.62</v>
      </c>
    </row>
    <row r="106" spans="1:11" ht="14.4" customHeight="1" x14ac:dyDescent="0.3">
      <c r="A106" s="366" t="s">
        <v>381</v>
      </c>
      <c r="B106" s="367" t="s">
        <v>449</v>
      </c>
      <c r="C106" s="368" t="s">
        <v>386</v>
      </c>
      <c r="D106" s="369" t="s">
        <v>450</v>
      </c>
      <c r="E106" s="368" t="s">
        <v>775</v>
      </c>
      <c r="F106" s="369" t="s">
        <v>776</v>
      </c>
      <c r="G106" s="368" t="s">
        <v>659</v>
      </c>
      <c r="H106" s="368" t="s">
        <v>660</v>
      </c>
      <c r="I106" s="370">
        <v>86.25</v>
      </c>
      <c r="J106" s="370">
        <v>48</v>
      </c>
      <c r="K106" s="371">
        <v>4140</v>
      </c>
    </row>
    <row r="107" spans="1:11" ht="14.4" customHeight="1" x14ac:dyDescent="0.3">
      <c r="A107" s="366" t="s">
        <v>381</v>
      </c>
      <c r="B107" s="367" t="s">
        <v>449</v>
      </c>
      <c r="C107" s="368" t="s">
        <v>386</v>
      </c>
      <c r="D107" s="369" t="s">
        <v>450</v>
      </c>
      <c r="E107" s="368" t="s">
        <v>775</v>
      </c>
      <c r="F107" s="369" t="s">
        <v>776</v>
      </c>
      <c r="G107" s="368" t="s">
        <v>661</v>
      </c>
      <c r="H107" s="368" t="s">
        <v>662</v>
      </c>
      <c r="I107" s="370">
        <v>73.790000000000006</v>
      </c>
      <c r="J107" s="370">
        <v>144</v>
      </c>
      <c r="K107" s="371">
        <v>10626</v>
      </c>
    </row>
    <row r="108" spans="1:11" ht="14.4" customHeight="1" x14ac:dyDescent="0.3">
      <c r="A108" s="366" t="s">
        <v>381</v>
      </c>
      <c r="B108" s="367" t="s">
        <v>449</v>
      </c>
      <c r="C108" s="368" t="s">
        <v>386</v>
      </c>
      <c r="D108" s="369" t="s">
        <v>450</v>
      </c>
      <c r="E108" s="368" t="s">
        <v>775</v>
      </c>
      <c r="F108" s="369" t="s">
        <v>776</v>
      </c>
      <c r="G108" s="368" t="s">
        <v>663</v>
      </c>
      <c r="H108" s="368" t="s">
        <v>664</v>
      </c>
      <c r="I108" s="370">
        <v>176.93</v>
      </c>
      <c r="J108" s="370">
        <v>36</v>
      </c>
      <c r="K108" s="371">
        <v>6369.39</v>
      </c>
    </row>
    <row r="109" spans="1:11" ht="14.4" customHeight="1" x14ac:dyDescent="0.3">
      <c r="A109" s="366" t="s">
        <v>381</v>
      </c>
      <c r="B109" s="367" t="s">
        <v>449</v>
      </c>
      <c r="C109" s="368" t="s">
        <v>386</v>
      </c>
      <c r="D109" s="369" t="s">
        <v>450</v>
      </c>
      <c r="E109" s="368" t="s">
        <v>775</v>
      </c>
      <c r="F109" s="369" t="s">
        <v>776</v>
      </c>
      <c r="G109" s="368" t="s">
        <v>665</v>
      </c>
      <c r="H109" s="368" t="s">
        <v>666</v>
      </c>
      <c r="I109" s="370">
        <v>40.64</v>
      </c>
      <c r="J109" s="370">
        <v>576</v>
      </c>
      <c r="K109" s="371">
        <v>23406.639999999999</v>
      </c>
    </row>
    <row r="110" spans="1:11" ht="14.4" customHeight="1" x14ac:dyDescent="0.3">
      <c r="A110" s="366" t="s">
        <v>381</v>
      </c>
      <c r="B110" s="367" t="s">
        <v>449</v>
      </c>
      <c r="C110" s="368" t="s">
        <v>386</v>
      </c>
      <c r="D110" s="369" t="s">
        <v>450</v>
      </c>
      <c r="E110" s="368" t="s">
        <v>775</v>
      </c>
      <c r="F110" s="369" t="s">
        <v>776</v>
      </c>
      <c r="G110" s="368" t="s">
        <v>667</v>
      </c>
      <c r="H110" s="368" t="s">
        <v>668</v>
      </c>
      <c r="I110" s="370">
        <v>48.61</v>
      </c>
      <c r="J110" s="370">
        <v>72</v>
      </c>
      <c r="K110" s="371">
        <v>3499.91</v>
      </c>
    </row>
    <row r="111" spans="1:11" ht="14.4" customHeight="1" x14ac:dyDescent="0.3">
      <c r="A111" s="366" t="s">
        <v>381</v>
      </c>
      <c r="B111" s="367" t="s">
        <v>449</v>
      </c>
      <c r="C111" s="368" t="s">
        <v>386</v>
      </c>
      <c r="D111" s="369" t="s">
        <v>450</v>
      </c>
      <c r="E111" s="368" t="s">
        <v>775</v>
      </c>
      <c r="F111" s="369" t="s">
        <v>776</v>
      </c>
      <c r="G111" s="368" t="s">
        <v>669</v>
      </c>
      <c r="H111" s="368" t="s">
        <v>670</v>
      </c>
      <c r="I111" s="370">
        <v>210.16</v>
      </c>
      <c r="J111" s="370">
        <v>120</v>
      </c>
      <c r="K111" s="371">
        <v>25219.5</v>
      </c>
    </row>
    <row r="112" spans="1:11" ht="14.4" customHeight="1" x14ac:dyDescent="0.3">
      <c r="A112" s="366" t="s">
        <v>381</v>
      </c>
      <c r="B112" s="367" t="s">
        <v>449</v>
      </c>
      <c r="C112" s="368" t="s">
        <v>386</v>
      </c>
      <c r="D112" s="369" t="s">
        <v>450</v>
      </c>
      <c r="E112" s="368" t="s">
        <v>775</v>
      </c>
      <c r="F112" s="369" t="s">
        <v>776</v>
      </c>
      <c r="G112" s="368" t="s">
        <v>671</v>
      </c>
      <c r="H112" s="368" t="s">
        <v>672</v>
      </c>
      <c r="I112" s="370">
        <v>142.72</v>
      </c>
      <c r="J112" s="370">
        <v>144</v>
      </c>
      <c r="K112" s="371">
        <v>20550.96</v>
      </c>
    </row>
    <row r="113" spans="1:11" ht="14.4" customHeight="1" x14ac:dyDescent="0.3">
      <c r="A113" s="366" t="s">
        <v>381</v>
      </c>
      <c r="B113" s="367" t="s">
        <v>449</v>
      </c>
      <c r="C113" s="368" t="s">
        <v>386</v>
      </c>
      <c r="D113" s="369" t="s">
        <v>450</v>
      </c>
      <c r="E113" s="368" t="s">
        <v>775</v>
      </c>
      <c r="F113" s="369" t="s">
        <v>776</v>
      </c>
      <c r="G113" s="368" t="s">
        <v>673</v>
      </c>
      <c r="H113" s="368" t="s">
        <v>674</v>
      </c>
      <c r="I113" s="370">
        <v>80.5</v>
      </c>
      <c r="J113" s="370">
        <v>144</v>
      </c>
      <c r="K113" s="371">
        <v>11592</v>
      </c>
    </row>
    <row r="114" spans="1:11" ht="14.4" customHeight="1" x14ac:dyDescent="0.3">
      <c r="A114" s="366" t="s">
        <v>381</v>
      </c>
      <c r="B114" s="367" t="s">
        <v>449</v>
      </c>
      <c r="C114" s="368" t="s">
        <v>386</v>
      </c>
      <c r="D114" s="369" t="s">
        <v>450</v>
      </c>
      <c r="E114" s="368" t="s">
        <v>775</v>
      </c>
      <c r="F114" s="369" t="s">
        <v>776</v>
      </c>
      <c r="G114" s="368" t="s">
        <v>675</v>
      </c>
      <c r="H114" s="368" t="s">
        <v>676</v>
      </c>
      <c r="I114" s="370">
        <v>59.43</v>
      </c>
      <c r="J114" s="370">
        <v>72</v>
      </c>
      <c r="K114" s="371">
        <v>4278.6899999999996</v>
      </c>
    </row>
    <row r="115" spans="1:11" ht="14.4" customHeight="1" x14ac:dyDescent="0.3">
      <c r="A115" s="366" t="s">
        <v>381</v>
      </c>
      <c r="B115" s="367" t="s">
        <v>449</v>
      </c>
      <c r="C115" s="368" t="s">
        <v>386</v>
      </c>
      <c r="D115" s="369" t="s">
        <v>450</v>
      </c>
      <c r="E115" s="368" t="s">
        <v>775</v>
      </c>
      <c r="F115" s="369" t="s">
        <v>776</v>
      </c>
      <c r="G115" s="368" t="s">
        <v>677</v>
      </c>
      <c r="H115" s="368" t="s">
        <v>678</v>
      </c>
      <c r="I115" s="370">
        <v>216.03</v>
      </c>
      <c r="J115" s="370">
        <v>120</v>
      </c>
      <c r="K115" s="371">
        <v>25923.3</v>
      </c>
    </row>
    <row r="116" spans="1:11" ht="14.4" customHeight="1" x14ac:dyDescent="0.3">
      <c r="A116" s="366" t="s">
        <v>381</v>
      </c>
      <c r="B116" s="367" t="s">
        <v>449</v>
      </c>
      <c r="C116" s="368" t="s">
        <v>386</v>
      </c>
      <c r="D116" s="369" t="s">
        <v>450</v>
      </c>
      <c r="E116" s="368" t="s">
        <v>777</v>
      </c>
      <c r="F116" s="369" t="s">
        <v>778</v>
      </c>
      <c r="G116" s="368" t="s">
        <v>679</v>
      </c>
      <c r="H116" s="368" t="s">
        <v>680</v>
      </c>
      <c r="I116" s="370">
        <v>0.3</v>
      </c>
      <c r="J116" s="370">
        <v>100</v>
      </c>
      <c r="K116" s="371">
        <v>30</v>
      </c>
    </row>
    <row r="117" spans="1:11" ht="14.4" customHeight="1" x14ac:dyDescent="0.3">
      <c r="A117" s="366" t="s">
        <v>381</v>
      </c>
      <c r="B117" s="367" t="s">
        <v>449</v>
      </c>
      <c r="C117" s="368" t="s">
        <v>386</v>
      </c>
      <c r="D117" s="369" t="s">
        <v>450</v>
      </c>
      <c r="E117" s="368" t="s">
        <v>777</v>
      </c>
      <c r="F117" s="369" t="s">
        <v>778</v>
      </c>
      <c r="G117" s="368" t="s">
        <v>681</v>
      </c>
      <c r="H117" s="368" t="s">
        <v>682</v>
      </c>
      <c r="I117" s="370">
        <v>0.3</v>
      </c>
      <c r="J117" s="370">
        <v>100</v>
      </c>
      <c r="K117" s="371">
        <v>30</v>
      </c>
    </row>
    <row r="118" spans="1:11" ht="14.4" customHeight="1" x14ac:dyDescent="0.3">
      <c r="A118" s="366" t="s">
        <v>381</v>
      </c>
      <c r="B118" s="367" t="s">
        <v>449</v>
      </c>
      <c r="C118" s="368" t="s">
        <v>386</v>
      </c>
      <c r="D118" s="369" t="s">
        <v>450</v>
      </c>
      <c r="E118" s="368" t="s">
        <v>777</v>
      </c>
      <c r="F118" s="369" t="s">
        <v>778</v>
      </c>
      <c r="G118" s="368" t="s">
        <v>683</v>
      </c>
      <c r="H118" s="368" t="s">
        <v>684</v>
      </c>
      <c r="I118" s="370">
        <v>11.54</v>
      </c>
      <c r="J118" s="370">
        <v>60</v>
      </c>
      <c r="K118" s="371">
        <v>692.6</v>
      </c>
    </row>
    <row r="119" spans="1:11" ht="14.4" customHeight="1" x14ac:dyDescent="0.3">
      <c r="A119" s="366" t="s">
        <v>381</v>
      </c>
      <c r="B119" s="367" t="s">
        <v>449</v>
      </c>
      <c r="C119" s="368" t="s">
        <v>386</v>
      </c>
      <c r="D119" s="369" t="s">
        <v>450</v>
      </c>
      <c r="E119" s="368" t="s">
        <v>777</v>
      </c>
      <c r="F119" s="369" t="s">
        <v>778</v>
      </c>
      <c r="G119" s="368" t="s">
        <v>685</v>
      </c>
      <c r="H119" s="368" t="s">
        <v>686</v>
      </c>
      <c r="I119" s="370">
        <v>10.99</v>
      </c>
      <c r="J119" s="370">
        <v>60</v>
      </c>
      <c r="K119" s="371">
        <v>659.4</v>
      </c>
    </row>
    <row r="120" spans="1:11" ht="14.4" customHeight="1" x14ac:dyDescent="0.3">
      <c r="A120" s="366" t="s">
        <v>381</v>
      </c>
      <c r="B120" s="367" t="s">
        <v>449</v>
      </c>
      <c r="C120" s="368" t="s">
        <v>386</v>
      </c>
      <c r="D120" s="369" t="s">
        <v>450</v>
      </c>
      <c r="E120" s="368" t="s">
        <v>777</v>
      </c>
      <c r="F120" s="369" t="s">
        <v>778</v>
      </c>
      <c r="G120" s="368" t="s">
        <v>687</v>
      </c>
      <c r="H120" s="368" t="s">
        <v>688</v>
      </c>
      <c r="I120" s="370">
        <v>0.48</v>
      </c>
      <c r="J120" s="370">
        <v>100</v>
      </c>
      <c r="K120" s="371">
        <v>48</v>
      </c>
    </row>
    <row r="121" spans="1:11" ht="14.4" customHeight="1" x14ac:dyDescent="0.3">
      <c r="A121" s="366" t="s">
        <v>381</v>
      </c>
      <c r="B121" s="367" t="s">
        <v>449</v>
      </c>
      <c r="C121" s="368" t="s">
        <v>386</v>
      </c>
      <c r="D121" s="369" t="s">
        <v>450</v>
      </c>
      <c r="E121" s="368" t="s">
        <v>777</v>
      </c>
      <c r="F121" s="369" t="s">
        <v>778</v>
      </c>
      <c r="G121" s="368" t="s">
        <v>689</v>
      </c>
      <c r="H121" s="368" t="s">
        <v>690</v>
      </c>
      <c r="I121" s="370">
        <v>3.03</v>
      </c>
      <c r="J121" s="370">
        <v>100</v>
      </c>
      <c r="K121" s="371">
        <v>302.51</v>
      </c>
    </row>
    <row r="122" spans="1:11" ht="14.4" customHeight="1" x14ac:dyDescent="0.3">
      <c r="A122" s="366" t="s">
        <v>381</v>
      </c>
      <c r="B122" s="367" t="s">
        <v>449</v>
      </c>
      <c r="C122" s="368" t="s">
        <v>386</v>
      </c>
      <c r="D122" s="369" t="s">
        <v>450</v>
      </c>
      <c r="E122" s="368" t="s">
        <v>777</v>
      </c>
      <c r="F122" s="369" t="s">
        <v>778</v>
      </c>
      <c r="G122" s="368" t="s">
        <v>691</v>
      </c>
      <c r="H122" s="368" t="s">
        <v>692</v>
      </c>
      <c r="I122" s="370">
        <v>101.58</v>
      </c>
      <c r="J122" s="370">
        <v>25</v>
      </c>
      <c r="K122" s="371">
        <v>2539.4899999999998</v>
      </c>
    </row>
    <row r="123" spans="1:11" ht="14.4" customHeight="1" x14ac:dyDescent="0.3">
      <c r="A123" s="366" t="s">
        <v>381</v>
      </c>
      <c r="B123" s="367" t="s">
        <v>449</v>
      </c>
      <c r="C123" s="368" t="s">
        <v>386</v>
      </c>
      <c r="D123" s="369" t="s">
        <v>450</v>
      </c>
      <c r="E123" s="368" t="s">
        <v>777</v>
      </c>
      <c r="F123" s="369" t="s">
        <v>778</v>
      </c>
      <c r="G123" s="368" t="s">
        <v>693</v>
      </c>
      <c r="H123" s="368" t="s">
        <v>694</v>
      </c>
      <c r="I123" s="370">
        <v>6.88</v>
      </c>
      <c r="J123" s="370">
        <v>60</v>
      </c>
      <c r="K123" s="371">
        <v>413.09</v>
      </c>
    </row>
    <row r="124" spans="1:11" ht="14.4" customHeight="1" x14ac:dyDescent="0.3">
      <c r="A124" s="366" t="s">
        <v>381</v>
      </c>
      <c r="B124" s="367" t="s">
        <v>449</v>
      </c>
      <c r="C124" s="368" t="s">
        <v>386</v>
      </c>
      <c r="D124" s="369" t="s">
        <v>450</v>
      </c>
      <c r="E124" s="368" t="s">
        <v>777</v>
      </c>
      <c r="F124" s="369" t="s">
        <v>778</v>
      </c>
      <c r="G124" s="368" t="s">
        <v>695</v>
      </c>
      <c r="H124" s="368" t="s">
        <v>696</v>
      </c>
      <c r="I124" s="370">
        <v>6.88</v>
      </c>
      <c r="J124" s="370">
        <v>60</v>
      </c>
      <c r="K124" s="371">
        <v>413.09</v>
      </c>
    </row>
    <row r="125" spans="1:11" ht="14.4" customHeight="1" x14ac:dyDescent="0.3">
      <c r="A125" s="366" t="s">
        <v>381</v>
      </c>
      <c r="B125" s="367" t="s">
        <v>449</v>
      </c>
      <c r="C125" s="368" t="s">
        <v>386</v>
      </c>
      <c r="D125" s="369" t="s">
        <v>450</v>
      </c>
      <c r="E125" s="368" t="s">
        <v>777</v>
      </c>
      <c r="F125" s="369" t="s">
        <v>778</v>
      </c>
      <c r="G125" s="368" t="s">
        <v>697</v>
      </c>
      <c r="H125" s="368" t="s">
        <v>698</v>
      </c>
      <c r="I125" s="370">
        <v>25.51</v>
      </c>
      <c r="J125" s="370">
        <v>60</v>
      </c>
      <c r="K125" s="371">
        <v>1530.7</v>
      </c>
    </row>
    <row r="126" spans="1:11" ht="14.4" customHeight="1" x14ac:dyDescent="0.3">
      <c r="A126" s="366" t="s">
        <v>381</v>
      </c>
      <c r="B126" s="367" t="s">
        <v>449</v>
      </c>
      <c r="C126" s="368" t="s">
        <v>386</v>
      </c>
      <c r="D126" s="369" t="s">
        <v>450</v>
      </c>
      <c r="E126" s="368" t="s">
        <v>777</v>
      </c>
      <c r="F126" s="369" t="s">
        <v>778</v>
      </c>
      <c r="G126" s="368" t="s">
        <v>699</v>
      </c>
      <c r="H126" s="368" t="s">
        <v>700</v>
      </c>
      <c r="I126" s="370">
        <v>25.51</v>
      </c>
      <c r="J126" s="370">
        <v>60</v>
      </c>
      <c r="K126" s="371">
        <v>1530.7</v>
      </c>
    </row>
    <row r="127" spans="1:11" ht="14.4" customHeight="1" x14ac:dyDescent="0.3">
      <c r="A127" s="366" t="s">
        <v>381</v>
      </c>
      <c r="B127" s="367" t="s">
        <v>449</v>
      </c>
      <c r="C127" s="368" t="s">
        <v>386</v>
      </c>
      <c r="D127" s="369" t="s">
        <v>450</v>
      </c>
      <c r="E127" s="368" t="s">
        <v>777</v>
      </c>
      <c r="F127" s="369" t="s">
        <v>778</v>
      </c>
      <c r="G127" s="368" t="s">
        <v>701</v>
      </c>
      <c r="H127" s="368" t="s">
        <v>702</v>
      </c>
      <c r="I127" s="370">
        <v>925.65</v>
      </c>
      <c r="J127" s="370">
        <v>30</v>
      </c>
      <c r="K127" s="371">
        <v>27769.5</v>
      </c>
    </row>
    <row r="128" spans="1:11" ht="14.4" customHeight="1" x14ac:dyDescent="0.3">
      <c r="A128" s="366" t="s">
        <v>381</v>
      </c>
      <c r="B128" s="367" t="s">
        <v>449</v>
      </c>
      <c r="C128" s="368" t="s">
        <v>386</v>
      </c>
      <c r="D128" s="369" t="s">
        <v>450</v>
      </c>
      <c r="E128" s="368" t="s">
        <v>779</v>
      </c>
      <c r="F128" s="369" t="s">
        <v>780</v>
      </c>
      <c r="G128" s="368" t="s">
        <v>703</v>
      </c>
      <c r="H128" s="368" t="s">
        <v>704</v>
      </c>
      <c r="I128" s="370">
        <v>18.966666666666669</v>
      </c>
      <c r="J128" s="370">
        <v>600</v>
      </c>
      <c r="K128" s="371">
        <v>11638.689999999999</v>
      </c>
    </row>
    <row r="129" spans="1:11" ht="14.4" customHeight="1" x14ac:dyDescent="0.3">
      <c r="A129" s="366" t="s">
        <v>381</v>
      </c>
      <c r="B129" s="367" t="s">
        <v>449</v>
      </c>
      <c r="C129" s="368" t="s">
        <v>386</v>
      </c>
      <c r="D129" s="369" t="s">
        <v>450</v>
      </c>
      <c r="E129" s="368" t="s">
        <v>779</v>
      </c>
      <c r="F129" s="369" t="s">
        <v>780</v>
      </c>
      <c r="G129" s="368" t="s">
        <v>705</v>
      </c>
      <c r="H129" s="368" t="s">
        <v>706</v>
      </c>
      <c r="I129" s="370">
        <v>15.52</v>
      </c>
      <c r="J129" s="370">
        <v>150</v>
      </c>
      <c r="K129" s="371">
        <v>2327.3000000000002</v>
      </c>
    </row>
    <row r="130" spans="1:11" ht="14.4" customHeight="1" x14ac:dyDescent="0.3">
      <c r="A130" s="366" t="s">
        <v>381</v>
      </c>
      <c r="B130" s="367" t="s">
        <v>449</v>
      </c>
      <c r="C130" s="368" t="s">
        <v>386</v>
      </c>
      <c r="D130" s="369" t="s">
        <v>450</v>
      </c>
      <c r="E130" s="368" t="s">
        <v>779</v>
      </c>
      <c r="F130" s="369" t="s">
        <v>780</v>
      </c>
      <c r="G130" s="368" t="s">
        <v>707</v>
      </c>
      <c r="H130" s="368" t="s">
        <v>708</v>
      </c>
      <c r="I130" s="370">
        <v>0.69</v>
      </c>
      <c r="J130" s="370">
        <v>1400</v>
      </c>
      <c r="K130" s="371">
        <v>966</v>
      </c>
    </row>
    <row r="131" spans="1:11" ht="14.4" customHeight="1" x14ac:dyDescent="0.3">
      <c r="A131" s="366" t="s">
        <v>381</v>
      </c>
      <c r="B131" s="367" t="s">
        <v>449</v>
      </c>
      <c r="C131" s="368" t="s">
        <v>386</v>
      </c>
      <c r="D131" s="369" t="s">
        <v>450</v>
      </c>
      <c r="E131" s="368" t="s">
        <v>779</v>
      </c>
      <c r="F131" s="369" t="s">
        <v>780</v>
      </c>
      <c r="G131" s="368" t="s">
        <v>709</v>
      </c>
      <c r="H131" s="368" t="s">
        <v>710</v>
      </c>
      <c r="I131" s="370">
        <v>0.69</v>
      </c>
      <c r="J131" s="370">
        <v>7000</v>
      </c>
      <c r="K131" s="371">
        <v>4830</v>
      </c>
    </row>
    <row r="132" spans="1:11" ht="14.4" customHeight="1" x14ac:dyDescent="0.3">
      <c r="A132" s="366" t="s">
        <v>381</v>
      </c>
      <c r="B132" s="367" t="s">
        <v>449</v>
      </c>
      <c r="C132" s="368" t="s">
        <v>386</v>
      </c>
      <c r="D132" s="369" t="s">
        <v>450</v>
      </c>
      <c r="E132" s="368" t="s">
        <v>779</v>
      </c>
      <c r="F132" s="369" t="s">
        <v>780</v>
      </c>
      <c r="G132" s="368" t="s">
        <v>711</v>
      </c>
      <c r="H132" s="368" t="s">
        <v>712</v>
      </c>
      <c r="I132" s="370">
        <v>12.39</v>
      </c>
      <c r="J132" s="370">
        <v>1000</v>
      </c>
      <c r="K132" s="371">
        <v>12428</v>
      </c>
    </row>
    <row r="133" spans="1:11" ht="14.4" customHeight="1" x14ac:dyDescent="0.3">
      <c r="A133" s="366" t="s">
        <v>381</v>
      </c>
      <c r="B133" s="367" t="s">
        <v>449</v>
      </c>
      <c r="C133" s="368" t="s">
        <v>386</v>
      </c>
      <c r="D133" s="369" t="s">
        <v>450</v>
      </c>
      <c r="E133" s="368" t="s">
        <v>779</v>
      </c>
      <c r="F133" s="369" t="s">
        <v>780</v>
      </c>
      <c r="G133" s="368" t="s">
        <v>713</v>
      </c>
      <c r="H133" s="368" t="s">
        <v>714</v>
      </c>
      <c r="I133" s="370">
        <v>11.536666666666667</v>
      </c>
      <c r="J133" s="370">
        <v>1620</v>
      </c>
      <c r="K133" s="371">
        <v>19912.7</v>
      </c>
    </row>
    <row r="134" spans="1:11" ht="14.4" customHeight="1" x14ac:dyDescent="0.3">
      <c r="A134" s="366" t="s">
        <v>381</v>
      </c>
      <c r="B134" s="367" t="s">
        <v>449</v>
      </c>
      <c r="C134" s="368" t="s">
        <v>386</v>
      </c>
      <c r="D134" s="369" t="s">
        <v>450</v>
      </c>
      <c r="E134" s="368" t="s">
        <v>779</v>
      </c>
      <c r="F134" s="369" t="s">
        <v>780</v>
      </c>
      <c r="G134" s="368" t="s">
        <v>715</v>
      </c>
      <c r="H134" s="368" t="s">
        <v>716</v>
      </c>
      <c r="I134" s="370">
        <v>11.797499999999999</v>
      </c>
      <c r="J134" s="370">
        <v>1040</v>
      </c>
      <c r="K134" s="371">
        <v>11984.8</v>
      </c>
    </row>
    <row r="135" spans="1:11" ht="14.4" customHeight="1" x14ac:dyDescent="0.3">
      <c r="A135" s="366" t="s">
        <v>381</v>
      </c>
      <c r="B135" s="367" t="s">
        <v>449</v>
      </c>
      <c r="C135" s="368" t="s">
        <v>386</v>
      </c>
      <c r="D135" s="369" t="s">
        <v>450</v>
      </c>
      <c r="E135" s="368" t="s">
        <v>779</v>
      </c>
      <c r="F135" s="369" t="s">
        <v>780</v>
      </c>
      <c r="G135" s="368" t="s">
        <v>717</v>
      </c>
      <c r="H135" s="368" t="s">
        <v>718</v>
      </c>
      <c r="I135" s="370">
        <v>12.36</v>
      </c>
      <c r="J135" s="370">
        <v>1150</v>
      </c>
      <c r="K135" s="371">
        <v>14312.5</v>
      </c>
    </row>
    <row r="136" spans="1:11" ht="14.4" customHeight="1" x14ac:dyDescent="0.3">
      <c r="A136" s="366" t="s">
        <v>381</v>
      </c>
      <c r="B136" s="367" t="s">
        <v>449</v>
      </c>
      <c r="C136" s="368" t="s">
        <v>386</v>
      </c>
      <c r="D136" s="369" t="s">
        <v>450</v>
      </c>
      <c r="E136" s="368" t="s">
        <v>779</v>
      </c>
      <c r="F136" s="369" t="s">
        <v>780</v>
      </c>
      <c r="G136" s="368" t="s">
        <v>719</v>
      </c>
      <c r="H136" s="368" t="s">
        <v>720</v>
      </c>
      <c r="I136" s="370">
        <v>11.396666666666667</v>
      </c>
      <c r="J136" s="370">
        <v>1630</v>
      </c>
      <c r="K136" s="371">
        <v>19545.2</v>
      </c>
    </row>
    <row r="137" spans="1:11" ht="14.4" customHeight="1" x14ac:dyDescent="0.3">
      <c r="A137" s="366" t="s">
        <v>381</v>
      </c>
      <c r="B137" s="367" t="s">
        <v>449</v>
      </c>
      <c r="C137" s="368" t="s">
        <v>386</v>
      </c>
      <c r="D137" s="369" t="s">
        <v>450</v>
      </c>
      <c r="E137" s="368" t="s">
        <v>779</v>
      </c>
      <c r="F137" s="369" t="s">
        <v>780</v>
      </c>
      <c r="G137" s="368" t="s">
        <v>721</v>
      </c>
      <c r="H137" s="368" t="s">
        <v>722</v>
      </c>
      <c r="I137" s="370">
        <v>20.69</v>
      </c>
      <c r="J137" s="370">
        <v>200</v>
      </c>
      <c r="K137" s="371">
        <v>4138.2</v>
      </c>
    </row>
    <row r="138" spans="1:11" ht="14.4" customHeight="1" x14ac:dyDescent="0.3">
      <c r="A138" s="366" t="s">
        <v>381</v>
      </c>
      <c r="B138" s="367" t="s">
        <v>449</v>
      </c>
      <c r="C138" s="368" t="s">
        <v>386</v>
      </c>
      <c r="D138" s="369" t="s">
        <v>450</v>
      </c>
      <c r="E138" s="368" t="s">
        <v>781</v>
      </c>
      <c r="F138" s="369" t="s">
        <v>782</v>
      </c>
      <c r="G138" s="368" t="s">
        <v>723</v>
      </c>
      <c r="H138" s="368" t="s">
        <v>724</v>
      </c>
      <c r="I138" s="370">
        <v>56.39</v>
      </c>
      <c r="J138" s="370">
        <v>330</v>
      </c>
      <c r="K138" s="371">
        <v>18607.379999999997</v>
      </c>
    </row>
    <row r="139" spans="1:11" ht="14.4" customHeight="1" x14ac:dyDescent="0.3">
      <c r="A139" s="366" t="s">
        <v>381</v>
      </c>
      <c r="B139" s="367" t="s">
        <v>449</v>
      </c>
      <c r="C139" s="368" t="s">
        <v>386</v>
      </c>
      <c r="D139" s="369" t="s">
        <v>450</v>
      </c>
      <c r="E139" s="368" t="s">
        <v>781</v>
      </c>
      <c r="F139" s="369" t="s">
        <v>782</v>
      </c>
      <c r="G139" s="368" t="s">
        <v>725</v>
      </c>
      <c r="H139" s="368" t="s">
        <v>726</v>
      </c>
      <c r="I139" s="370">
        <v>10.74</v>
      </c>
      <c r="J139" s="370">
        <v>100</v>
      </c>
      <c r="K139" s="371">
        <v>1074.48</v>
      </c>
    </row>
    <row r="140" spans="1:11" ht="14.4" customHeight="1" x14ac:dyDescent="0.3">
      <c r="A140" s="366" t="s">
        <v>381</v>
      </c>
      <c r="B140" s="367" t="s">
        <v>449</v>
      </c>
      <c r="C140" s="368" t="s">
        <v>386</v>
      </c>
      <c r="D140" s="369" t="s">
        <v>450</v>
      </c>
      <c r="E140" s="368" t="s">
        <v>781</v>
      </c>
      <c r="F140" s="369" t="s">
        <v>782</v>
      </c>
      <c r="G140" s="368" t="s">
        <v>727</v>
      </c>
      <c r="H140" s="368" t="s">
        <v>728</v>
      </c>
      <c r="I140" s="370">
        <v>30.25</v>
      </c>
      <c r="J140" s="370">
        <v>90</v>
      </c>
      <c r="K140" s="371">
        <v>2722.5</v>
      </c>
    </row>
    <row r="141" spans="1:11" ht="14.4" customHeight="1" x14ac:dyDescent="0.3">
      <c r="A141" s="366" t="s">
        <v>381</v>
      </c>
      <c r="B141" s="367" t="s">
        <v>449</v>
      </c>
      <c r="C141" s="368" t="s">
        <v>391</v>
      </c>
      <c r="D141" s="369" t="s">
        <v>451</v>
      </c>
      <c r="E141" s="368" t="s">
        <v>769</v>
      </c>
      <c r="F141" s="369" t="s">
        <v>770</v>
      </c>
      <c r="G141" s="368" t="s">
        <v>729</v>
      </c>
      <c r="H141" s="368" t="s">
        <v>730</v>
      </c>
      <c r="I141" s="370">
        <v>114.01</v>
      </c>
      <c r="J141" s="370">
        <v>15</v>
      </c>
      <c r="K141" s="371">
        <v>1710.1</v>
      </c>
    </row>
    <row r="142" spans="1:11" ht="14.4" customHeight="1" x14ac:dyDescent="0.3">
      <c r="A142" s="366" t="s">
        <v>381</v>
      </c>
      <c r="B142" s="367" t="s">
        <v>449</v>
      </c>
      <c r="C142" s="368" t="s">
        <v>391</v>
      </c>
      <c r="D142" s="369" t="s">
        <v>451</v>
      </c>
      <c r="E142" s="368" t="s">
        <v>769</v>
      </c>
      <c r="F142" s="369" t="s">
        <v>770</v>
      </c>
      <c r="G142" s="368" t="s">
        <v>731</v>
      </c>
      <c r="H142" s="368" t="s">
        <v>732</v>
      </c>
      <c r="I142" s="370">
        <v>16.21</v>
      </c>
      <c r="J142" s="370">
        <v>9000</v>
      </c>
      <c r="K142" s="371">
        <v>145935</v>
      </c>
    </row>
    <row r="143" spans="1:11" ht="14.4" customHeight="1" x14ac:dyDescent="0.3">
      <c r="A143" s="366" t="s">
        <v>381</v>
      </c>
      <c r="B143" s="367" t="s">
        <v>449</v>
      </c>
      <c r="C143" s="368" t="s">
        <v>391</v>
      </c>
      <c r="D143" s="369" t="s">
        <v>451</v>
      </c>
      <c r="E143" s="368" t="s">
        <v>769</v>
      </c>
      <c r="F143" s="369" t="s">
        <v>770</v>
      </c>
      <c r="G143" s="368" t="s">
        <v>733</v>
      </c>
      <c r="H143" s="368" t="s">
        <v>734</v>
      </c>
      <c r="I143" s="370">
        <v>0.9</v>
      </c>
      <c r="J143" s="370">
        <v>9000</v>
      </c>
      <c r="K143" s="371">
        <v>8073</v>
      </c>
    </row>
    <row r="144" spans="1:11" ht="14.4" customHeight="1" x14ac:dyDescent="0.3">
      <c r="A144" s="366" t="s">
        <v>381</v>
      </c>
      <c r="B144" s="367" t="s">
        <v>449</v>
      </c>
      <c r="C144" s="368" t="s">
        <v>391</v>
      </c>
      <c r="D144" s="369" t="s">
        <v>451</v>
      </c>
      <c r="E144" s="368" t="s">
        <v>769</v>
      </c>
      <c r="F144" s="369" t="s">
        <v>770</v>
      </c>
      <c r="G144" s="368" t="s">
        <v>735</v>
      </c>
      <c r="H144" s="368" t="s">
        <v>736</v>
      </c>
      <c r="I144" s="370">
        <v>2.54</v>
      </c>
      <c r="J144" s="370">
        <v>6000</v>
      </c>
      <c r="K144" s="371">
        <v>15235.2</v>
      </c>
    </row>
    <row r="145" spans="1:11" ht="14.4" customHeight="1" x14ac:dyDescent="0.3">
      <c r="A145" s="366" t="s">
        <v>381</v>
      </c>
      <c r="B145" s="367" t="s">
        <v>449</v>
      </c>
      <c r="C145" s="368" t="s">
        <v>391</v>
      </c>
      <c r="D145" s="369" t="s">
        <v>451</v>
      </c>
      <c r="E145" s="368" t="s">
        <v>771</v>
      </c>
      <c r="F145" s="369" t="s">
        <v>772</v>
      </c>
      <c r="G145" s="368" t="s">
        <v>737</v>
      </c>
      <c r="H145" s="368" t="s">
        <v>738</v>
      </c>
      <c r="I145" s="370">
        <v>8.4700000000000006</v>
      </c>
      <c r="J145" s="370">
        <v>200</v>
      </c>
      <c r="K145" s="371">
        <v>1694</v>
      </c>
    </row>
    <row r="146" spans="1:11" ht="14.4" customHeight="1" x14ac:dyDescent="0.3">
      <c r="A146" s="366" t="s">
        <v>381</v>
      </c>
      <c r="B146" s="367" t="s">
        <v>449</v>
      </c>
      <c r="C146" s="368" t="s">
        <v>391</v>
      </c>
      <c r="D146" s="369" t="s">
        <v>451</v>
      </c>
      <c r="E146" s="368" t="s">
        <v>771</v>
      </c>
      <c r="F146" s="369" t="s">
        <v>772</v>
      </c>
      <c r="G146" s="368" t="s">
        <v>541</v>
      </c>
      <c r="H146" s="368" t="s">
        <v>542</v>
      </c>
      <c r="I146" s="370">
        <v>80.569999999999993</v>
      </c>
      <c r="J146" s="370">
        <v>120</v>
      </c>
      <c r="K146" s="371">
        <v>9668.4</v>
      </c>
    </row>
    <row r="147" spans="1:11" ht="14.4" customHeight="1" x14ac:dyDescent="0.3">
      <c r="A147" s="366" t="s">
        <v>381</v>
      </c>
      <c r="B147" s="367" t="s">
        <v>449</v>
      </c>
      <c r="C147" s="368" t="s">
        <v>391</v>
      </c>
      <c r="D147" s="369" t="s">
        <v>451</v>
      </c>
      <c r="E147" s="368" t="s">
        <v>771</v>
      </c>
      <c r="F147" s="369" t="s">
        <v>772</v>
      </c>
      <c r="G147" s="368" t="s">
        <v>549</v>
      </c>
      <c r="H147" s="368" t="s">
        <v>550</v>
      </c>
      <c r="I147" s="370">
        <v>2.0299999999999998</v>
      </c>
      <c r="J147" s="370">
        <v>100</v>
      </c>
      <c r="K147" s="371">
        <v>203</v>
      </c>
    </row>
    <row r="148" spans="1:11" ht="14.4" customHeight="1" x14ac:dyDescent="0.3">
      <c r="A148" s="366" t="s">
        <v>381</v>
      </c>
      <c r="B148" s="367" t="s">
        <v>449</v>
      </c>
      <c r="C148" s="368" t="s">
        <v>391</v>
      </c>
      <c r="D148" s="369" t="s">
        <v>451</v>
      </c>
      <c r="E148" s="368" t="s">
        <v>771</v>
      </c>
      <c r="F148" s="369" t="s">
        <v>772</v>
      </c>
      <c r="G148" s="368" t="s">
        <v>563</v>
      </c>
      <c r="H148" s="368" t="s">
        <v>564</v>
      </c>
      <c r="I148" s="370">
        <v>57.72</v>
      </c>
      <c r="J148" s="370">
        <v>500</v>
      </c>
      <c r="K148" s="371">
        <v>28858.5</v>
      </c>
    </row>
    <row r="149" spans="1:11" ht="14.4" customHeight="1" x14ac:dyDescent="0.3">
      <c r="A149" s="366" t="s">
        <v>381</v>
      </c>
      <c r="B149" s="367" t="s">
        <v>449</v>
      </c>
      <c r="C149" s="368" t="s">
        <v>391</v>
      </c>
      <c r="D149" s="369" t="s">
        <v>451</v>
      </c>
      <c r="E149" s="368" t="s">
        <v>771</v>
      </c>
      <c r="F149" s="369" t="s">
        <v>772</v>
      </c>
      <c r="G149" s="368" t="s">
        <v>739</v>
      </c>
      <c r="H149" s="368" t="s">
        <v>740</v>
      </c>
      <c r="I149" s="370">
        <v>496.35</v>
      </c>
      <c r="J149" s="370">
        <v>10</v>
      </c>
      <c r="K149" s="371">
        <v>4963.54</v>
      </c>
    </row>
    <row r="150" spans="1:11" ht="14.4" customHeight="1" x14ac:dyDescent="0.3">
      <c r="A150" s="366" t="s">
        <v>381</v>
      </c>
      <c r="B150" s="367" t="s">
        <v>449</v>
      </c>
      <c r="C150" s="368" t="s">
        <v>391</v>
      </c>
      <c r="D150" s="369" t="s">
        <v>451</v>
      </c>
      <c r="E150" s="368" t="s">
        <v>771</v>
      </c>
      <c r="F150" s="369" t="s">
        <v>772</v>
      </c>
      <c r="G150" s="368" t="s">
        <v>741</v>
      </c>
      <c r="H150" s="368" t="s">
        <v>742</v>
      </c>
      <c r="I150" s="370">
        <v>839.98</v>
      </c>
      <c r="J150" s="370">
        <v>10</v>
      </c>
      <c r="K150" s="371">
        <v>8399.76</v>
      </c>
    </row>
    <row r="151" spans="1:11" ht="14.4" customHeight="1" x14ac:dyDescent="0.3">
      <c r="A151" s="366" t="s">
        <v>381</v>
      </c>
      <c r="B151" s="367" t="s">
        <v>449</v>
      </c>
      <c r="C151" s="368" t="s">
        <v>391</v>
      </c>
      <c r="D151" s="369" t="s">
        <v>451</v>
      </c>
      <c r="E151" s="368" t="s">
        <v>771</v>
      </c>
      <c r="F151" s="369" t="s">
        <v>772</v>
      </c>
      <c r="G151" s="368" t="s">
        <v>743</v>
      </c>
      <c r="H151" s="368" t="s">
        <v>744</v>
      </c>
      <c r="I151" s="370">
        <v>2903.18</v>
      </c>
      <c r="J151" s="370">
        <v>3</v>
      </c>
      <c r="K151" s="371">
        <v>8709.5300000000007</v>
      </c>
    </row>
    <row r="152" spans="1:11" ht="14.4" customHeight="1" x14ac:dyDescent="0.3">
      <c r="A152" s="366" t="s">
        <v>381</v>
      </c>
      <c r="B152" s="367" t="s">
        <v>449</v>
      </c>
      <c r="C152" s="368" t="s">
        <v>391</v>
      </c>
      <c r="D152" s="369" t="s">
        <v>451</v>
      </c>
      <c r="E152" s="368" t="s">
        <v>771</v>
      </c>
      <c r="F152" s="369" t="s">
        <v>772</v>
      </c>
      <c r="G152" s="368" t="s">
        <v>745</v>
      </c>
      <c r="H152" s="368" t="s">
        <v>746</v>
      </c>
      <c r="I152" s="370">
        <v>2317.81</v>
      </c>
      <c r="J152" s="370">
        <v>10</v>
      </c>
      <c r="K152" s="371">
        <v>23178.1</v>
      </c>
    </row>
    <row r="153" spans="1:11" ht="14.4" customHeight="1" x14ac:dyDescent="0.3">
      <c r="A153" s="366" t="s">
        <v>381</v>
      </c>
      <c r="B153" s="367" t="s">
        <v>449</v>
      </c>
      <c r="C153" s="368" t="s">
        <v>391</v>
      </c>
      <c r="D153" s="369" t="s">
        <v>451</v>
      </c>
      <c r="E153" s="368" t="s">
        <v>771</v>
      </c>
      <c r="F153" s="369" t="s">
        <v>772</v>
      </c>
      <c r="G153" s="368" t="s">
        <v>747</v>
      </c>
      <c r="H153" s="368" t="s">
        <v>748</v>
      </c>
      <c r="I153" s="370">
        <v>80</v>
      </c>
      <c r="J153" s="370">
        <v>48</v>
      </c>
      <c r="K153" s="371">
        <v>3839.85</v>
      </c>
    </row>
    <row r="154" spans="1:11" ht="14.4" customHeight="1" x14ac:dyDescent="0.3">
      <c r="A154" s="366" t="s">
        <v>381</v>
      </c>
      <c r="B154" s="367" t="s">
        <v>449</v>
      </c>
      <c r="C154" s="368" t="s">
        <v>391</v>
      </c>
      <c r="D154" s="369" t="s">
        <v>451</v>
      </c>
      <c r="E154" s="368" t="s">
        <v>771</v>
      </c>
      <c r="F154" s="369" t="s">
        <v>772</v>
      </c>
      <c r="G154" s="368" t="s">
        <v>749</v>
      </c>
      <c r="H154" s="368" t="s">
        <v>750</v>
      </c>
      <c r="I154" s="370">
        <v>19.96</v>
      </c>
      <c r="J154" s="370">
        <v>50</v>
      </c>
      <c r="K154" s="371">
        <v>998.25</v>
      </c>
    </row>
    <row r="155" spans="1:11" ht="14.4" customHeight="1" x14ac:dyDescent="0.3">
      <c r="A155" s="366" t="s">
        <v>381</v>
      </c>
      <c r="B155" s="367" t="s">
        <v>449</v>
      </c>
      <c r="C155" s="368" t="s">
        <v>391</v>
      </c>
      <c r="D155" s="369" t="s">
        <v>451</v>
      </c>
      <c r="E155" s="368" t="s">
        <v>771</v>
      </c>
      <c r="F155" s="369" t="s">
        <v>772</v>
      </c>
      <c r="G155" s="368" t="s">
        <v>751</v>
      </c>
      <c r="H155" s="368" t="s">
        <v>752</v>
      </c>
      <c r="I155" s="370">
        <v>1428.87</v>
      </c>
      <c r="J155" s="370">
        <v>1</v>
      </c>
      <c r="K155" s="371">
        <v>1428.87</v>
      </c>
    </row>
    <row r="156" spans="1:11" ht="14.4" customHeight="1" x14ac:dyDescent="0.3">
      <c r="A156" s="366" t="s">
        <v>381</v>
      </c>
      <c r="B156" s="367" t="s">
        <v>449</v>
      </c>
      <c r="C156" s="368" t="s">
        <v>391</v>
      </c>
      <c r="D156" s="369" t="s">
        <v>451</v>
      </c>
      <c r="E156" s="368" t="s">
        <v>771</v>
      </c>
      <c r="F156" s="369" t="s">
        <v>772</v>
      </c>
      <c r="G156" s="368" t="s">
        <v>589</v>
      </c>
      <c r="H156" s="368" t="s">
        <v>590</v>
      </c>
      <c r="I156" s="370">
        <v>87.82</v>
      </c>
      <c r="J156" s="370">
        <v>100</v>
      </c>
      <c r="K156" s="371">
        <v>8782.36</v>
      </c>
    </row>
    <row r="157" spans="1:11" ht="14.4" customHeight="1" x14ac:dyDescent="0.3">
      <c r="A157" s="366" t="s">
        <v>381</v>
      </c>
      <c r="B157" s="367" t="s">
        <v>449</v>
      </c>
      <c r="C157" s="368" t="s">
        <v>391</v>
      </c>
      <c r="D157" s="369" t="s">
        <v>451</v>
      </c>
      <c r="E157" s="368" t="s">
        <v>771</v>
      </c>
      <c r="F157" s="369" t="s">
        <v>772</v>
      </c>
      <c r="G157" s="368" t="s">
        <v>753</v>
      </c>
      <c r="H157" s="368" t="s">
        <v>754</v>
      </c>
      <c r="I157" s="370">
        <v>1541.68</v>
      </c>
      <c r="J157" s="370">
        <v>1</v>
      </c>
      <c r="K157" s="371">
        <v>1541.68</v>
      </c>
    </row>
    <row r="158" spans="1:11" ht="14.4" customHeight="1" x14ac:dyDescent="0.3">
      <c r="A158" s="366" t="s">
        <v>381</v>
      </c>
      <c r="B158" s="367" t="s">
        <v>449</v>
      </c>
      <c r="C158" s="368" t="s">
        <v>391</v>
      </c>
      <c r="D158" s="369" t="s">
        <v>451</v>
      </c>
      <c r="E158" s="368" t="s">
        <v>771</v>
      </c>
      <c r="F158" s="369" t="s">
        <v>772</v>
      </c>
      <c r="G158" s="368" t="s">
        <v>755</v>
      </c>
      <c r="H158" s="368" t="s">
        <v>756</v>
      </c>
      <c r="I158" s="370">
        <v>160.93</v>
      </c>
      <c r="J158" s="370">
        <v>10</v>
      </c>
      <c r="K158" s="371">
        <v>1609.3</v>
      </c>
    </row>
    <row r="159" spans="1:11" ht="14.4" customHeight="1" x14ac:dyDescent="0.3">
      <c r="A159" s="366" t="s">
        <v>381</v>
      </c>
      <c r="B159" s="367" t="s">
        <v>449</v>
      </c>
      <c r="C159" s="368" t="s">
        <v>391</v>
      </c>
      <c r="D159" s="369" t="s">
        <v>451</v>
      </c>
      <c r="E159" s="368" t="s">
        <v>771</v>
      </c>
      <c r="F159" s="369" t="s">
        <v>772</v>
      </c>
      <c r="G159" s="368" t="s">
        <v>757</v>
      </c>
      <c r="H159" s="368" t="s">
        <v>758</v>
      </c>
      <c r="I159" s="370">
        <v>620.46</v>
      </c>
      <c r="J159" s="370">
        <v>30</v>
      </c>
      <c r="K159" s="371">
        <v>18613.900000000001</v>
      </c>
    </row>
    <row r="160" spans="1:11" ht="14.4" customHeight="1" x14ac:dyDescent="0.3">
      <c r="A160" s="366" t="s">
        <v>381</v>
      </c>
      <c r="B160" s="367" t="s">
        <v>449</v>
      </c>
      <c r="C160" s="368" t="s">
        <v>391</v>
      </c>
      <c r="D160" s="369" t="s">
        <v>451</v>
      </c>
      <c r="E160" s="368" t="s">
        <v>777</v>
      </c>
      <c r="F160" s="369" t="s">
        <v>778</v>
      </c>
      <c r="G160" s="368" t="s">
        <v>679</v>
      </c>
      <c r="H160" s="368" t="s">
        <v>680</v>
      </c>
      <c r="I160" s="370">
        <v>0.3</v>
      </c>
      <c r="J160" s="370">
        <v>200</v>
      </c>
      <c r="K160" s="371">
        <v>60</v>
      </c>
    </row>
    <row r="161" spans="1:11" ht="14.4" customHeight="1" x14ac:dyDescent="0.3">
      <c r="A161" s="366" t="s">
        <v>381</v>
      </c>
      <c r="B161" s="367" t="s">
        <v>449</v>
      </c>
      <c r="C161" s="368" t="s">
        <v>391</v>
      </c>
      <c r="D161" s="369" t="s">
        <v>451</v>
      </c>
      <c r="E161" s="368" t="s">
        <v>777</v>
      </c>
      <c r="F161" s="369" t="s">
        <v>778</v>
      </c>
      <c r="G161" s="368" t="s">
        <v>681</v>
      </c>
      <c r="H161" s="368" t="s">
        <v>682</v>
      </c>
      <c r="I161" s="370">
        <v>0.3</v>
      </c>
      <c r="J161" s="370">
        <v>200</v>
      </c>
      <c r="K161" s="371">
        <v>60</v>
      </c>
    </row>
    <row r="162" spans="1:11" ht="14.4" customHeight="1" x14ac:dyDescent="0.3">
      <c r="A162" s="366" t="s">
        <v>381</v>
      </c>
      <c r="B162" s="367" t="s">
        <v>449</v>
      </c>
      <c r="C162" s="368" t="s">
        <v>391</v>
      </c>
      <c r="D162" s="369" t="s">
        <v>451</v>
      </c>
      <c r="E162" s="368" t="s">
        <v>777</v>
      </c>
      <c r="F162" s="369" t="s">
        <v>778</v>
      </c>
      <c r="G162" s="368" t="s">
        <v>687</v>
      </c>
      <c r="H162" s="368" t="s">
        <v>688</v>
      </c>
      <c r="I162" s="370">
        <v>0.48</v>
      </c>
      <c r="J162" s="370">
        <v>200</v>
      </c>
      <c r="K162" s="371">
        <v>96</v>
      </c>
    </row>
    <row r="163" spans="1:11" ht="14.4" customHeight="1" x14ac:dyDescent="0.3">
      <c r="A163" s="366" t="s">
        <v>381</v>
      </c>
      <c r="B163" s="367" t="s">
        <v>449</v>
      </c>
      <c r="C163" s="368" t="s">
        <v>391</v>
      </c>
      <c r="D163" s="369" t="s">
        <v>451</v>
      </c>
      <c r="E163" s="368" t="s">
        <v>779</v>
      </c>
      <c r="F163" s="369" t="s">
        <v>780</v>
      </c>
      <c r="G163" s="368" t="s">
        <v>759</v>
      </c>
      <c r="H163" s="368" t="s">
        <v>760</v>
      </c>
      <c r="I163" s="370">
        <v>14.86</v>
      </c>
      <c r="J163" s="370">
        <v>1200</v>
      </c>
      <c r="K163" s="371">
        <v>17024.400000000001</v>
      </c>
    </row>
    <row r="164" spans="1:11" ht="14.4" customHeight="1" x14ac:dyDescent="0.3">
      <c r="A164" s="366" t="s">
        <v>381</v>
      </c>
      <c r="B164" s="367" t="s">
        <v>449</v>
      </c>
      <c r="C164" s="368" t="s">
        <v>391</v>
      </c>
      <c r="D164" s="369" t="s">
        <v>451</v>
      </c>
      <c r="E164" s="368" t="s">
        <v>779</v>
      </c>
      <c r="F164" s="369" t="s">
        <v>780</v>
      </c>
      <c r="G164" s="368" t="s">
        <v>761</v>
      </c>
      <c r="H164" s="368" t="s">
        <v>762</v>
      </c>
      <c r="I164" s="370">
        <v>14.863333333333335</v>
      </c>
      <c r="J164" s="370">
        <v>1200</v>
      </c>
      <c r="K164" s="371">
        <v>17633.300000000003</v>
      </c>
    </row>
    <row r="165" spans="1:11" ht="14.4" customHeight="1" x14ac:dyDescent="0.3">
      <c r="A165" s="366" t="s">
        <v>381</v>
      </c>
      <c r="B165" s="367" t="s">
        <v>449</v>
      </c>
      <c r="C165" s="368" t="s">
        <v>391</v>
      </c>
      <c r="D165" s="369" t="s">
        <v>451</v>
      </c>
      <c r="E165" s="368" t="s">
        <v>779</v>
      </c>
      <c r="F165" s="369" t="s">
        <v>780</v>
      </c>
      <c r="G165" s="368" t="s">
        <v>763</v>
      </c>
      <c r="H165" s="368" t="s">
        <v>764</v>
      </c>
      <c r="I165" s="370">
        <v>15.2</v>
      </c>
      <c r="J165" s="370">
        <v>800</v>
      </c>
      <c r="K165" s="371">
        <v>12363.49</v>
      </c>
    </row>
    <row r="166" spans="1:11" ht="14.4" customHeight="1" x14ac:dyDescent="0.3">
      <c r="A166" s="366" t="s">
        <v>381</v>
      </c>
      <c r="B166" s="367" t="s">
        <v>449</v>
      </c>
      <c r="C166" s="368" t="s">
        <v>391</v>
      </c>
      <c r="D166" s="369" t="s">
        <v>451</v>
      </c>
      <c r="E166" s="368" t="s">
        <v>779</v>
      </c>
      <c r="F166" s="369" t="s">
        <v>780</v>
      </c>
      <c r="G166" s="368" t="s">
        <v>765</v>
      </c>
      <c r="H166" s="368" t="s">
        <v>766</v>
      </c>
      <c r="I166" s="370">
        <v>12.16</v>
      </c>
      <c r="J166" s="370">
        <v>400</v>
      </c>
      <c r="K166" s="371">
        <v>4864.2</v>
      </c>
    </row>
    <row r="167" spans="1:11" ht="14.4" customHeight="1" thickBot="1" x14ac:dyDescent="0.35">
      <c r="A167" s="372" t="s">
        <v>381</v>
      </c>
      <c r="B167" s="373" t="s">
        <v>449</v>
      </c>
      <c r="C167" s="374" t="s">
        <v>391</v>
      </c>
      <c r="D167" s="375" t="s">
        <v>451</v>
      </c>
      <c r="E167" s="374" t="s">
        <v>779</v>
      </c>
      <c r="F167" s="375" t="s">
        <v>780</v>
      </c>
      <c r="G167" s="374" t="s">
        <v>767</v>
      </c>
      <c r="H167" s="374" t="s">
        <v>768</v>
      </c>
      <c r="I167" s="376">
        <v>12.16</v>
      </c>
      <c r="J167" s="376">
        <v>300</v>
      </c>
      <c r="K167" s="377">
        <v>3648.15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7" width="13.109375" hidden="1" customWidth="1"/>
    <col min="8" max="8" width="13.109375" customWidth="1"/>
    <col min="9" max="11" width="13.109375" hidden="1" customWidth="1"/>
    <col min="12" max="15" width="13.109375" customWidth="1"/>
    <col min="16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319" t="s">
        <v>61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</row>
    <row r="2" spans="1:46" ht="15" thickBot="1" x14ac:dyDescent="0.35">
      <c r="A2" s="173" t="s">
        <v>217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</row>
    <row r="3" spans="1:46" x14ac:dyDescent="0.3">
      <c r="A3" s="192" t="s">
        <v>129</v>
      </c>
      <c r="B3" s="320" t="s">
        <v>108</v>
      </c>
      <c r="C3" s="175">
        <v>0</v>
      </c>
      <c r="D3" s="176">
        <v>25</v>
      </c>
      <c r="E3" s="176">
        <v>30</v>
      </c>
      <c r="F3" s="176">
        <v>99</v>
      </c>
      <c r="G3" s="195">
        <v>100</v>
      </c>
      <c r="H3" s="195">
        <v>101</v>
      </c>
      <c r="I3" s="195">
        <v>102</v>
      </c>
      <c r="J3" s="195">
        <v>103</v>
      </c>
      <c r="K3" s="195">
        <v>203</v>
      </c>
      <c r="L3" s="265">
        <v>302</v>
      </c>
      <c r="M3" s="195">
        <v>303</v>
      </c>
      <c r="N3" s="195">
        <v>304</v>
      </c>
      <c r="O3" s="195">
        <v>305</v>
      </c>
      <c r="P3" s="195">
        <v>306</v>
      </c>
      <c r="Q3" s="195">
        <v>407</v>
      </c>
      <c r="R3" s="195">
        <v>408</v>
      </c>
      <c r="S3" s="195">
        <v>409</v>
      </c>
      <c r="T3" s="195">
        <v>410</v>
      </c>
      <c r="U3" s="195">
        <v>415</v>
      </c>
      <c r="V3" s="195">
        <v>416</v>
      </c>
      <c r="W3" s="195">
        <v>418</v>
      </c>
      <c r="X3" s="195">
        <v>419</v>
      </c>
      <c r="Y3" s="195">
        <v>420</v>
      </c>
      <c r="Z3" s="195">
        <v>421</v>
      </c>
      <c r="AA3" s="195">
        <v>422</v>
      </c>
      <c r="AB3" s="195">
        <v>520</v>
      </c>
      <c r="AC3" s="195">
        <v>521</v>
      </c>
      <c r="AD3" s="195">
        <v>522</v>
      </c>
      <c r="AE3" s="195">
        <v>523</v>
      </c>
      <c r="AF3" s="195">
        <v>524</v>
      </c>
      <c r="AG3" s="195">
        <v>525</v>
      </c>
      <c r="AH3" s="195">
        <v>526</v>
      </c>
      <c r="AI3" s="176">
        <v>527</v>
      </c>
      <c r="AJ3" s="176">
        <v>528</v>
      </c>
      <c r="AK3" s="176">
        <v>629</v>
      </c>
      <c r="AL3" s="176">
        <v>630</v>
      </c>
      <c r="AM3" s="176">
        <v>636</v>
      </c>
      <c r="AN3" s="176">
        <v>637</v>
      </c>
      <c r="AO3" s="176">
        <v>640</v>
      </c>
      <c r="AP3" s="176">
        <v>642</v>
      </c>
      <c r="AQ3" s="176">
        <v>743</v>
      </c>
      <c r="AR3" s="176">
        <v>745</v>
      </c>
      <c r="AS3" s="415">
        <v>746</v>
      </c>
      <c r="AT3" s="430"/>
    </row>
    <row r="4" spans="1:46" ht="36.6" outlineLevel="1" thickBot="1" x14ac:dyDescent="0.35">
      <c r="A4" s="193">
        <v>2017</v>
      </c>
      <c r="B4" s="321"/>
      <c r="C4" s="177" t="s">
        <v>109</v>
      </c>
      <c r="D4" s="178" t="s">
        <v>113</v>
      </c>
      <c r="E4" s="178" t="s">
        <v>131</v>
      </c>
      <c r="F4" s="178" t="s">
        <v>110</v>
      </c>
      <c r="G4" s="196" t="s">
        <v>176</v>
      </c>
      <c r="H4" s="196" t="s">
        <v>177</v>
      </c>
      <c r="I4" s="196" t="s">
        <v>111</v>
      </c>
      <c r="J4" s="196" t="s">
        <v>178</v>
      </c>
      <c r="K4" s="196" t="s">
        <v>112</v>
      </c>
      <c r="L4" s="266" t="s">
        <v>179</v>
      </c>
      <c r="M4" s="196" t="s">
        <v>180</v>
      </c>
      <c r="N4" s="196" t="s">
        <v>181</v>
      </c>
      <c r="O4" s="196" t="s">
        <v>182</v>
      </c>
      <c r="P4" s="196" t="s">
        <v>137</v>
      </c>
      <c r="Q4" s="196" t="s">
        <v>175</v>
      </c>
      <c r="R4" s="196" t="s">
        <v>138</v>
      </c>
      <c r="S4" s="196" t="s">
        <v>139</v>
      </c>
      <c r="T4" s="196" t="s">
        <v>140</v>
      </c>
      <c r="U4" s="196" t="s">
        <v>141</v>
      </c>
      <c r="V4" s="196" t="s">
        <v>142</v>
      </c>
      <c r="W4" s="196" t="s">
        <v>143</v>
      </c>
      <c r="X4" s="196" t="s">
        <v>144</v>
      </c>
      <c r="Y4" s="196" t="s">
        <v>145</v>
      </c>
      <c r="Z4" s="196" t="s">
        <v>146</v>
      </c>
      <c r="AA4" s="196" t="s">
        <v>210</v>
      </c>
      <c r="AB4" s="196" t="s">
        <v>183</v>
      </c>
      <c r="AC4" s="196" t="s">
        <v>184</v>
      </c>
      <c r="AD4" s="196" t="s">
        <v>185</v>
      </c>
      <c r="AE4" s="196" t="s">
        <v>147</v>
      </c>
      <c r="AF4" s="196" t="s">
        <v>148</v>
      </c>
      <c r="AG4" s="196" t="s">
        <v>149</v>
      </c>
      <c r="AH4" s="196" t="s">
        <v>150</v>
      </c>
      <c r="AI4" s="178" t="s">
        <v>151</v>
      </c>
      <c r="AJ4" s="178" t="s">
        <v>160</v>
      </c>
      <c r="AK4" s="178" t="s">
        <v>152</v>
      </c>
      <c r="AL4" s="178" t="s">
        <v>161</v>
      </c>
      <c r="AM4" s="178" t="s">
        <v>153</v>
      </c>
      <c r="AN4" s="258" t="s">
        <v>154</v>
      </c>
      <c r="AO4" s="178" t="s">
        <v>155</v>
      </c>
      <c r="AP4" s="178" t="s">
        <v>156</v>
      </c>
      <c r="AQ4" s="178" t="s">
        <v>157</v>
      </c>
      <c r="AR4" s="178" t="s">
        <v>158</v>
      </c>
      <c r="AS4" s="416" t="s">
        <v>159</v>
      </c>
      <c r="AT4" s="430"/>
    </row>
    <row r="5" spans="1:46" x14ac:dyDescent="0.3">
      <c r="A5" s="179" t="s">
        <v>114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59"/>
      <c r="AO5" s="219"/>
      <c r="AP5" s="219"/>
      <c r="AQ5" s="219"/>
      <c r="AR5" s="219"/>
      <c r="AS5" s="417"/>
      <c r="AT5" s="430"/>
    </row>
    <row r="6" spans="1:46" ht="15" collapsed="1" thickBot="1" x14ac:dyDescent="0.35">
      <c r="A6" s="180" t="s">
        <v>55</v>
      </c>
      <c r="B6" s="220">
        <f xml:space="preserve">
TRUNC(IF($A$4&lt;=12,SUMIFS('ON Data'!F:F,'ON Data'!$D:$D,$A$4,'ON Data'!$E:$E,1),SUMIFS('ON Data'!F:F,'ON Data'!$E:$E,1)/'ON Data'!$D$3),1)</f>
        <v>51.2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Data'!J:J,'ON Data'!$D:$D,$A$4,'ON Data'!$E:$E,1),SUMIFS('ON Data'!J:J,'ON Data'!$E:$E,1)/'ON Data'!$D$3),1)</f>
        <v>0</v>
      </c>
      <c r="G6" s="222">
        <f xml:space="preserve">
TRUNC(IF($A$4&lt;=12,SUMIFS('ON Data'!K:K,'ON Data'!$D:$D,$A$4,'ON Data'!$E:$E,1),SUMIFS('ON Data'!K:K,'ON Data'!$E:$E,1)/'ON Data'!$D$3),1)</f>
        <v>0</v>
      </c>
      <c r="H6" s="222">
        <f xml:space="preserve">
TRUNC(IF($A$4&lt;=12,SUMIFS('ON Data'!L:L,'ON Data'!$D:$D,$A$4,'ON Data'!$E:$E,1),SUMIFS('ON Data'!L:L,'ON Data'!$E:$E,1)/'ON Data'!$D$3),1)</f>
        <v>0.1</v>
      </c>
      <c r="I6" s="222">
        <f xml:space="preserve">
TRUNC(IF($A$4&lt;=12,SUMIFS('ON Data'!M:M,'ON Data'!$D:$D,$A$4,'ON Data'!$E:$E,1),SUMIFS('ON Data'!M:M,'ON Data'!$E:$E,1)/'ON Data'!$D$3),1)</f>
        <v>0</v>
      </c>
      <c r="J6" s="222">
        <f xml:space="preserve">
TRUNC(IF($A$4&lt;=12,SUMIFS('ON Data'!N:N,'ON Data'!$D:$D,$A$4,'ON Data'!$E:$E,1),SUMIFS('ON Data'!N:N,'ON Data'!$E:$E,1)/'ON Data'!$D$3),1)</f>
        <v>0</v>
      </c>
      <c r="K6" s="222">
        <f xml:space="preserve">
TRUNC(IF($A$4&lt;=12,SUMIFS('ON Data'!O:O,'ON Data'!$D:$D,$A$4,'ON Data'!$E:$E,1),SUMIFS('ON Data'!O:O,'ON Data'!$E:$E,1)/'ON Data'!$D$3),1)</f>
        <v>0</v>
      </c>
      <c r="L6" s="222">
        <f xml:space="preserve">
TRUNC(IF($A$4&lt;=12,SUMIFS('ON Data'!P:P,'ON Data'!$D:$D,$A$4,'ON Data'!$E:$E,1),SUMIFS('ON Data'!P:P,'ON Data'!$E:$E,1)/'ON Data'!$D$3),1)</f>
        <v>2</v>
      </c>
      <c r="M6" s="222">
        <f xml:space="preserve">
TRUNC(IF($A$4&lt;=12,SUMIFS('ON Data'!Q:Q,'ON Data'!$D:$D,$A$4,'ON Data'!$E:$E,1),SUMIFS('ON Data'!Q:Q,'ON Data'!$E:$E,1)/'ON Data'!$D$3),1)</f>
        <v>15.7</v>
      </c>
      <c r="N6" s="222">
        <f xml:space="preserve">
TRUNC(IF($A$4&lt;=12,SUMIFS('ON Data'!R:R,'ON Data'!$D:$D,$A$4,'ON Data'!$E:$E,1),SUMIFS('ON Data'!R:R,'ON Data'!$E:$E,1)/'ON Data'!$D$3),1)</f>
        <v>15.8</v>
      </c>
      <c r="O6" s="222">
        <f xml:space="preserve">
TRUNC(IF($A$4&lt;=12,SUMIFS('ON Data'!S:S,'ON Data'!$D:$D,$A$4,'ON Data'!$E:$E,1),SUMIFS('ON Data'!S:S,'ON Data'!$E:$E,1)/'ON Data'!$D$3),1)</f>
        <v>3.5</v>
      </c>
      <c r="P6" s="222">
        <f xml:space="preserve">
TRUNC(IF($A$4&lt;=12,SUMIFS('ON Data'!T:T,'ON Data'!$D:$D,$A$4,'ON Data'!$E:$E,1),SUMIFS('ON Data'!T:T,'ON Data'!$E:$E,1)/'ON Data'!$D$3),1)</f>
        <v>0</v>
      </c>
      <c r="Q6" s="222">
        <f xml:space="preserve">
TRUNC(IF($A$4&lt;=12,SUMIFS('ON Data'!U:U,'ON Data'!$D:$D,$A$4,'ON Data'!$E:$E,1),SUMIFS('ON Data'!U:U,'ON Data'!$E:$E,1)/'ON Data'!$D$3),1)</f>
        <v>0</v>
      </c>
      <c r="R6" s="222">
        <f xml:space="preserve">
TRUNC(IF($A$4&lt;=12,SUMIFS('ON Data'!V:V,'ON Data'!$D:$D,$A$4,'ON Data'!$E:$E,1),SUMIFS('ON Data'!V:V,'ON Data'!$E:$E,1)/'ON Data'!$D$3),1)</f>
        <v>0</v>
      </c>
      <c r="S6" s="222">
        <f xml:space="preserve">
TRUNC(IF($A$4&lt;=12,SUMIFS('ON Data'!W:W,'ON Data'!$D:$D,$A$4,'ON Data'!$E:$E,1),SUMIFS('ON Data'!W:W,'ON Data'!$E:$E,1)/'ON Data'!$D$3),1)</f>
        <v>0</v>
      </c>
      <c r="T6" s="222">
        <f xml:space="preserve">
TRUNC(IF($A$4&lt;=12,SUMIFS('ON Data'!X:X,'ON Data'!$D:$D,$A$4,'ON Data'!$E:$E,1),SUMIFS('ON Data'!X:X,'ON Data'!$E:$E,1)/'ON Data'!$D$3),1)</f>
        <v>0</v>
      </c>
      <c r="U6" s="222">
        <f xml:space="preserve">
TRUNC(IF($A$4&lt;=12,SUMIFS('ON Data'!Y:Y,'ON Data'!$D:$D,$A$4,'ON Data'!$E:$E,1),SUMIFS('ON Data'!Y:Y,'ON Data'!$E:$E,1)/'ON Data'!$D$3),1)</f>
        <v>0</v>
      </c>
      <c r="V6" s="222">
        <f xml:space="preserve">
TRUNC(IF($A$4&lt;=12,SUMIFS('ON Data'!Z:Z,'ON Data'!$D:$D,$A$4,'ON Data'!$E:$E,1),SUMIFS('ON Data'!Z:Z,'ON Data'!$E:$E,1)/'ON Data'!$D$3),1)</f>
        <v>0</v>
      </c>
      <c r="W6" s="222">
        <f xml:space="preserve">
TRUNC(IF($A$4&lt;=12,SUMIFS('ON Data'!AA:AA,'ON Data'!$D:$D,$A$4,'ON Data'!$E:$E,1),SUMIFS('ON Data'!AA:AA,'ON Data'!$E:$E,1)/'ON Data'!$D$3),1)</f>
        <v>0</v>
      </c>
      <c r="X6" s="222">
        <f xml:space="preserve">
TRUNC(IF($A$4&lt;=12,SUMIFS('ON Data'!AB:AB,'ON Data'!$D:$D,$A$4,'ON Data'!$E:$E,1),SUMIFS('ON Data'!AB:AB,'ON Data'!$E:$E,1)/'ON Data'!$D$3),1)</f>
        <v>0</v>
      </c>
      <c r="Y6" s="222">
        <f xml:space="preserve">
TRUNC(IF($A$4&lt;=12,SUMIFS('ON Data'!AC:AC,'ON Data'!$D:$D,$A$4,'ON Data'!$E:$E,1),SUMIFS('ON Data'!AC:AC,'ON Data'!$E:$E,1)/'ON Data'!$D$3),1)</f>
        <v>0</v>
      </c>
      <c r="Z6" s="222">
        <f xml:space="preserve">
TRUNC(IF($A$4&lt;=12,SUMIFS('ON Data'!AD:AD,'ON Data'!$D:$D,$A$4,'ON Data'!$E:$E,1),SUMIFS('ON Data'!AD:AD,'ON Data'!$E:$E,1)/'ON Data'!$D$3),1)</f>
        <v>0</v>
      </c>
      <c r="AA6" s="222">
        <f xml:space="preserve">
TRUNC(IF($A$4&lt;=12,SUMIFS('ON Data'!AE:AE,'ON Data'!$D:$D,$A$4,'ON Data'!$E:$E,1),SUMIFS('ON Data'!AE:AE,'ON Data'!$E:$E,1)/'ON Data'!$D$3),1)</f>
        <v>0</v>
      </c>
      <c r="AB6" s="222">
        <f xml:space="preserve">
TRUNC(IF($A$4&lt;=12,SUMIFS('ON Data'!AF:AF,'ON Data'!$D:$D,$A$4,'ON Data'!$E:$E,1),SUMIFS('ON Data'!AF:AF,'ON Data'!$E:$E,1)/'ON Data'!$D$3),1)</f>
        <v>0</v>
      </c>
      <c r="AC6" s="222">
        <f xml:space="preserve">
TRUNC(IF($A$4&lt;=12,SUMIFS('ON Data'!AG:AG,'ON Data'!$D:$D,$A$4,'ON Data'!$E:$E,1),SUMIFS('ON Data'!AG:AG,'ON Data'!$E:$E,1)/'ON Data'!$D$3),1)</f>
        <v>0</v>
      </c>
      <c r="AD6" s="222">
        <f xml:space="preserve">
TRUNC(IF($A$4&lt;=12,SUMIFS('ON Data'!AH:AH,'ON Data'!$D:$D,$A$4,'ON Data'!$E:$E,1),SUMIFS('ON Data'!AH:AH,'ON Data'!$E:$E,1)/'ON Data'!$D$3),1)</f>
        <v>0</v>
      </c>
      <c r="AE6" s="222">
        <f xml:space="preserve">
TRUNC(IF($A$4&lt;=12,SUMIFS('ON Data'!AI:AI,'ON Data'!$D:$D,$A$4,'ON Data'!$E:$E,1),SUMIFS('ON Data'!AI:AI,'ON Data'!$E:$E,1)/'ON Data'!$D$3),1)</f>
        <v>0</v>
      </c>
      <c r="AF6" s="222">
        <f xml:space="preserve">
TRUNC(IF($A$4&lt;=12,SUMIFS('ON Data'!AJ:AJ,'ON Data'!$D:$D,$A$4,'ON Data'!$E:$E,1),SUMIFS('ON Data'!AJ:AJ,'ON Data'!$E:$E,1)/'ON Data'!$D$3),1)</f>
        <v>0</v>
      </c>
      <c r="AG6" s="222">
        <f xml:space="preserve">
TRUNC(IF($A$4&lt;=12,SUMIFS('ON Data'!AK:AK,'ON Data'!$D:$D,$A$4,'ON Data'!$E:$E,1),SUMIFS('ON Data'!AK:AK,'ON Data'!$E:$E,1)/'ON Data'!$D$3),1)</f>
        <v>0</v>
      </c>
      <c r="AH6" s="222">
        <f xml:space="preserve">
TRUNC(IF($A$4&lt;=12,SUMIFS('ON Data'!AL:AL,'ON Data'!$D:$D,$A$4,'ON Data'!$E:$E,1),SUMIFS('ON Data'!AL:AL,'ON Data'!$E:$E,1)/'ON Data'!$D$3),1)</f>
        <v>0</v>
      </c>
      <c r="AI6" s="222">
        <f xml:space="preserve">
TRUNC(IF($A$4&lt;=12,SUMIFS('ON Data'!AM:AM,'ON Data'!$D:$D,$A$4,'ON Data'!$E:$E,1),SUMIFS('ON Data'!AM:AM,'ON Data'!$E:$E,1)/'ON Data'!$D$3),1)</f>
        <v>0</v>
      </c>
      <c r="AJ6" s="222">
        <f xml:space="preserve">
TRUNC(IF($A$4&lt;=12,SUMIFS('ON Data'!AN:AN,'ON Data'!$D:$D,$A$4,'ON Data'!$E:$E,1),SUMIFS('ON Data'!AN:AN,'ON Data'!$E:$E,1)/'ON Data'!$D$3),1)</f>
        <v>0</v>
      </c>
      <c r="AK6" s="222">
        <f xml:space="preserve">
TRUNC(IF($A$4&lt;=12,SUMIFS('ON Data'!AO:AO,'ON Data'!$D:$D,$A$4,'ON Data'!$E:$E,1),SUMIFS('ON Data'!AO:AO,'ON Data'!$E:$E,1)/'ON Data'!$D$3),1)</f>
        <v>0</v>
      </c>
      <c r="AL6" s="222">
        <f xml:space="preserve">
TRUNC(IF($A$4&lt;=12,SUMIFS('ON Data'!AP:AP,'ON Data'!$D:$D,$A$4,'ON Data'!$E:$E,1),SUMIFS('ON Data'!AP:AP,'ON Data'!$E:$E,1)/'ON Data'!$D$3),1)</f>
        <v>0</v>
      </c>
      <c r="AM6" s="222">
        <f xml:space="preserve">
TRUNC(IF($A$4&lt;=12,SUMIFS('ON Data'!AQ:AQ,'ON Data'!$D:$D,$A$4,'ON Data'!$E:$E,1),SUMIFS('ON Data'!AQ:AQ,'ON Data'!$E:$E,1)/'ON Data'!$D$3),1)</f>
        <v>0</v>
      </c>
      <c r="AN6" s="222">
        <f xml:space="preserve">
TRUNC(IF($A$4&lt;=12,SUMIFS('ON Data'!AR:AR,'ON Data'!$D:$D,$A$4,'ON Data'!$E:$E,1),SUMIFS('ON Data'!AR:AR,'ON Data'!$E:$E,1)/'ON Data'!$D$3),1)</f>
        <v>0</v>
      </c>
      <c r="AO6" s="222">
        <f xml:space="preserve">
TRUNC(IF($A$4&lt;=12,SUMIFS('ON Data'!AS:AS,'ON Data'!$D:$D,$A$4,'ON Data'!$E:$E,1),SUMIFS('ON Data'!AS:AS,'ON Data'!$E:$E,1)/'ON Data'!$D$3),1)</f>
        <v>0</v>
      </c>
      <c r="AP6" s="222">
        <f xml:space="preserve">
TRUNC(IF($A$4&lt;=12,SUMIFS('ON Data'!AT:AT,'ON Data'!$D:$D,$A$4,'ON Data'!$E:$E,1),SUMIFS('ON Data'!AT:AT,'ON Data'!$E:$E,1)/'ON Data'!$D$3),1)</f>
        <v>14</v>
      </c>
      <c r="AQ6" s="222">
        <f xml:space="preserve">
TRUNC(IF($A$4&lt;=12,SUMIFS('ON Data'!AU:AU,'ON Data'!$D:$D,$A$4,'ON Data'!$E:$E,1),SUMIFS('ON Data'!AU:AU,'ON Data'!$E:$E,1)/'ON Data'!$D$3),1)</f>
        <v>0</v>
      </c>
      <c r="AR6" s="222">
        <f xml:space="preserve">
TRUNC(IF($A$4&lt;=12,SUMIFS('ON Data'!AV:AV,'ON Data'!$D:$D,$A$4,'ON Data'!$E:$E,1),SUMIFS('ON Data'!AV:AV,'ON Data'!$E:$E,1)/'ON Data'!$D$3),1)</f>
        <v>0</v>
      </c>
      <c r="AS6" s="418">
        <f xml:space="preserve">
TRUNC(IF($A$4&lt;=12,SUMIFS('ON Data'!AW:AW,'ON Data'!$D:$D,$A$4,'ON Data'!$E:$E,1),SUMIFS('ON Data'!AW:AW,'ON Data'!$E:$E,1)/'ON Data'!$D$3),1)</f>
        <v>0</v>
      </c>
      <c r="AT6" s="430"/>
    </row>
    <row r="7" spans="1:46" ht="15" hidden="1" outlineLevel="1" thickBot="1" x14ac:dyDescent="0.35">
      <c r="A7" s="180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3"/>
      <c r="AO7" s="222"/>
      <c r="AP7" s="222"/>
      <c r="AQ7" s="222"/>
      <c r="AR7" s="222"/>
      <c r="AS7" s="418"/>
      <c r="AT7" s="430"/>
    </row>
    <row r="8" spans="1:46" ht="15" hidden="1" outlineLevel="1" thickBot="1" x14ac:dyDescent="0.35">
      <c r="A8" s="180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3"/>
      <c r="AO8" s="222"/>
      <c r="AP8" s="222"/>
      <c r="AQ8" s="222"/>
      <c r="AR8" s="222"/>
      <c r="AS8" s="418"/>
      <c r="AT8" s="430"/>
    </row>
    <row r="9" spans="1:46" ht="15" hidden="1" outlineLevel="1" thickBot="1" x14ac:dyDescent="0.35">
      <c r="A9" s="181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5"/>
      <c r="AO9" s="226"/>
      <c r="AP9" s="226"/>
      <c r="AQ9" s="226"/>
      <c r="AR9" s="226"/>
      <c r="AS9" s="419"/>
      <c r="AT9" s="430"/>
    </row>
    <row r="10" spans="1:46" x14ac:dyDescent="0.3">
      <c r="A10" s="182" t="s">
        <v>115</v>
      </c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60"/>
      <c r="AO10" s="199"/>
      <c r="AP10" s="199"/>
      <c r="AQ10" s="199"/>
      <c r="AR10" s="199"/>
      <c r="AS10" s="420"/>
      <c r="AT10" s="430"/>
    </row>
    <row r="11" spans="1:46" x14ac:dyDescent="0.3">
      <c r="A11" s="183" t="s">
        <v>116</v>
      </c>
      <c r="B11" s="200">
        <f xml:space="preserve">
IF($A$4&lt;=12,SUMIFS('ON Data'!F:F,'ON Data'!$D:$D,$A$4,'ON Data'!$E:$E,2),SUMIFS('ON Data'!F:F,'ON Data'!$E:$E,2))</f>
        <v>14747.7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Data'!H:H,'ON Data'!$D:$D,$A$4,'ON Data'!$E:$E,2),SUMIFS('ON Data'!H:H,'ON Data'!$E:$E,2))</f>
        <v>0</v>
      </c>
      <c r="E11" s="202"/>
      <c r="F11" s="202">
        <f xml:space="preserve">
IF($A$4&lt;=12,SUMIFS('ON Data'!J:J,'ON Data'!$D:$D,$A$4,'ON Data'!$E:$E,2),SUMIFS('ON Data'!J:J,'ON Data'!$E:$E,2))</f>
        <v>0</v>
      </c>
      <c r="G11" s="202">
        <f xml:space="preserve">
IF($A$4&lt;=12,SUMIFS('ON Data'!K:K,'ON Data'!$D:$D,$A$4,'ON Data'!$E:$E,2),SUMIFS('ON Data'!K:K,'ON Data'!$E:$E,2))</f>
        <v>0</v>
      </c>
      <c r="H11" s="202">
        <f xml:space="preserve">
IF($A$4&lt;=12,SUMIFS('ON Data'!L:L,'ON Data'!$D:$D,$A$4,'ON Data'!$E:$E,2),SUMIFS('ON Data'!L:L,'ON Data'!$E:$E,2))</f>
        <v>67.2</v>
      </c>
      <c r="I11" s="202">
        <f xml:space="preserve">
IF($A$4&lt;=12,SUMIFS('ON Data'!M:M,'ON Data'!$D:$D,$A$4,'ON Data'!$E:$E,2),SUMIFS('ON Data'!M:M,'ON Data'!$E:$E,2))</f>
        <v>0</v>
      </c>
      <c r="J11" s="202">
        <f xml:space="preserve">
IF($A$4&lt;=12,SUMIFS('ON Data'!N:N,'ON Data'!$D:$D,$A$4,'ON Data'!$E:$E,2),SUMIFS('ON Data'!N:N,'ON Data'!$E:$E,2))</f>
        <v>0</v>
      </c>
      <c r="K11" s="202">
        <f xml:space="preserve">
IF($A$4&lt;=12,SUMIFS('ON Data'!O:O,'ON Data'!$D:$D,$A$4,'ON Data'!$E:$E,2),SUMIFS('ON Data'!O:O,'ON Data'!$E:$E,2))</f>
        <v>0</v>
      </c>
      <c r="L11" s="202">
        <f xml:space="preserve">
IF($A$4&lt;=12,SUMIFS('ON Data'!P:P,'ON Data'!$D:$D,$A$4,'ON Data'!$E:$E,2),SUMIFS('ON Data'!P:P,'ON Data'!$E:$E,2))</f>
        <v>532</v>
      </c>
      <c r="M11" s="202">
        <f xml:space="preserve">
IF($A$4&lt;=12,SUMIFS('ON Data'!Q:Q,'ON Data'!$D:$D,$A$4,'ON Data'!$E:$E,2),SUMIFS('ON Data'!Q:Q,'ON Data'!$E:$E,2))</f>
        <v>4360.5</v>
      </c>
      <c r="N11" s="202">
        <f xml:space="preserve">
IF($A$4&lt;=12,SUMIFS('ON Data'!R:R,'ON Data'!$D:$D,$A$4,'ON Data'!$E:$E,2),SUMIFS('ON Data'!R:R,'ON Data'!$E:$E,2))</f>
        <v>4725</v>
      </c>
      <c r="O11" s="202">
        <f xml:space="preserve">
IF($A$4&lt;=12,SUMIFS('ON Data'!S:S,'ON Data'!$D:$D,$A$4,'ON Data'!$E:$E,2),SUMIFS('ON Data'!S:S,'ON Data'!$E:$E,2))</f>
        <v>864</v>
      </c>
      <c r="P11" s="202">
        <f xml:space="preserve">
IF($A$4&lt;=12,SUMIFS('ON Data'!T:T,'ON Data'!$D:$D,$A$4,'ON Data'!$E:$E,2),SUMIFS('ON Data'!T:T,'ON Data'!$E:$E,2))</f>
        <v>0</v>
      </c>
      <c r="Q11" s="202">
        <f xml:space="preserve">
IF($A$4&lt;=12,SUMIFS('ON Data'!U:U,'ON Data'!$D:$D,$A$4,'ON Data'!$E:$E,2),SUMIFS('ON Data'!U:U,'ON Data'!$E:$E,2))</f>
        <v>0</v>
      </c>
      <c r="R11" s="202">
        <f xml:space="preserve">
IF($A$4&lt;=12,SUMIFS('ON Data'!V:V,'ON Data'!$D:$D,$A$4,'ON Data'!$E:$E,2),SUMIFS('ON Data'!V:V,'ON Data'!$E:$E,2))</f>
        <v>0</v>
      </c>
      <c r="S11" s="202">
        <f xml:space="preserve">
IF($A$4&lt;=12,SUMIFS('ON Data'!W:W,'ON Data'!$D:$D,$A$4,'ON Data'!$E:$E,2),SUMIFS('ON Data'!W:W,'ON Data'!$E:$E,2))</f>
        <v>0</v>
      </c>
      <c r="T11" s="202">
        <f xml:space="preserve">
IF($A$4&lt;=12,SUMIFS('ON Data'!X:X,'ON Data'!$D:$D,$A$4,'ON Data'!$E:$E,2),SUMIFS('ON Data'!X:X,'ON Data'!$E:$E,2))</f>
        <v>0</v>
      </c>
      <c r="U11" s="202">
        <f xml:space="preserve">
IF($A$4&lt;=12,SUMIFS('ON Data'!Y:Y,'ON Data'!$D:$D,$A$4,'ON Data'!$E:$E,2),SUMIFS('ON Data'!Y:Y,'ON Data'!$E:$E,2))</f>
        <v>0</v>
      </c>
      <c r="V11" s="202">
        <f xml:space="preserve">
IF($A$4&lt;=12,SUMIFS('ON Data'!Z:Z,'ON Data'!$D:$D,$A$4,'ON Data'!$E:$E,2),SUMIFS('ON Data'!Z:Z,'ON Data'!$E:$E,2))</f>
        <v>0</v>
      </c>
      <c r="W11" s="202">
        <f xml:space="preserve">
IF($A$4&lt;=12,SUMIFS('ON Data'!AA:AA,'ON Data'!$D:$D,$A$4,'ON Data'!$E:$E,2),SUMIFS('ON Data'!AA:AA,'ON Data'!$E:$E,2))</f>
        <v>0</v>
      </c>
      <c r="X11" s="202">
        <f xml:space="preserve">
IF($A$4&lt;=12,SUMIFS('ON Data'!AB:AB,'ON Data'!$D:$D,$A$4,'ON Data'!$E:$E,2),SUMIFS('ON Data'!AB:AB,'ON Data'!$E:$E,2))</f>
        <v>0</v>
      </c>
      <c r="Y11" s="202">
        <f xml:space="preserve">
IF($A$4&lt;=12,SUMIFS('ON Data'!AC:AC,'ON Data'!$D:$D,$A$4,'ON Data'!$E:$E,2),SUMIFS('ON Data'!AC:AC,'ON Data'!$E:$E,2))</f>
        <v>0</v>
      </c>
      <c r="Z11" s="202">
        <f xml:space="preserve">
IF($A$4&lt;=12,SUMIFS('ON Data'!AD:AD,'ON Data'!$D:$D,$A$4,'ON Data'!$E:$E,2),SUMIFS('ON Data'!AD:AD,'ON Data'!$E:$E,2))</f>
        <v>0</v>
      </c>
      <c r="AA11" s="202"/>
      <c r="AB11" s="202">
        <f xml:space="preserve">
IF($A$4&lt;=12,SUMIFS('ON Data'!AF:AF,'ON Data'!$D:$D,$A$4,'ON Data'!$E:$E,2),SUMIFS('ON Data'!AF:AF,'ON Data'!$E:$E,2))</f>
        <v>0</v>
      </c>
      <c r="AC11" s="202">
        <f xml:space="preserve">
IF($A$4&lt;=12,SUMIFS('ON Data'!AG:AG,'ON Data'!$D:$D,$A$4,'ON Data'!$E:$E,2),SUMIFS('ON Data'!AG:AG,'ON Data'!$E:$E,2))</f>
        <v>0</v>
      </c>
      <c r="AD11" s="202">
        <f xml:space="preserve">
IF($A$4&lt;=12,SUMIFS('ON Data'!AH:AH,'ON Data'!$D:$D,$A$4,'ON Data'!$E:$E,2),SUMIFS('ON Data'!AH:AH,'ON Data'!$E:$E,2))</f>
        <v>0</v>
      </c>
      <c r="AE11" s="202">
        <f xml:space="preserve">
IF($A$4&lt;=12,SUMIFS('ON Data'!AI:AI,'ON Data'!$D:$D,$A$4,'ON Data'!$E:$E,2),SUMIFS('ON Data'!AI:AI,'ON Data'!$E:$E,2))</f>
        <v>0</v>
      </c>
      <c r="AF11" s="202">
        <f xml:space="preserve">
IF($A$4&lt;=12,SUMIFS('ON Data'!AJ:AJ,'ON Data'!$D:$D,$A$4,'ON Data'!$E:$E,2),SUMIFS('ON Data'!AJ:AJ,'ON Data'!$E:$E,2))</f>
        <v>0</v>
      </c>
      <c r="AG11" s="202">
        <f xml:space="preserve">
IF($A$4&lt;=12,SUMIFS('ON Data'!AK:AK,'ON Data'!$D:$D,$A$4,'ON Data'!$E:$E,2),SUMIFS('ON Data'!AK:AK,'ON Data'!$E:$E,2))</f>
        <v>0</v>
      </c>
      <c r="AH11" s="202">
        <f xml:space="preserve">
IF($A$4&lt;=12,SUMIFS('ON Data'!AL:AL,'ON Data'!$D:$D,$A$4,'ON Data'!$E:$E,2),SUMIFS('ON Data'!AL:AL,'ON Data'!$E:$E,2))</f>
        <v>0</v>
      </c>
      <c r="AI11" s="202">
        <f xml:space="preserve">
IF($A$4&lt;=12,SUMIFS('ON Data'!AM:AM,'ON Data'!$D:$D,$A$4,'ON Data'!$E:$E,2),SUMIFS('ON Data'!AM:AM,'ON Data'!$E:$E,2))</f>
        <v>0</v>
      </c>
      <c r="AJ11" s="202">
        <f xml:space="preserve">
IF($A$4&lt;=12,SUMIFS('ON Data'!AN:AN,'ON Data'!$D:$D,$A$4,'ON Data'!$E:$E,2),SUMIFS('ON Data'!AN:AN,'ON Data'!$E:$E,2))</f>
        <v>0</v>
      </c>
      <c r="AK11" s="202">
        <f xml:space="preserve">
IF($A$4&lt;=12,SUMIFS('ON Data'!AO:AO,'ON Data'!$D:$D,$A$4,'ON Data'!$E:$E,2),SUMIFS('ON Data'!AO:AO,'ON Data'!$E:$E,2))</f>
        <v>0</v>
      </c>
      <c r="AL11" s="202">
        <f xml:space="preserve">
IF($A$4&lt;=12,SUMIFS('ON Data'!AP:AP,'ON Data'!$D:$D,$A$4,'ON Data'!$E:$E,2),SUMIFS('ON Data'!AP:AP,'ON Data'!$E:$E,2))</f>
        <v>0</v>
      </c>
      <c r="AM11" s="202">
        <f xml:space="preserve">
IF($A$4&lt;=12,SUMIFS('ON Data'!AQ:AQ,'ON Data'!$D:$D,$A$4,'ON Data'!$E:$E,2),SUMIFS('ON Data'!AQ:AQ,'ON Data'!$E:$E,2))</f>
        <v>0</v>
      </c>
      <c r="AN11" s="201">
        <f xml:space="preserve">
IF($A$4&lt;=12,SUMIFS('ON Data'!AR:AR,'ON Data'!$D:$D,$A$4,'ON Data'!$E:$E,2),SUMIFS('ON Data'!AR:AR,'ON Data'!$E:$E,2))</f>
        <v>0</v>
      </c>
      <c r="AO11" s="202">
        <f xml:space="preserve">
IF($A$4&lt;=12,SUMIFS('ON Data'!AS:AS,'ON Data'!$D:$D,$A$4,'ON Data'!$E:$E,2),SUMIFS('ON Data'!AS:AS,'ON Data'!$E:$E,2))</f>
        <v>0</v>
      </c>
      <c r="AP11" s="202">
        <f xml:space="preserve">
IF($A$4&lt;=12,SUMIFS('ON Data'!AT:AT,'ON Data'!$D:$D,$A$4,'ON Data'!$E:$E,2),SUMIFS('ON Data'!AT:AT,'ON Data'!$E:$E,2))</f>
        <v>4199</v>
      </c>
      <c r="AQ11" s="202">
        <f xml:space="preserve">
IF($A$4&lt;=12,SUMIFS('ON Data'!AU:AU,'ON Data'!$D:$D,$A$4,'ON Data'!$E:$E,2),SUMIFS('ON Data'!AU:AU,'ON Data'!$E:$E,2))</f>
        <v>0</v>
      </c>
      <c r="AR11" s="202">
        <f xml:space="preserve">
IF($A$4&lt;=12,SUMIFS('ON Data'!AV:AV,'ON Data'!$D:$D,$A$4,'ON Data'!$E:$E,2),SUMIFS('ON Data'!AV:AV,'ON Data'!$E:$E,2))</f>
        <v>0</v>
      </c>
      <c r="AS11" s="421">
        <f xml:space="preserve">
IF($A$4&lt;=12,SUMIFS('ON Data'!AW:AW,'ON Data'!$D:$D,$A$4,'ON Data'!$E:$E,2),SUMIFS('ON Data'!AW:AW,'ON Data'!$E:$E,2))</f>
        <v>0</v>
      </c>
      <c r="AT11" s="430"/>
    </row>
    <row r="12" spans="1:46" x14ac:dyDescent="0.3">
      <c r="A12" s="183" t="s">
        <v>117</v>
      </c>
      <c r="B12" s="200">
        <f xml:space="preserve">
IF($A$4&lt;=12,SUMIFS('ON Data'!F:F,'ON Data'!$D:$D,$A$4,'ON Data'!$E:$E,3),SUMIFS('ON Data'!F:F,'ON Data'!$E:$E,3))</f>
        <v>41.5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Data'!H:H,'ON Data'!$D:$D,$A$4,'ON Data'!$E:$E,3),SUMIFS('ON Data'!H:H,'ON Data'!$E:$E,3))</f>
        <v>0</v>
      </c>
      <c r="E12" s="202"/>
      <c r="F12" s="202">
        <f xml:space="preserve">
IF($A$4&lt;=12,SUMIFS('ON Data'!J:J,'ON Data'!$D:$D,$A$4,'ON Data'!$E:$E,3),SUMIFS('ON Data'!J:J,'ON Data'!$E:$E,3))</f>
        <v>0</v>
      </c>
      <c r="G12" s="202">
        <f xml:space="preserve">
IF($A$4&lt;=12,SUMIFS('ON Data'!K:K,'ON Data'!$D:$D,$A$4,'ON Data'!$E:$E,3),SUMIFS('ON Data'!K:K,'ON Data'!$E:$E,3))</f>
        <v>0</v>
      </c>
      <c r="H12" s="202">
        <f xml:space="preserve">
IF($A$4&lt;=12,SUMIFS('ON Data'!L:L,'ON Data'!$D:$D,$A$4,'ON Data'!$E:$E,3),SUMIFS('ON Data'!L:L,'ON Data'!$E:$E,3))</f>
        <v>0</v>
      </c>
      <c r="I12" s="202">
        <f xml:space="preserve">
IF($A$4&lt;=12,SUMIFS('ON Data'!M:M,'ON Data'!$D:$D,$A$4,'ON Data'!$E:$E,3),SUMIFS('ON Data'!M:M,'ON Data'!$E:$E,3))</f>
        <v>0</v>
      </c>
      <c r="J12" s="202">
        <f xml:space="preserve">
IF($A$4&lt;=12,SUMIFS('ON Data'!N:N,'ON Data'!$D:$D,$A$4,'ON Data'!$E:$E,3),SUMIFS('ON Data'!N:N,'ON Data'!$E:$E,3))</f>
        <v>0</v>
      </c>
      <c r="K12" s="202">
        <f xml:space="preserve">
IF($A$4&lt;=12,SUMIFS('ON Data'!O:O,'ON Data'!$D:$D,$A$4,'ON Data'!$E:$E,3),SUMIFS('ON Data'!O:O,'ON Data'!$E:$E,3))</f>
        <v>0</v>
      </c>
      <c r="L12" s="202">
        <f xml:space="preserve">
IF($A$4&lt;=12,SUMIFS('ON Data'!P:P,'ON Data'!$D:$D,$A$4,'ON Data'!$E:$E,3),SUMIFS('ON Data'!P:P,'ON Data'!$E:$E,3))</f>
        <v>0</v>
      </c>
      <c r="M12" s="202">
        <f xml:space="preserve">
IF($A$4&lt;=12,SUMIFS('ON Data'!Q:Q,'ON Data'!$D:$D,$A$4,'ON Data'!$E:$E,3),SUMIFS('ON Data'!Q:Q,'ON Data'!$E:$E,3))</f>
        <v>11.5</v>
      </c>
      <c r="N12" s="202">
        <f xml:space="preserve">
IF($A$4&lt;=12,SUMIFS('ON Data'!R:R,'ON Data'!$D:$D,$A$4,'ON Data'!$E:$E,3),SUMIFS('ON Data'!R:R,'ON Data'!$E:$E,3))</f>
        <v>30</v>
      </c>
      <c r="O12" s="202">
        <f xml:space="preserve">
IF($A$4&lt;=12,SUMIFS('ON Data'!S:S,'ON Data'!$D:$D,$A$4,'ON Data'!$E:$E,3),SUMIFS('ON Data'!S:S,'ON Data'!$E:$E,3))</f>
        <v>0</v>
      </c>
      <c r="P12" s="202">
        <f xml:space="preserve">
IF($A$4&lt;=12,SUMIFS('ON Data'!T:T,'ON Data'!$D:$D,$A$4,'ON Data'!$E:$E,3),SUMIFS('ON Data'!T:T,'ON Data'!$E:$E,3))</f>
        <v>0</v>
      </c>
      <c r="Q12" s="202">
        <f xml:space="preserve">
IF($A$4&lt;=12,SUMIFS('ON Data'!U:U,'ON Data'!$D:$D,$A$4,'ON Data'!$E:$E,3),SUMIFS('ON Data'!U:U,'ON Data'!$E:$E,3))</f>
        <v>0</v>
      </c>
      <c r="R12" s="202">
        <f xml:space="preserve">
IF($A$4&lt;=12,SUMIFS('ON Data'!V:V,'ON Data'!$D:$D,$A$4,'ON Data'!$E:$E,3),SUMIFS('ON Data'!V:V,'ON Data'!$E:$E,3))</f>
        <v>0</v>
      </c>
      <c r="S12" s="202">
        <f xml:space="preserve">
IF($A$4&lt;=12,SUMIFS('ON Data'!W:W,'ON Data'!$D:$D,$A$4,'ON Data'!$E:$E,3),SUMIFS('ON Data'!W:W,'ON Data'!$E:$E,3))</f>
        <v>0</v>
      </c>
      <c r="T12" s="202">
        <f xml:space="preserve">
IF($A$4&lt;=12,SUMIFS('ON Data'!X:X,'ON Data'!$D:$D,$A$4,'ON Data'!$E:$E,3),SUMIFS('ON Data'!X:X,'ON Data'!$E:$E,3))</f>
        <v>0</v>
      </c>
      <c r="U12" s="202">
        <f xml:space="preserve">
IF($A$4&lt;=12,SUMIFS('ON Data'!Y:Y,'ON Data'!$D:$D,$A$4,'ON Data'!$E:$E,3),SUMIFS('ON Data'!Y:Y,'ON Data'!$E:$E,3))</f>
        <v>0</v>
      </c>
      <c r="V12" s="202">
        <f xml:space="preserve">
IF($A$4&lt;=12,SUMIFS('ON Data'!Z:Z,'ON Data'!$D:$D,$A$4,'ON Data'!$E:$E,3),SUMIFS('ON Data'!Z:Z,'ON Data'!$E:$E,3))</f>
        <v>0</v>
      </c>
      <c r="W12" s="202">
        <f xml:space="preserve">
IF($A$4&lt;=12,SUMIFS('ON Data'!AA:AA,'ON Data'!$D:$D,$A$4,'ON Data'!$E:$E,3),SUMIFS('ON Data'!AA:AA,'ON Data'!$E:$E,3))</f>
        <v>0</v>
      </c>
      <c r="X12" s="202">
        <f xml:space="preserve">
IF($A$4&lt;=12,SUMIFS('ON Data'!AB:AB,'ON Data'!$D:$D,$A$4,'ON Data'!$E:$E,3),SUMIFS('ON Data'!AB:AB,'ON Data'!$E:$E,3))</f>
        <v>0</v>
      </c>
      <c r="Y12" s="202">
        <f xml:space="preserve">
IF($A$4&lt;=12,SUMIFS('ON Data'!AC:AC,'ON Data'!$D:$D,$A$4,'ON Data'!$E:$E,3),SUMIFS('ON Data'!AC:AC,'ON Data'!$E:$E,3))</f>
        <v>0</v>
      </c>
      <c r="Z12" s="202">
        <f xml:space="preserve">
IF($A$4&lt;=12,SUMIFS('ON Data'!AD:AD,'ON Data'!$D:$D,$A$4,'ON Data'!$E:$E,3),SUMIFS('ON Data'!AD:AD,'ON Data'!$E:$E,3))</f>
        <v>0</v>
      </c>
      <c r="AA12" s="202"/>
      <c r="AB12" s="202">
        <f xml:space="preserve">
IF($A$4&lt;=12,SUMIFS('ON Data'!AF:AF,'ON Data'!$D:$D,$A$4,'ON Data'!$E:$E,3),SUMIFS('ON Data'!AF:AF,'ON Data'!$E:$E,3))</f>
        <v>0</v>
      </c>
      <c r="AC12" s="202">
        <f xml:space="preserve">
IF($A$4&lt;=12,SUMIFS('ON Data'!AG:AG,'ON Data'!$D:$D,$A$4,'ON Data'!$E:$E,3),SUMIFS('ON Data'!AG:AG,'ON Data'!$E:$E,3))</f>
        <v>0</v>
      </c>
      <c r="AD12" s="202">
        <f xml:space="preserve">
IF($A$4&lt;=12,SUMIFS('ON Data'!AH:AH,'ON Data'!$D:$D,$A$4,'ON Data'!$E:$E,3),SUMIFS('ON Data'!AH:AH,'ON Data'!$E:$E,3))</f>
        <v>0</v>
      </c>
      <c r="AE12" s="202">
        <f xml:space="preserve">
IF($A$4&lt;=12,SUMIFS('ON Data'!AI:AI,'ON Data'!$D:$D,$A$4,'ON Data'!$E:$E,3),SUMIFS('ON Data'!AI:AI,'ON Data'!$E:$E,3))</f>
        <v>0</v>
      </c>
      <c r="AF12" s="202">
        <f xml:space="preserve">
IF($A$4&lt;=12,SUMIFS('ON Data'!AJ:AJ,'ON Data'!$D:$D,$A$4,'ON Data'!$E:$E,3),SUMIFS('ON Data'!AJ:AJ,'ON Data'!$E:$E,3))</f>
        <v>0</v>
      </c>
      <c r="AG12" s="202">
        <f xml:space="preserve">
IF($A$4&lt;=12,SUMIFS('ON Data'!AK:AK,'ON Data'!$D:$D,$A$4,'ON Data'!$E:$E,3),SUMIFS('ON Data'!AK:AK,'ON Data'!$E:$E,3))</f>
        <v>0</v>
      </c>
      <c r="AH12" s="202">
        <f xml:space="preserve">
IF($A$4&lt;=12,SUMIFS('ON Data'!AL:AL,'ON Data'!$D:$D,$A$4,'ON Data'!$E:$E,3),SUMIFS('ON Data'!AL:AL,'ON Data'!$E:$E,3))</f>
        <v>0</v>
      </c>
      <c r="AI12" s="202">
        <f xml:space="preserve">
IF($A$4&lt;=12,SUMIFS('ON Data'!AM:AM,'ON Data'!$D:$D,$A$4,'ON Data'!$E:$E,3),SUMIFS('ON Data'!AM:AM,'ON Data'!$E:$E,3))</f>
        <v>0</v>
      </c>
      <c r="AJ12" s="202">
        <f xml:space="preserve">
IF($A$4&lt;=12,SUMIFS('ON Data'!AN:AN,'ON Data'!$D:$D,$A$4,'ON Data'!$E:$E,3),SUMIFS('ON Data'!AN:AN,'ON Data'!$E:$E,3))</f>
        <v>0</v>
      </c>
      <c r="AK12" s="202">
        <f xml:space="preserve">
IF($A$4&lt;=12,SUMIFS('ON Data'!AO:AO,'ON Data'!$D:$D,$A$4,'ON Data'!$E:$E,3),SUMIFS('ON Data'!AO:AO,'ON Data'!$E:$E,3))</f>
        <v>0</v>
      </c>
      <c r="AL12" s="202">
        <f xml:space="preserve">
IF($A$4&lt;=12,SUMIFS('ON Data'!AP:AP,'ON Data'!$D:$D,$A$4,'ON Data'!$E:$E,3),SUMIFS('ON Data'!AP:AP,'ON Data'!$E:$E,3))</f>
        <v>0</v>
      </c>
      <c r="AM12" s="202">
        <f xml:space="preserve">
IF($A$4&lt;=12,SUMIFS('ON Data'!AQ:AQ,'ON Data'!$D:$D,$A$4,'ON Data'!$E:$E,3),SUMIFS('ON Data'!AQ:AQ,'ON Data'!$E:$E,3))</f>
        <v>0</v>
      </c>
      <c r="AN12" s="201">
        <f xml:space="preserve">
IF($A$4&lt;=12,SUMIFS('ON Data'!AR:AR,'ON Data'!$D:$D,$A$4,'ON Data'!$E:$E,3),SUMIFS('ON Data'!AR:AR,'ON Data'!$E:$E,3))</f>
        <v>0</v>
      </c>
      <c r="AO12" s="202">
        <f xml:space="preserve">
IF($A$4&lt;=12,SUMIFS('ON Data'!AS:AS,'ON Data'!$D:$D,$A$4,'ON Data'!$E:$E,3),SUMIFS('ON Data'!AS:AS,'ON Data'!$E:$E,3))</f>
        <v>0</v>
      </c>
      <c r="AP12" s="202">
        <f xml:space="preserve">
IF($A$4&lt;=12,SUMIFS('ON Data'!AT:AT,'ON Data'!$D:$D,$A$4,'ON Data'!$E:$E,3),SUMIFS('ON Data'!AT:AT,'ON Data'!$E:$E,3))</f>
        <v>0</v>
      </c>
      <c r="AQ12" s="202">
        <f xml:space="preserve">
IF($A$4&lt;=12,SUMIFS('ON Data'!AU:AU,'ON Data'!$D:$D,$A$4,'ON Data'!$E:$E,3),SUMIFS('ON Data'!AU:AU,'ON Data'!$E:$E,3))</f>
        <v>0</v>
      </c>
      <c r="AR12" s="202">
        <f xml:space="preserve">
IF($A$4&lt;=12,SUMIFS('ON Data'!AV:AV,'ON Data'!$D:$D,$A$4,'ON Data'!$E:$E,3),SUMIFS('ON Data'!AV:AV,'ON Data'!$E:$E,3))</f>
        <v>0</v>
      </c>
      <c r="AS12" s="421">
        <f xml:space="preserve">
IF($A$4&lt;=12,SUMIFS('ON Data'!AW:AW,'ON Data'!$D:$D,$A$4,'ON Data'!$E:$E,3),SUMIFS('ON Data'!AW:AW,'ON Data'!$E:$E,3))</f>
        <v>0</v>
      </c>
      <c r="AT12" s="430"/>
    </row>
    <row r="13" spans="1:46" x14ac:dyDescent="0.3">
      <c r="A13" s="183" t="s">
        <v>124</v>
      </c>
      <c r="B13" s="200">
        <f xml:space="preserve">
IF($A$4&lt;=12,SUMIFS('ON Data'!F:F,'ON Data'!$D:$D,$A$4,'ON Data'!$E:$E,4),SUMIFS('ON Data'!F:F,'ON Data'!$E:$E,4))</f>
        <v>1301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Data'!H:H,'ON Data'!$D:$D,$A$4,'ON Data'!$E:$E,4),SUMIFS('ON Data'!H:H,'ON Data'!$E:$E,4))</f>
        <v>0</v>
      </c>
      <c r="E13" s="202"/>
      <c r="F13" s="202">
        <f xml:space="preserve">
IF($A$4&lt;=12,SUMIFS('ON Data'!J:J,'ON Data'!$D:$D,$A$4,'ON Data'!$E:$E,4),SUMIFS('ON Data'!J:J,'ON Data'!$E:$E,4))</f>
        <v>0</v>
      </c>
      <c r="G13" s="202">
        <f xml:space="preserve">
IF($A$4&lt;=12,SUMIFS('ON Data'!K:K,'ON Data'!$D:$D,$A$4,'ON Data'!$E:$E,4),SUMIFS('ON Data'!K:K,'ON Data'!$E:$E,4))</f>
        <v>0</v>
      </c>
      <c r="H13" s="202">
        <f xml:space="preserve">
IF($A$4&lt;=12,SUMIFS('ON Data'!L:L,'ON Data'!$D:$D,$A$4,'ON Data'!$E:$E,4),SUMIFS('ON Data'!L:L,'ON Data'!$E:$E,4))</f>
        <v>0</v>
      </c>
      <c r="I13" s="202">
        <f xml:space="preserve">
IF($A$4&lt;=12,SUMIFS('ON Data'!M:M,'ON Data'!$D:$D,$A$4,'ON Data'!$E:$E,4),SUMIFS('ON Data'!M:M,'ON Data'!$E:$E,4))</f>
        <v>0</v>
      </c>
      <c r="J13" s="202">
        <f xml:space="preserve">
IF($A$4&lt;=12,SUMIFS('ON Data'!N:N,'ON Data'!$D:$D,$A$4,'ON Data'!$E:$E,4),SUMIFS('ON Data'!N:N,'ON Data'!$E:$E,4))</f>
        <v>0</v>
      </c>
      <c r="K13" s="202">
        <f xml:space="preserve">
IF($A$4&lt;=12,SUMIFS('ON Data'!O:O,'ON Data'!$D:$D,$A$4,'ON Data'!$E:$E,4),SUMIFS('ON Data'!O:O,'ON Data'!$E:$E,4))</f>
        <v>0</v>
      </c>
      <c r="L13" s="202">
        <f xml:space="preserve">
IF($A$4&lt;=12,SUMIFS('ON Data'!P:P,'ON Data'!$D:$D,$A$4,'ON Data'!$E:$E,4),SUMIFS('ON Data'!P:P,'ON Data'!$E:$E,4))</f>
        <v>55</v>
      </c>
      <c r="M13" s="202">
        <f xml:space="preserve">
IF($A$4&lt;=12,SUMIFS('ON Data'!Q:Q,'ON Data'!$D:$D,$A$4,'ON Data'!$E:$E,4),SUMIFS('ON Data'!Q:Q,'ON Data'!$E:$E,4))</f>
        <v>495</v>
      </c>
      <c r="N13" s="202">
        <f xml:space="preserve">
IF($A$4&lt;=12,SUMIFS('ON Data'!R:R,'ON Data'!$D:$D,$A$4,'ON Data'!$E:$E,4),SUMIFS('ON Data'!R:R,'ON Data'!$E:$E,4))</f>
        <v>232.5</v>
      </c>
      <c r="O13" s="202">
        <f xml:space="preserve">
IF($A$4&lt;=12,SUMIFS('ON Data'!S:S,'ON Data'!$D:$D,$A$4,'ON Data'!$E:$E,4),SUMIFS('ON Data'!S:S,'ON Data'!$E:$E,4))</f>
        <v>80</v>
      </c>
      <c r="P13" s="202">
        <f xml:space="preserve">
IF($A$4&lt;=12,SUMIFS('ON Data'!T:T,'ON Data'!$D:$D,$A$4,'ON Data'!$E:$E,4),SUMIFS('ON Data'!T:T,'ON Data'!$E:$E,4))</f>
        <v>0</v>
      </c>
      <c r="Q13" s="202">
        <f xml:space="preserve">
IF($A$4&lt;=12,SUMIFS('ON Data'!U:U,'ON Data'!$D:$D,$A$4,'ON Data'!$E:$E,4),SUMIFS('ON Data'!U:U,'ON Data'!$E:$E,4))</f>
        <v>0</v>
      </c>
      <c r="R13" s="202">
        <f xml:space="preserve">
IF($A$4&lt;=12,SUMIFS('ON Data'!V:V,'ON Data'!$D:$D,$A$4,'ON Data'!$E:$E,4),SUMIFS('ON Data'!V:V,'ON Data'!$E:$E,4))</f>
        <v>0</v>
      </c>
      <c r="S13" s="202">
        <f xml:space="preserve">
IF($A$4&lt;=12,SUMIFS('ON Data'!W:W,'ON Data'!$D:$D,$A$4,'ON Data'!$E:$E,4),SUMIFS('ON Data'!W:W,'ON Data'!$E:$E,4))</f>
        <v>0</v>
      </c>
      <c r="T13" s="202">
        <f xml:space="preserve">
IF($A$4&lt;=12,SUMIFS('ON Data'!X:X,'ON Data'!$D:$D,$A$4,'ON Data'!$E:$E,4),SUMIFS('ON Data'!X:X,'ON Data'!$E:$E,4))</f>
        <v>0</v>
      </c>
      <c r="U13" s="202">
        <f xml:space="preserve">
IF($A$4&lt;=12,SUMIFS('ON Data'!Y:Y,'ON Data'!$D:$D,$A$4,'ON Data'!$E:$E,4),SUMIFS('ON Data'!Y:Y,'ON Data'!$E:$E,4))</f>
        <v>0</v>
      </c>
      <c r="V13" s="202">
        <f xml:space="preserve">
IF($A$4&lt;=12,SUMIFS('ON Data'!Z:Z,'ON Data'!$D:$D,$A$4,'ON Data'!$E:$E,4),SUMIFS('ON Data'!Z:Z,'ON Data'!$E:$E,4))</f>
        <v>0</v>
      </c>
      <c r="W13" s="202">
        <f xml:space="preserve">
IF($A$4&lt;=12,SUMIFS('ON Data'!AA:AA,'ON Data'!$D:$D,$A$4,'ON Data'!$E:$E,4),SUMIFS('ON Data'!AA:AA,'ON Data'!$E:$E,4))</f>
        <v>0</v>
      </c>
      <c r="X13" s="202">
        <f xml:space="preserve">
IF($A$4&lt;=12,SUMIFS('ON Data'!AB:AB,'ON Data'!$D:$D,$A$4,'ON Data'!$E:$E,4),SUMIFS('ON Data'!AB:AB,'ON Data'!$E:$E,4))</f>
        <v>0</v>
      </c>
      <c r="Y13" s="202">
        <f xml:space="preserve">
IF($A$4&lt;=12,SUMIFS('ON Data'!AC:AC,'ON Data'!$D:$D,$A$4,'ON Data'!$E:$E,4),SUMIFS('ON Data'!AC:AC,'ON Data'!$E:$E,4))</f>
        <v>0</v>
      </c>
      <c r="Z13" s="202">
        <f xml:space="preserve">
IF($A$4&lt;=12,SUMIFS('ON Data'!AD:AD,'ON Data'!$D:$D,$A$4,'ON Data'!$E:$E,4),SUMIFS('ON Data'!AD:AD,'ON Data'!$E:$E,4))</f>
        <v>0</v>
      </c>
      <c r="AA13" s="202"/>
      <c r="AB13" s="202">
        <f xml:space="preserve">
IF($A$4&lt;=12,SUMIFS('ON Data'!AF:AF,'ON Data'!$D:$D,$A$4,'ON Data'!$E:$E,4),SUMIFS('ON Data'!AF:AF,'ON Data'!$E:$E,4))</f>
        <v>0</v>
      </c>
      <c r="AC13" s="202">
        <f xml:space="preserve">
IF($A$4&lt;=12,SUMIFS('ON Data'!AG:AG,'ON Data'!$D:$D,$A$4,'ON Data'!$E:$E,4),SUMIFS('ON Data'!AG:AG,'ON Data'!$E:$E,4))</f>
        <v>0</v>
      </c>
      <c r="AD13" s="202">
        <f xml:space="preserve">
IF($A$4&lt;=12,SUMIFS('ON Data'!AH:AH,'ON Data'!$D:$D,$A$4,'ON Data'!$E:$E,4),SUMIFS('ON Data'!AH:AH,'ON Data'!$E:$E,4))</f>
        <v>0</v>
      </c>
      <c r="AE13" s="202">
        <f xml:space="preserve">
IF($A$4&lt;=12,SUMIFS('ON Data'!AI:AI,'ON Data'!$D:$D,$A$4,'ON Data'!$E:$E,4),SUMIFS('ON Data'!AI:AI,'ON Data'!$E:$E,4))</f>
        <v>0</v>
      </c>
      <c r="AF13" s="202">
        <f xml:space="preserve">
IF($A$4&lt;=12,SUMIFS('ON Data'!AJ:AJ,'ON Data'!$D:$D,$A$4,'ON Data'!$E:$E,4),SUMIFS('ON Data'!AJ:AJ,'ON Data'!$E:$E,4))</f>
        <v>0</v>
      </c>
      <c r="AG13" s="202">
        <f xml:space="preserve">
IF($A$4&lt;=12,SUMIFS('ON Data'!AK:AK,'ON Data'!$D:$D,$A$4,'ON Data'!$E:$E,4),SUMIFS('ON Data'!AK:AK,'ON Data'!$E:$E,4))</f>
        <v>0</v>
      </c>
      <c r="AH13" s="202">
        <f xml:space="preserve">
IF($A$4&lt;=12,SUMIFS('ON Data'!AL:AL,'ON Data'!$D:$D,$A$4,'ON Data'!$E:$E,4),SUMIFS('ON Data'!AL:AL,'ON Data'!$E:$E,4))</f>
        <v>0</v>
      </c>
      <c r="AI13" s="202">
        <f xml:space="preserve">
IF($A$4&lt;=12,SUMIFS('ON Data'!AM:AM,'ON Data'!$D:$D,$A$4,'ON Data'!$E:$E,4),SUMIFS('ON Data'!AM:AM,'ON Data'!$E:$E,4))</f>
        <v>0</v>
      </c>
      <c r="AJ13" s="202">
        <f xml:space="preserve">
IF($A$4&lt;=12,SUMIFS('ON Data'!AN:AN,'ON Data'!$D:$D,$A$4,'ON Data'!$E:$E,4),SUMIFS('ON Data'!AN:AN,'ON Data'!$E:$E,4))</f>
        <v>0</v>
      </c>
      <c r="AK13" s="202">
        <f xml:space="preserve">
IF($A$4&lt;=12,SUMIFS('ON Data'!AO:AO,'ON Data'!$D:$D,$A$4,'ON Data'!$E:$E,4),SUMIFS('ON Data'!AO:AO,'ON Data'!$E:$E,4))</f>
        <v>0</v>
      </c>
      <c r="AL13" s="202">
        <f xml:space="preserve">
IF($A$4&lt;=12,SUMIFS('ON Data'!AP:AP,'ON Data'!$D:$D,$A$4,'ON Data'!$E:$E,4),SUMIFS('ON Data'!AP:AP,'ON Data'!$E:$E,4))</f>
        <v>0</v>
      </c>
      <c r="AM13" s="202">
        <f xml:space="preserve">
IF($A$4&lt;=12,SUMIFS('ON Data'!AQ:AQ,'ON Data'!$D:$D,$A$4,'ON Data'!$E:$E,4),SUMIFS('ON Data'!AQ:AQ,'ON Data'!$E:$E,4))</f>
        <v>0</v>
      </c>
      <c r="AN13" s="201">
        <f xml:space="preserve">
IF($A$4&lt;=12,SUMIFS('ON Data'!AR:AR,'ON Data'!$D:$D,$A$4,'ON Data'!$E:$E,4),SUMIFS('ON Data'!AR:AR,'ON Data'!$E:$E,4))</f>
        <v>0</v>
      </c>
      <c r="AO13" s="202">
        <f xml:space="preserve">
IF($A$4&lt;=12,SUMIFS('ON Data'!AS:AS,'ON Data'!$D:$D,$A$4,'ON Data'!$E:$E,4),SUMIFS('ON Data'!AS:AS,'ON Data'!$E:$E,4))</f>
        <v>0</v>
      </c>
      <c r="AP13" s="202">
        <f xml:space="preserve">
IF($A$4&lt;=12,SUMIFS('ON Data'!AT:AT,'ON Data'!$D:$D,$A$4,'ON Data'!$E:$E,4),SUMIFS('ON Data'!AT:AT,'ON Data'!$E:$E,4))</f>
        <v>438.5</v>
      </c>
      <c r="AQ13" s="202">
        <f xml:space="preserve">
IF($A$4&lt;=12,SUMIFS('ON Data'!AU:AU,'ON Data'!$D:$D,$A$4,'ON Data'!$E:$E,4),SUMIFS('ON Data'!AU:AU,'ON Data'!$E:$E,4))</f>
        <v>0</v>
      </c>
      <c r="AR13" s="202">
        <f xml:space="preserve">
IF($A$4&lt;=12,SUMIFS('ON Data'!AV:AV,'ON Data'!$D:$D,$A$4,'ON Data'!$E:$E,4),SUMIFS('ON Data'!AV:AV,'ON Data'!$E:$E,4))</f>
        <v>0</v>
      </c>
      <c r="AS13" s="421">
        <f xml:space="preserve">
IF($A$4&lt;=12,SUMIFS('ON Data'!AW:AW,'ON Data'!$D:$D,$A$4,'ON Data'!$E:$E,4),SUMIFS('ON Data'!AW:AW,'ON Data'!$E:$E,4))</f>
        <v>0</v>
      </c>
      <c r="AT13" s="430"/>
    </row>
    <row r="14" spans="1:46" ht="15" thickBot="1" x14ac:dyDescent="0.35">
      <c r="A14" s="184" t="s">
        <v>118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/>
      <c r="F14" s="206">
        <f xml:space="preserve">
IF($A$4&lt;=12,SUMIFS('ON Data'!J:J,'ON Data'!$D:$D,$A$4,'ON Data'!$E:$E,5),SUMIFS('ON Data'!J:J,'ON Data'!$E:$E,5))</f>
        <v>0</v>
      </c>
      <c r="G14" s="206">
        <f xml:space="preserve">
IF($A$4&lt;=12,SUMIFS('ON Data'!K:K,'ON Data'!$D:$D,$A$4,'ON Data'!$E:$E,5),SUMIFS('ON Data'!K:K,'ON Data'!$E:$E,5))</f>
        <v>0</v>
      </c>
      <c r="H14" s="206">
        <f xml:space="preserve">
IF($A$4&lt;=12,SUMIFS('ON Data'!L:L,'ON Data'!$D:$D,$A$4,'ON Data'!$E:$E,5),SUMIFS('ON Data'!L:L,'ON Data'!$E:$E,5))</f>
        <v>0</v>
      </c>
      <c r="I14" s="206">
        <f xml:space="preserve">
IF($A$4&lt;=12,SUMIFS('ON Data'!M:M,'ON Data'!$D:$D,$A$4,'ON Data'!$E:$E,5),SUMIFS('ON Data'!M:M,'ON Data'!$E:$E,5))</f>
        <v>0</v>
      </c>
      <c r="J14" s="206">
        <f xml:space="preserve">
IF($A$4&lt;=12,SUMIFS('ON Data'!N:N,'ON Data'!$D:$D,$A$4,'ON Data'!$E:$E,5),SUMIFS('ON Data'!N:N,'ON Data'!$E:$E,5))</f>
        <v>0</v>
      </c>
      <c r="K14" s="206">
        <f xml:space="preserve">
IF($A$4&lt;=12,SUMIFS('ON Data'!O:O,'ON Data'!$D:$D,$A$4,'ON Data'!$E:$E,5),SUMIFS('ON Data'!O:O,'ON Data'!$E:$E,5))</f>
        <v>0</v>
      </c>
      <c r="L14" s="206">
        <f xml:space="preserve">
IF($A$4&lt;=12,SUMIFS('ON Data'!P:P,'ON Data'!$D:$D,$A$4,'ON Data'!$E:$E,5),SUMIFS('ON Data'!P:P,'ON Data'!$E:$E,5))</f>
        <v>0</v>
      </c>
      <c r="M14" s="206">
        <f xml:space="preserve">
IF($A$4&lt;=12,SUMIFS('ON Data'!Q:Q,'ON Data'!$D:$D,$A$4,'ON Data'!$E:$E,5),SUMIFS('ON Data'!Q:Q,'ON Data'!$E:$E,5))</f>
        <v>0</v>
      </c>
      <c r="N14" s="206">
        <f xml:space="preserve">
IF($A$4&lt;=12,SUMIFS('ON Data'!R:R,'ON Data'!$D:$D,$A$4,'ON Data'!$E:$E,5),SUMIFS('ON Data'!R:R,'ON Data'!$E:$E,5))</f>
        <v>0</v>
      </c>
      <c r="O14" s="206">
        <f xml:space="preserve">
IF($A$4&lt;=12,SUMIFS('ON Data'!S:S,'ON Data'!$D:$D,$A$4,'ON Data'!$E:$E,5),SUMIFS('ON Data'!S:S,'ON Data'!$E:$E,5))</f>
        <v>0</v>
      </c>
      <c r="P14" s="206">
        <f xml:space="preserve">
IF($A$4&lt;=12,SUMIFS('ON Data'!T:T,'ON Data'!$D:$D,$A$4,'ON Data'!$E:$E,5),SUMIFS('ON Data'!T:T,'ON Data'!$E:$E,5))</f>
        <v>0</v>
      </c>
      <c r="Q14" s="206">
        <f xml:space="preserve">
IF($A$4&lt;=12,SUMIFS('ON Data'!U:U,'ON Data'!$D:$D,$A$4,'ON Data'!$E:$E,5),SUMIFS('ON Data'!U:U,'ON Data'!$E:$E,5))</f>
        <v>0</v>
      </c>
      <c r="R14" s="206">
        <f xml:space="preserve">
IF($A$4&lt;=12,SUMIFS('ON Data'!V:V,'ON Data'!$D:$D,$A$4,'ON Data'!$E:$E,5),SUMIFS('ON Data'!V:V,'ON Data'!$E:$E,5))</f>
        <v>0</v>
      </c>
      <c r="S14" s="206">
        <f xml:space="preserve">
IF($A$4&lt;=12,SUMIFS('ON Data'!W:W,'ON Data'!$D:$D,$A$4,'ON Data'!$E:$E,5),SUMIFS('ON Data'!W:W,'ON Data'!$E:$E,5))</f>
        <v>0</v>
      </c>
      <c r="T14" s="206">
        <f xml:space="preserve">
IF($A$4&lt;=12,SUMIFS('ON Data'!X:X,'ON Data'!$D:$D,$A$4,'ON Data'!$E:$E,5),SUMIFS('ON Data'!X:X,'ON Data'!$E:$E,5))</f>
        <v>0</v>
      </c>
      <c r="U14" s="206">
        <f xml:space="preserve">
IF($A$4&lt;=12,SUMIFS('ON Data'!Y:Y,'ON Data'!$D:$D,$A$4,'ON Data'!$E:$E,5),SUMIFS('ON Data'!Y:Y,'ON Data'!$E:$E,5))</f>
        <v>0</v>
      </c>
      <c r="V14" s="206">
        <f xml:space="preserve">
IF($A$4&lt;=12,SUMIFS('ON Data'!Z:Z,'ON Data'!$D:$D,$A$4,'ON Data'!$E:$E,5),SUMIFS('ON Data'!Z:Z,'ON Data'!$E:$E,5))</f>
        <v>0</v>
      </c>
      <c r="W14" s="206">
        <f xml:space="preserve">
IF($A$4&lt;=12,SUMIFS('ON Data'!AA:AA,'ON Data'!$D:$D,$A$4,'ON Data'!$E:$E,5),SUMIFS('ON Data'!AA:AA,'ON Data'!$E:$E,5))</f>
        <v>0</v>
      </c>
      <c r="X14" s="206">
        <f xml:space="preserve">
IF($A$4&lt;=12,SUMIFS('ON Data'!AB:AB,'ON Data'!$D:$D,$A$4,'ON Data'!$E:$E,5),SUMIFS('ON Data'!AB:AB,'ON Data'!$E:$E,5))</f>
        <v>0</v>
      </c>
      <c r="Y14" s="206">
        <f xml:space="preserve">
IF($A$4&lt;=12,SUMIFS('ON Data'!AC:AC,'ON Data'!$D:$D,$A$4,'ON Data'!$E:$E,5),SUMIFS('ON Data'!AC:AC,'ON Data'!$E:$E,5))</f>
        <v>0</v>
      </c>
      <c r="Z14" s="206">
        <f xml:space="preserve">
IF($A$4&lt;=12,SUMIFS('ON Data'!AD:AD,'ON Data'!$D:$D,$A$4,'ON Data'!$E:$E,5),SUMIFS('ON Data'!AD:AD,'ON Data'!$E:$E,5))</f>
        <v>0</v>
      </c>
      <c r="AA14" s="206"/>
      <c r="AB14" s="206">
        <f xml:space="preserve">
IF($A$4&lt;=12,SUMIFS('ON Data'!AF:AF,'ON Data'!$D:$D,$A$4,'ON Data'!$E:$E,5),SUMIFS('ON Data'!AF:AF,'ON Data'!$E:$E,5))</f>
        <v>0</v>
      </c>
      <c r="AC14" s="206">
        <f xml:space="preserve">
IF($A$4&lt;=12,SUMIFS('ON Data'!AG:AG,'ON Data'!$D:$D,$A$4,'ON Data'!$E:$E,5),SUMIFS('ON Data'!AG:AG,'ON Data'!$E:$E,5))</f>
        <v>0</v>
      </c>
      <c r="AD14" s="206">
        <f xml:space="preserve">
IF($A$4&lt;=12,SUMIFS('ON Data'!AH:AH,'ON Data'!$D:$D,$A$4,'ON Data'!$E:$E,5),SUMIFS('ON Data'!AH:AH,'ON Data'!$E:$E,5))</f>
        <v>0</v>
      </c>
      <c r="AE14" s="206">
        <f xml:space="preserve">
IF($A$4&lt;=12,SUMIFS('ON Data'!AI:AI,'ON Data'!$D:$D,$A$4,'ON Data'!$E:$E,5),SUMIFS('ON Data'!AI:AI,'ON Data'!$E:$E,5))</f>
        <v>0</v>
      </c>
      <c r="AF14" s="206">
        <f xml:space="preserve">
IF($A$4&lt;=12,SUMIFS('ON Data'!AJ:AJ,'ON Data'!$D:$D,$A$4,'ON Data'!$E:$E,5),SUMIFS('ON Data'!AJ:AJ,'ON Data'!$E:$E,5))</f>
        <v>0</v>
      </c>
      <c r="AG14" s="206">
        <f xml:space="preserve">
IF($A$4&lt;=12,SUMIFS('ON Data'!AK:AK,'ON Data'!$D:$D,$A$4,'ON Data'!$E:$E,5),SUMIFS('ON Data'!AK:AK,'ON Data'!$E:$E,5))</f>
        <v>0</v>
      </c>
      <c r="AH14" s="206">
        <f xml:space="preserve">
IF($A$4&lt;=12,SUMIFS('ON Data'!AL:AL,'ON Data'!$D:$D,$A$4,'ON Data'!$E:$E,5),SUMIFS('ON Data'!AL:AL,'ON Data'!$E:$E,5))</f>
        <v>0</v>
      </c>
      <c r="AI14" s="206">
        <f xml:space="preserve">
IF($A$4&lt;=12,SUMIFS('ON Data'!AM:AM,'ON Data'!$D:$D,$A$4,'ON Data'!$E:$E,5),SUMIFS('ON Data'!AM:AM,'ON Data'!$E:$E,5))</f>
        <v>0</v>
      </c>
      <c r="AJ14" s="206">
        <f xml:space="preserve">
IF($A$4&lt;=12,SUMIFS('ON Data'!AN:AN,'ON Data'!$D:$D,$A$4,'ON Data'!$E:$E,5),SUMIFS('ON Data'!AN:AN,'ON Data'!$E:$E,5))</f>
        <v>0</v>
      </c>
      <c r="AK14" s="206">
        <f xml:space="preserve">
IF($A$4&lt;=12,SUMIFS('ON Data'!AO:AO,'ON Data'!$D:$D,$A$4,'ON Data'!$E:$E,5),SUMIFS('ON Data'!AO:AO,'ON Data'!$E:$E,5))</f>
        <v>0</v>
      </c>
      <c r="AL14" s="206">
        <f xml:space="preserve">
IF($A$4&lt;=12,SUMIFS('ON Data'!AP:AP,'ON Data'!$D:$D,$A$4,'ON Data'!$E:$E,5),SUMIFS('ON Data'!AP:AP,'ON Data'!$E:$E,5))</f>
        <v>0</v>
      </c>
      <c r="AM14" s="206">
        <f xml:space="preserve">
IF($A$4&lt;=12,SUMIFS('ON Data'!AQ:AQ,'ON Data'!$D:$D,$A$4,'ON Data'!$E:$E,5),SUMIFS('ON Data'!AQ:AQ,'ON Data'!$E:$E,5))</f>
        <v>0</v>
      </c>
      <c r="AN14" s="205">
        <f xml:space="preserve">
IF($A$4&lt;=12,SUMIFS('ON Data'!AR:AR,'ON Data'!$D:$D,$A$4,'ON Data'!$E:$E,5),SUMIFS('ON Data'!AR:AR,'ON Data'!$E:$E,5))</f>
        <v>0</v>
      </c>
      <c r="AO14" s="206">
        <f xml:space="preserve">
IF($A$4&lt;=12,SUMIFS('ON Data'!AS:AS,'ON Data'!$D:$D,$A$4,'ON Data'!$E:$E,5),SUMIFS('ON Data'!AS:AS,'ON Data'!$E:$E,5))</f>
        <v>0</v>
      </c>
      <c r="AP14" s="206">
        <f xml:space="preserve">
IF($A$4&lt;=12,SUMIFS('ON Data'!AT:AT,'ON Data'!$D:$D,$A$4,'ON Data'!$E:$E,5),SUMIFS('ON Data'!AT:AT,'ON Data'!$E:$E,5))</f>
        <v>0</v>
      </c>
      <c r="AQ14" s="206">
        <f xml:space="preserve">
IF($A$4&lt;=12,SUMIFS('ON Data'!AU:AU,'ON Data'!$D:$D,$A$4,'ON Data'!$E:$E,5),SUMIFS('ON Data'!AU:AU,'ON Data'!$E:$E,5))</f>
        <v>0</v>
      </c>
      <c r="AR14" s="206">
        <f xml:space="preserve">
IF($A$4&lt;=12,SUMIFS('ON Data'!AV:AV,'ON Data'!$D:$D,$A$4,'ON Data'!$E:$E,5),SUMIFS('ON Data'!AV:AV,'ON Data'!$E:$E,5))</f>
        <v>0</v>
      </c>
      <c r="AS14" s="422">
        <f xml:space="preserve">
IF($A$4&lt;=12,SUMIFS('ON Data'!AW:AW,'ON Data'!$D:$D,$A$4,'ON Data'!$E:$E,5),SUMIFS('ON Data'!AW:AW,'ON Data'!$E:$E,5))</f>
        <v>0</v>
      </c>
      <c r="AT14" s="430"/>
    </row>
    <row r="15" spans="1:46" x14ac:dyDescent="0.3">
      <c r="A15" s="125" t="s">
        <v>128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61"/>
      <c r="AO15" s="210"/>
      <c r="AP15" s="210"/>
      <c r="AQ15" s="210"/>
      <c r="AR15" s="210"/>
      <c r="AS15" s="423"/>
      <c r="AT15" s="430"/>
    </row>
    <row r="16" spans="1:46" x14ac:dyDescent="0.3">
      <c r="A16" s="185" t="s">
        <v>119</v>
      </c>
      <c r="B16" s="200">
        <f xml:space="preserve">
IF($A$4&lt;=12,SUMIFS('ON Data'!F:F,'ON Data'!$D:$D,$A$4,'ON Data'!$E:$E,7),SUMIFS('ON Data'!F:F,'ON Data'!$E:$E,7))</f>
        <v>0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Data'!H:H,'ON Data'!$D:$D,$A$4,'ON Data'!$E:$E,7),SUMIFS('ON Data'!H:H,'ON Data'!$E:$E,7))</f>
        <v>0</v>
      </c>
      <c r="E16" s="202"/>
      <c r="F16" s="202">
        <f xml:space="preserve">
IF($A$4&lt;=12,SUMIFS('ON Data'!J:J,'ON Data'!$D:$D,$A$4,'ON Data'!$E:$E,7),SUMIFS('ON Data'!J:J,'ON Data'!$E:$E,7))</f>
        <v>0</v>
      </c>
      <c r="G16" s="202">
        <f xml:space="preserve">
IF($A$4&lt;=12,SUMIFS('ON Data'!K:K,'ON Data'!$D:$D,$A$4,'ON Data'!$E:$E,7),SUMIFS('ON Data'!K:K,'ON Data'!$E:$E,7))</f>
        <v>0</v>
      </c>
      <c r="H16" s="202">
        <f xml:space="preserve">
IF($A$4&lt;=12,SUMIFS('ON Data'!L:L,'ON Data'!$D:$D,$A$4,'ON Data'!$E:$E,7),SUMIFS('ON Data'!L:L,'ON Data'!$E:$E,7))</f>
        <v>0</v>
      </c>
      <c r="I16" s="202">
        <f xml:space="preserve">
IF($A$4&lt;=12,SUMIFS('ON Data'!M:M,'ON Data'!$D:$D,$A$4,'ON Data'!$E:$E,7),SUMIFS('ON Data'!M:M,'ON Data'!$E:$E,7))</f>
        <v>0</v>
      </c>
      <c r="J16" s="202">
        <f xml:space="preserve">
IF($A$4&lt;=12,SUMIFS('ON Data'!N:N,'ON Data'!$D:$D,$A$4,'ON Data'!$E:$E,7),SUMIFS('ON Data'!N:N,'ON Data'!$E:$E,7))</f>
        <v>0</v>
      </c>
      <c r="K16" s="202">
        <f xml:space="preserve">
IF($A$4&lt;=12,SUMIFS('ON Data'!O:O,'ON Data'!$D:$D,$A$4,'ON Data'!$E:$E,7),SUMIFS('ON Data'!O:O,'ON Data'!$E:$E,7))</f>
        <v>0</v>
      </c>
      <c r="L16" s="202">
        <f xml:space="preserve">
IF($A$4&lt;=12,SUMIFS('ON Data'!P:P,'ON Data'!$D:$D,$A$4,'ON Data'!$E:$E,7),SUMIFS('ON Data'!P:P,'ON Data'!$E:$E,7))</f>
        <v>0</v>
      </c>
      <c r="M16" s="202">
        <f xml:space="preserve">
IF($A$4&lt;=12,SUMIFS('ON Data'!Q:Q,'ON Data'!$D:$D,$A$4,'ON Data'!$E:$E,7),SUMIFS('ON Data'!Q:Q,'ON Data'!$E:$E,7))</f>
        <v>0</v>
      </c>
      <c r="N16" s="202">
        <f xml:space="preserve">
IF($A$4&lt;=12,SUMIFS('ON Data'!R:R,'ON Data'!$D:$D,$A$4,'ON Data'!$E:$E,7),SUMIFS('ON Data'!R:R,'ON Data'!$E:$E,7))</f>
        <v>0</v>
      </c>
      <c r="O16" s="202">
        <f xml:space="preserve">
IF($A$4&lt;=12,SUMIFS('ON Data'!S:S,'ON Data'!$D:$D,$A$4,'ON Data'!$E:$E,7),SUMIFS('ON Data'!S:S,'ON Data'!$E:$E,7))</f>
        <v>0</v>
      </c>
      <c r="P16" s="202">
        <f xml:space="preserve">
IF($A$4&lt;=12,SUMIFS('ON Data'!T:T,'ON Data'!$D:$D,$A$4,'ON Data'!$E:$E,7),SUMIFS('ON Data'!T:T,'ON Data'!$E:$E,7))</f>
        <v>0</v>
      </c>
      <c r="Q16" s="202">
        <f xml:space="preserve">
IF($A$4&lt;=12,SUMIFS('ON Data'!U:U,'ON Data'!$D:$D,$A$4,'ON Data'!$E:$E,7),SUMIFS('ON Data'!U:U,'ON Data'!$E:$E,7))</f>
        <v>0</v>
      </c>
      <c r="R16" s="202">
        <f xml:space="preserve">
IF($A$4&lt;=12,SUMIFS('ON Data'!V:V,'ON Data'!$D:$D,$A$4,'ON Data'!$E:$E,7),SUMIFS('ON Data'!V:V,'ON Data'!$E:$E,7))</f>
        <v>0</v>
      </c>
      <c r="S16" s="202">
        <f xml:space="preserve">
IF($A$4&lt;=12,SUMIFS('ON Data'!W:W,'ON Data'!$D:$D,$A$4,'ON Data'!$E:$E,7),SUMIFS('ON Data'!W:W,'ON Data'!$E:$E,7))</f>
        <v>0</v>
      </c>
      <c r="T16" s="202">
        <f xml:space="preserve">
IF($A$4&lt;=12,SUMIFS('ON Data'!X:X,'ON Data'!$D:$D,$A$4,'ON Data'!$E:$E,7),SUMIFS('ON Data'!X:X,'ON Data'!$E:$E,7))</f>
        <v>0</v>
      </c>
      <c r="U16" s="202">
        <f xml:space="preserve">
IF($A$4&lt;=12,SUMIFS('ON Data'!Y:Y,'ON Data'!$D:$D,$A$4,'ON Data'!$E:$E,7),SUMIFS('ON Data'!Y:Y,'ON Data'!$E:$E,7))</f>
        <v>0</v>
      </c>
      <c r="V16" s="202">
        <f xml:space="preserve">
IF($A$4&lt;=12,SUMIFS('ON Data'!Z:Z,'ON Data'!$D:$D,$A$4,'ON Data'!$E:$E,7),SUMIFS('ON Data'!Z:Z,'ON Data'!$E:$E,7))</f>
        <v>0</v>
      </c>
      <c r="W16" s="202">
        <f xml:space="preserve">
IF($A$4&lt;=12,SUMIFS('ON Data'!AA:AA,'ON Data'!$D:$D,$A$4,'ON Data'!$E:$E,7),SUMIFS('ON Data'!AA:AA,'ON Data'!$E:$E,7))</f>
        <v>0</v>
      </c>
      <c r="X16" s="202">
        <f xml:space="preserve">
IF($A$4&lt;=12,SUMIFS('ON Data'!AB:AB,'ON Data'!$D:$D,$A$4,'ON Data'!$E:$E,7),SUMIFS('ON Data'!AB:AB,'ON Data'!$E:$E,7))</f>
        <v>0</v>
      </c>
      <c r="Y16" s="202">
        <f xml:space="preserve">
IF($A$4&lt;=12,SUMIFS('ON Data'!AC:AC,'ON Data'!$D:$D,$A$4,'ON Data'!$E:$E,7),SUMIFS('ON Data'!AC:AC,'ON Data'!$E:$E,7))</f>
        <v>0</v>
      </c>
      <c r="Z16" s="202">
        <f xml:space="preserve">
IF($A$4&lt;=12,SUMIFS('ON Data'!AD:AD,'ON Data'!$D:$D,$A$4,'ON Data'!$E:$E,7),SUMIFS('ON Data'!AD:AD,'ON Data'!$E:$E,7))</f>
        <v>0</v>
      </c>
      <c r="AA16" s="202"/>
      <c r="AB16" s="202">
        <f xml:space="preserve">
IF($A$4&lt;=12,SUMIFS('ON Data'!AF:AF,'ON Data'!$D:$D,$A$4,'ON Data'!$E:$E,7),SUMIFS('ON Data'!AF:AF,'ON Data'!$E:$E,7))</f>
        <v>0</v>
      </c>
      <c r="AC16" s="202">
        <f xml:space="preserve">
IF($A$4&lt;=12,SUMIFS('ON Data'!AG:AG,'ON Data'!$D:$D,$A$4,'ON Data'!$E:$E,7),SUMIFS('ON Data'!AG:AG,'ON Data'!$E:$E,7))</f>
        <v>0</v>
      </c>
      <c r="AD16" s="202">
        <f xml:space="preserve">
IF($A$4&lt;=12,SUMIFS('ON Data'!AH:AH,'ON Data'!$D:$D,$A$4,'ON Data'!$E:$E,7),SUMIFS('ON Data'!AH:AH,'ON Data'!$E:$E,7))</f>
        <v>0</v>
      </c>
      <c r="AE16" s="202">
        <f xml:space="preserve">
IF($A$4&lt;=12,SUMIFS('ON Data'!AI:AI,'ON Data'!$D:$D,$A$4,'ON Data'!$E:$E,7),SUMIFS('ON Data'!AI:AI,'ON Data'!$E:$E,7))</f>
        <v>0</v>
      </c>
      <c r="AF16" s="202">
        <f xml:space="preserve">
IF($A$4&lt;=12,SUMIFS('ON Data'!AJ:AJ,'ON Data'!$D:$D,$A$4,'ON Data'!$E:$E,7),SUMIFS('ON Data'!AJ:AJ,'ON Data'!$E:$E,7))</f>
        <v>0</v>
      </c>
      <c r="AG16" s="202">
        <f xml:space="preserve">
IF($A$4&lt;=12,SUMIFS('ON Data'!AK:AK,'ON Data'!$D:$D,$A$4,'ON Data'!$E:$E,7),SUMIFS('ON Data'!AK:AK,'ON Data'!$E:$E,7))</f>
        <v>0</v>
      </c>
      <c r="AH16" s="202">
        <f xml:space="preserve">
IF($A$4&lt;=12,SUMIFS('ON Data'!AL:AL,'ON Data'!$D:$D,$A$4,'ON Data'!$E:$E,7),SUMIFS('ON Data'!AL:AL,'ON Data'!$E:$E,7))</f>
        <v>0</v>
      </c>
      <c r="AI16" s="202">
        <f xml:space="preserve">
IF($A$4&lt;=12,SUMIFS('ON Data'!AM:AM,'ON Data'!$D:$D,$A$4,'ON Data'!$E:$E,7),SUMIFS('ON Data'!AM:AM,'ON Data'!$E:$E,7))</f>
        <v>0</v>
      </c>
      <c r="AJ16" s="202">
        <f xml:space="preserve">
IF($A$4&lt;=12,SUMIFS('ON Data'!AN:AN,'ON Data'!$D:$D,$A$4,'ON Data'!$E:$E,7),SUMIFS('ON Data'!AN:AN,'ON Data'!$E:$E,7))</f>
        <v>0</v>
      </c>
      <c r="AK16" s="202">
        <f xml:space="preserve">
IF($A$4&lt;=12,SUMIFS('ON Data'!AO:AO,'ON Data'!$D:$D,$A$4,'ON Data'!$E:$E,7),SUMIFS('ON Data'!AO:AO,'ON Data'!$E:$E,7))</f>
        <v>0</v>
      </c>
      <c r="AL16" s="202">
        <f xml:space="preserve">
IF($A$4&lt;=12,SUMIFS('ON Data'!AP:AP,'ON Data'!$D:$D,$A$4,'ON Data'!$E:$E,7),SUMIFS('ON Data'!AP:AP,'ON Data'!$E:$E,7))</f>
        <v>0</v>
      </c>
      <c r="AM16" s="202">
        <f xml:space="preserve">
IF($A$4&lt;=12,SUMIFS('ON Data'!AQ:AQ,'ON Data'!$D:$D,$A$4,'ON Data'!$E:$E,7),SUMIFS('ON Data'!AQ:AQ,'ON Data'!$E:$E,7))</f>
        <v>0</v>
      </c>
      <c r="AN16" s="201">
        <f xml:space="preserve">
IF($A$4&lt;=12,SUMIFS('ON Data'!AR:AR,'ON Data'!$D:$D,$A$4,'ON Data'!$E:$E,7),SUMIFS('ON Data'!AR:AR,'ON Data'!$E:$E,7))</f>
        <v>0</v>
      </c>
      <c r="AO16" s="202">
        <f xml:space="preserve">
IF($A$4&lt;=12,SUMIFS('ON Data'!AS:AS,'ON Data'!$D:$D,$A$4,'ON Data'!$E:$E,7),SUMIFS('ON Data'!AS:AS,'ON Data'!$E:$E,7))</f>
        <v>0</v>
      </c>
      <c r="AP16" s="202">
        <f xml:space="preserve">
IF($A$4&lt;=12,SUMIFS('ON Data'!AT:AT,'ON Data'!$D:$D,$A$4,'ON Data'!$E:$E,7),SUMIFS('ON Data'!AT:AT,'ON Data'!$E:$E,7))</f>
        <v>0</v>
      </c>
      <c r="AQ16" s="202">
        <f xml:space="preserve">
IF($A$4&lt;=12,SUMIFS('ON Data'!AU:AU,'ON Data'!$D:$D,$A$4,'ON Data'!$E:$E,7),SUMIFS('ON Data'!AU:AU,'ON Data'!$E:$E,7))</f>
        <v>0</v>
      </c>
      <c r="AR16" s="202">
        <f xml:space="preserve">
IF($A$4&lt;=12,SUMIFS('ON Data'!AV:AV,'ON Data'!$D:$D,$A$4,'ON Data'!$E:$E,7),SUMIFS('ON Data'!AV:AV,'ON Data'!$E:$E,7))</f>
        <v>0</v>
      </c>
      <c r="AS16" s="421">
        <f xml:space="preserve">
IF($A$4&lt;=12,SUMIFS('ON Data'!AW:AW,'ON Data'!$D:$D,$A$4,'ON Data'!$E:$E,7),SUMIFS('ON Data'!AW:AW,'ON Data'!$E:$E,7))</f>
        <v>0</v>
      </c>
      <c r="AT16" s="430"/>
    </row>
    <row r="17" spans="1:46" x14ac:dyDescent="0.3">
      <c r="A17" s="185" t="s">
        <v>120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Data'!H:H,'ON Data'!$D:$D,$A$4,'ON Data'!$E:$E,8),SUMIFS('ON Data'!H:H,'ON Data'!$E:$E,8))</f>
        <v>0</v>
      </c>
      <c r="E17" s="202"/>
      <c r="F17" s="202">
        <f xml:space="preserve">
IF($A$4&lt;=12,SUMIFS('ON Data'!J:J,'ON Data'!$D:$D,$A$4,'ON Data'!$E:$E,8),SUMIFS('ON Data'!J:J,'ON Data'!$E:$E,8))</f>
        <v>0</v>
      </c>
      <c r="G17" s="202">
        <f xml:space="preserve">
IF($A$4&lt;=12,SUMIFS('ON Data'!K:K,'ON Data'!$D:$D,$A$4,'ON Data'!$E:$E,8),SUMIFS('ON Data'!K:K,'ON Data'!$E:$E,8))</f>
        <v>0</v>
      </c>
      <c r="H17" s="202">
        <f xml:space="preserve">
IF($A$4&lt;=12,SUMIFS('ON Data'!L:L,'ON Data'!$D:$D,$A$4,'ON Data'!$E:$E,8),SUMIFS('ON Data'!L:L,'ON Data'!$E:$E,8))</f>
        <v>0</v>
      </c>
      <c r="I17" s="202">
        <f xml:space="preserve">
IF($A$4&lt;=12,SUMIFS('ON Data'!M:M,'ON Data'!$D:$D,$A$4,'ON Data'!$E:$E,8),SUMIFS('ON Data'!M:M,'ON Data'!$E:$E,8))</f>
        <v>0</v>
      </c>
      <c r="J17" s="202">
        <f xml:space="preserve">
IF($A$4&lt;=12,SUMIFS('ON Data'!N:N,'ON Data'!$D:$D,$A$4,'ON Data'!$E:$E,8),SUMIFS('ON Data'!N:N,'ON Data'!$E:$E,8))</f>
        <v>0</v>
      </c>
      <c r="K17" s="202">
        <f xml:space="preserve">
IF($A$4&lt;=12,SUMIFS('ON Data'!O:O,'ON Data'!$D:$D,$A$4,'ON Data'!$E:$E,8),SUMIFS('ON Data'!O:O,'ON Data'!$E:$E,8))</f>
        <v>0</v>
      </c>
      <c r="L17" s="202">
        <f xml:space="preserve">
IF($A$4&lt;=12,SUMIFS('ON Data'!P:P,'ON Data'!$D:$D,$A$4,'ON Data'!$E:$E,8),SUMIFS('ON Data'!P:P,'ON Data'!$E:$E,8))</f>
        <v>0</v>
      </c>
      <c r="M17" s="202">
        <f xml:space="preserve">
IF($A$4&lt;=12,SUMIFS('ON Data'!Q:Q,'ON Data'!$D:$D,$A$4,'ON Data'!$E:$E,8),SUMIFS('ON Data'!Q:Q,'ON Data'!$E:$E,8))</f>
        <v>0</v>
      </c>
      <c r="N17" s="202">
        <f xml:space="preserve">
IF($A$4&lt;=12,SUMIFS('ON Data'!R:R,'ON Data'!$D:$D,$A$4,'ON Data'!$E:$E,8),SUMIFS('ON Data'!R:R,'ON Data'!$E:$E,8))</f>
        <v>0</v>
      </c>
      <c r="O17" s="202">
        <f xml:space="preserve">
IF($A$4&lt;=12,SUMIFS('ON Data'!S:S,'ON Data'!$D:$D,$A$4,'ON Data'!$E:$E,8),SUMIFS('ON Data'!S:S,'ON Data'!$E:$E,8))</f>
        <v>0</v>
      </c>
      <c r="P17" s="202">
        <f xml:space="preserve">
IF($A$4&lt;=12,SUMIFS('ON Data'!T:T,'ON Data'!$D:$D,$A$4,'ON Data'!$E:$E,8),SUMIFS('ON Data'!T:T,'ON Data'!$E:$E,8))</f>
        <v>0</v>
      </c>
      <c r="Q17" s="202">
        <f xml:space="preserve">
IF($A$4&lt;=12,SUMIFS('ON Data'!U:U,'ON Data'!$D:$D,$A$4,'ON Data'!$E:$E,8),SUMIFS('ON Data'!U:U,'ON Data'!$E:$E,8))</f>
        <v>0</v>
      </c>
      <c r="R17" s="202">
        <f xml:space="preserve">
IF($A$4&lt;=12,SUMIFS('ON Data'!V:V,'ON Data'!$D:$D,$A$4,'ON Data'!$E:$E,8),SUMIFS('ON Data'!V:V,'ON Data'!$E:$E,8))</f>
        <v>0</v>
      </c>
      <c r="S17" s="202">
        <f xml:space="preserve">
IF($A$4&lt;=12,SUMIFS('ON Data'!W:W,'ON Data'!$D:$D,$A$4,'ON Data'!$E:$E,8),SUMIFS('ON Data'!W:W,'ON Data'!$E:$E,8))</f>
        <v>0</v>
      </c>
      <c r="T17" s="202">
        <f xml:space="preserve">
IF($A$4&lt;=12,SUMIFS('ON Data'!X:X,'ON Data'!$D:$D,$A$4,'ON Data'!$E:$E,8),SUMIFS('ON Data'!X:X,'ON Data'!$E:$E,8))</f>
        <v>0</v>
      </c>
      <c r="U17" s="202">
        <f xml:space="preserve">
IF($A$4&lt;=12,SUMIFS('ON Data'!Y:Y,'ON Data'!$D:$D,$A$4,'ON Data'!$E:$E,8),SUMIFS('ON Data'!Y:Y,'ON Data'!$E:$E,8))</f>
        <v>0</v>
      </c>
      <c r="V17" s="202">
        <f xml:space="preserve">
IF($A$4&lt;=12,SUMIFS('ON Data'!Z:Z,'ON Data'!$D:$D,$A$4,'ON Data'!$E:$E,8),SUMIFS('ON Data'!Z:Z,'ON Data'!$E:$E,8))</f>
        <v>0</v>
      </c>
      <c r="W17" s="202">
        <f xml:space="preserve">
IF($A$4&lt;=12,SUMIFS('ON Data'!AA:AA,'ON Data'!$D:$D,$A$4,'ON Data'!$E:$E,8),SUMIFS('ON Data'!AA:AA,'ON Data'!$E:$E,8))</f>
        <v>0</v>
      </c>
      <c r="X17" s="202">
        <f xml:space="preserve">
IF($A$4&lt;=12,SUMIFS('ON Data'!AB:AB,'ON Data'!$D:$D,$A$4,'ON Data'!$E:$E,8),SUMIFS('ON Data'!AB:AB,'ON Data'!$E:$E,8))</f>
        <v>0</v>
      </c>
      <c r="Y17" s="202">
        <f xml:space="preserve">
IF($A$4&lt;=12,SUMIFS('ON Data'!AC:AC,'ON Data'!$D:$D,$A$4,'ON Data'!$E:$E,8),SUMIFS('ON Data'!AC:AC,'ON Data'!$E:$E,8))</f>
        <v>0</v>
      </c>
      <c r="Z17" s="202">
        <f xml:space="preserve">
IF($A$4&lt;=12,SUMIFS('ON Data'!AD:AD,'ON Data'!$D:$D,$A$4,'ON Data'!$E:$E,8),SUMIFS('ON Data'!AD:AD,'ON Data'!$E:$E,8))</f>
        <v>0</v>
      </c>
      <c r="AA17" s="202"/>
      <c r="AB17" s="202">
        <f xml:space="preserve">
IF($A$4&lt;=12,SUMIFS('ON Data'!AF:AF,'ON Data'!$D:$D,$A$4,'ON Data'!$E:$E,8),SUMIFS('ON Data'!AF:AF,'ON Data'!$E:$E,8))</f>
        <v>0</v>
      </c>
      <c r="AC17" s="202">
        <f xml:space="preserve">
IF($A$4&lt;=12,SUMIFS('ON Data'!AG:AG,'ON Data'!$D:$D,$A$4,'ON Data'!$E:$E,8),SUMIFS('ON Data'!AG:AG,'ON Data'!$E:$E,8))</f>
        <v>0</v>
      </c>
      <c r="AD17" s="202">
        <f xml:space="preserve">
IF($A$4&lt;=12,SUMIFS('ON Data'!AH:AH,'ON Data'!$D:$D,$A$4,'ON Data'!$E:$E,8),SUMIFS('ON Data'!AH:AH,'ON Data'!$E:$E,8))</f>
        <v>0</v>
      </c>
      <c r="AE17" s="202">
        <f xml:space="preserve">
IF($A$4&lt;=12,SUMIFS('ON Data'!AI:AI,'ON Data'!$D:$D,$A$4,'ON Data'!$E:$E,8),SUMIFS('ON Data'!AI:AI,'ON Data'!$E:$E,8))</f>
        <v>0</v>
      </c>
      <c r="AF17" s="202">
        <f xml:space="preserve">
IF($A$4&lt;=12,SUMIFS('ON Data'!AJ:AJ,'ON Data'!$D:$D,$A$4,'ON Data'!$E:$E,8),SUMIFS('ON Data'!AJ:AJ,'ON Data'!$E:$E,8))</f>
        <v>0</v>
      </c>
      <c r="AG17" s="202">
        <f xml:space="preserve">
IF($A$4&lt;=12,SUMIFS('ON Data'!AK:AK,'ON Data'!$D:$D,$A$4,'ON Data'!$E:$E,8),SUMIFS('ON Data'!AK:AK,'ON Data'!$E:$E,8))</f>
        <v>0</v>
      </c>
      <c r="AH17" s="202">
        <f xml:space="preserve">
IF($A$4&lt;=12,SUMIFS('ON Data'!AL:AL,'ON Data'!$D:$D,$A$4,'ON Data'!$E:$E,8),SUMIFS('ON Data'!AL:AL,'ON Data'!$E:$E,8))</f>
        <v>0</v>
      </c>
      <c r="AI17" s="202">
        <f xml:space="preserve">
IF($A$4&lt;=12,SUMIFS('ON Data'!AM:AM,'ON Data'!$D:$D,$A$4,'ON Data'!$E:$E,8),SUMIFS('ON Data'!AM:AM,'ON Data'!$E:$E,8))</f>
        <v>0</v>
      </c>
      <c r="AJ17" s="202">
        <f xml:space="preserve">
IF($A$4&lt;=12,SUMIFS('ON Data'!AN:AN,'ON Data'!$D:$D,$A$4,'ON Data'!$E:$E,8),SUMIFS('ON Data'!AN:AN,'ON Data'!$E:$E,8))</f>
        <v>0</v>
      </c>
      <c r="AK17" s="202">
        <f xml:space="preserve">
IF($A$4&lt;=12,SUMIFS('ON Data'!AO:AO,'ON Data'!$D:$D,$A$4,'ON Data'!$E:$E,8),SUMIFS('ON Data'!AO:AO,'ON Data'!$E:$E,8))</f>
        <v>0</v>
      </c>
      <c r="AL17" s="202">
        <f xml:space="preserve">
IF($A$4&lt;=12,SUMIFS('ON Data'!AP:AP,'ON Data'!$D:$D,$A$4,'ON Data'!$E:$E,8),SUMIFS('ON Data'!AP:AP,'ON Data'!$E:$E,8))</f>
        <v>0</v>
      </c>
      <c r="AM17" s="202">
        <f xml:space="preserve">
IF($A$4&lt;=12,SUMIFS('ON Data'!AQ:AQ,'ON Data'!$D:$D,$A$4,'ON Data'!$E:$E,8),SUMIFS('ON Data'!AQ:AQ,'ON Data'!$E:$E,8))</f>
        <v>0</v>
      </c>
      <c r="AN17" s="201">
        <f xml:space="preserve">
IF($A$4&lt;=12,SUMIFS('ON Data'!AR:AR,'ON Data'!$D:$D,$A$4,'ON Data'!$E:$E,8),SUMIFS('ON Data'!AR:AR,'ON Data'!$E:$E,8))</f>
        <v>0</v>
      </c>
      <c r="AO17" s="202">
        <f xml:space="preserve">
IF($A$4&lt;=12,SUMIFS('ON Data'!AS:AS,'ON Data'!$D:$D,$A$4,'ON Data'!$E:$E,8),SUMIFS('ON Data'!AS:AS,'ON Data'!$E:$E,8))</f>
        <v>0</v>
      </c>
      <c r="AP17" s="202">
        <f xml:space="preserve">
IF($A$4&lt;=12,SUMIFS('ON Data'!AT:AT,'ON Data'!$D:$D,$A$4,'ON Data'!$E:$E,8),SUMIFS('ON Data'!AT:AT,'ON Data'!$E:$E,8))</f>
        <v>0</v>
      </c>
      <c r="AQ17" s="202">
        <f xml:space="preserve">
IF($A$4&lt;=12,SUMIFS('ON Data'!AU:AU,'ON Data'!$D:$D,$A$4,'ON Data'!$E:$E,8),SUMIFS('ON Data'!AU:AU,'ON Data'!$E:$E,8))</f>
        <v>0</v>
      </c>
      <c r="AR17" s="202">
        <f xml:space="preserve">
IF($A$4&lt;=12,SUMIFS('ON Data'!AV:AV,'ON Data'!$D:$D,$A$4,'ON Data'!$E:$E,8),SUMIFS('ON Data'!AV:AV,'ON Data'!$E:$E,8))</f>
        <v>0</v>
      </c>
      <c r="AS17" s="421">
        <f xml:space="preserve">
IF($A$4&lt;=12,SUMIFS('ON Data'!AW:AW,'ON Data'!$D:$D,$A$4,'ON Data'!$E:$E,8),SUMIFS('ON Data'!AW:AW,'ON Data'!$E:$E,8))</f>
        <v>0</v>
      </c>
      <c r="AT17" s="430"/>
    </row>
    <row r="18" spans="1:46" x14ac:dyDescent="0.3">
      <c r="A18" s="185" t="s">
        <v>121</v>
      </c>
      <c r="B18" s="200">
        <f xml:space="preserve">
B19-B16-B17</f>
        <v>0</v>
      </c>
      <c r="C18" s="201">
        <f t="shared" ref="C18:I18" si="0" xml:space="preserve">
C19-C16-C17</f>
        <v>0</v>
      </c>
      <c r="D18" s="202">
        <f t="shared" si="0"/>
        <v>0</v>
      </c>
      <c r="E18" s="202"/>
      <c r="F18" s="202">
        <f t="shared" si="0"/>
        <v>0</v>
      </c>
      <c r="G18" s="202">
        <f t="shared" si="0"/>
        <v>0</v>
      </c>
      <c r="H18" s="202">
        <f t="shared" si="0"/>
        <v>0</v>
      </c>
      <c r="I18" s="202">
        <f t="shared" si="0"/>
        <v>0</v>
      </c>
      <c r="J18" s="202">
        <f t="shared" ref="J18:AK18" si="1" xml:space="preserve">
J19-J16-J17</f>
        <v>0</v>
      </c>
      <c r="K18" s="202">
        <f t="shared" si="1"/>
        <v>0</v>
      </c>
      <c r="L18" s="202">
        <f t="shared" si="1"/>
        <v>0</v>
      </c>
      <c r="M18" s="202">
        <f t="shared" si="1"/>
        <v>0</v>
      </c>
      <c r="N18" s="202">
        <f t="shared" si="1"/>
        <v>0</v>
      </c>
      <c r="O18" s="202">
        <f t="shared" si="1"/>
        <v>0</v>
      </c>
      <c r="P18" s="202">
        <f t="shared" si="1"/>
        <v>0</v>
      </c>
      <c r="Q18" s="202">
        <f t="shared" si="1"/>
        <v>0</v>
      </c>
      <c r="R18" s="202">
        <f t="shared" si="1"/>
        <v>0</v>
      </c>
      <c r="S18" s="202">
        <f t="shared" si="1"/>
        <v>0</v>
      </c>
      <c r="T18" s="202">
        <f t="shared" si="1"/>
        <v>0</v>
      </c>
      <c r="U18" s="202">
        <f t="shared" si="1"/>
        <v>0</v>
      </c>
      <c r="V18" s="202">
        <f t="shared" si="1"/>
        <v>0</v>
      </c>
      <c r="W18" s="202">
        <f t="shared" si="1"/>
        <v>0</v>
      </c>
      <c r="X18" s="202">
        <f t="shared" si="1"/>
        <v>0</v>
      </c>
      <c r="Y18" s="202">
        <f t="shared" si="1"/>
        <v>0</v>
      </c>
      <c r="Z18" s="202">
        <f t="shared" si="1"/>
        <v>0</v>
      </c>
      <c r="AA18" s="202"/>
      <c r="AB18" s="202">
        <f t="shared" si="1"/>
        <v>0</v>
      </c>
      <c r="AC18" s="202">
        <f t="shared" si="1"/>
        <v>0</v>
      </c>
      <c r="AD18" s="202">
        <f t="shared" si="1"/>
        <v>0</v>
      </c>
      <c r="AE18" s="202">
        <f t="shared" si="1"/>
        <v>0</v>
      </c>
      <c r="AF18" s="202">
        <f t="shared" si="1"/>
        <v>0</v>
      </c>
      <c r="AG18" s="202">
        <f t="shared" si="1"/>
        <v>0</v>
      </c>
      <c r="AH18" s="202">
        <f t="shared" si="1"/>
        <v>0</v>
      </c>
      <c r="AI18" s="202">
        <f t="shared" si="1"/>
        <v>0</v>
      </c>
      <c r="AJ18" s="202">
        <f t="shared" si="1"/>
        <v>0</v>
      </c>
      <c r="AK18" s="202">
        <f t="shared" si="1"/>
        <v>0</v>
      </c>
      <c r="AL18" s="202">
        <f t="shared" ref="AL18:AS18" si="2" xml:space="preserve">
AL19-AL16-AL17</f>
        <v>0</v>
      </c>
      <c r="AM18" s="202">
        <f t="shared" si="2"/>
        <v>0</v>
      </c>
      <c r="AN18" s="201">
        <f t="shared" si="2"/>
        <v>0</v>
      </c>
      <c r="AO18" s="202">
        <f t="shared" si="2"/>
        <v>0</v>
      </c>
      <c r="AP18" s="202">
        <f t="shared" si="2"/>
        <v>0</v>
      </c>
      <c r="AQ18" s="202">
        <f t="shared" si="2"/>
        <v>0</v>
      </c>
      <c r="AR18" s="202">
        <f t="shared" si="2"/>
        <v>0</v>
      </c>
      <c r="AS18" s="421">
        <f t="shared" si="2"/>
        <v>0</v>
      </c>
      <c r="AT18" s="430"/>
    </row>
    <row r="19" spans="1:46" ht="15" thickBot="1" x14ac:dyDescent="0.35">
      <c r="A19" s="186" t="s">
        <v>122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/>
      <c r="F19" s="213">
        <f xml:space="preserve">
IF($A$4&lt;=12,SUMIFS('ON Data'!J:J,'ON Data'!$D:$D,$A$4,'ON Data'!$E:$E,9),SUMIFS('ON Data'!J:J,'ON Data'!$E:$E,9))</f>
        <v>0</v>
      </c>
      <c r="G19" s="213">
        <f xml:space="preserve">
IF($A$4&lt;=12,SUMIFS('ON Data'!K:K,'ON Data'!$D:$D,$A$4,'ON Data'!$E:$E,9),SUMIFS('ON Data'!K:K,'ON Data'!$E:$E,9))</f>
        <v>0</v>
      </c>
      <c r="H19" s="213">
        <f xml:space="preserve">
IF($A$4&lt;=12,SUMIFS('ON Data'!L:L,'ON Data'!$D:$D,$A$4,'ON Data'!$E:$E,9),SUMIFS('ON Data'!L:L,'ON Data'!$E:$E,9))</f>
        <v>0</v>
      </c>
      <c r="I19" s="213">
        <f xml:space="preserve">
IF($A$4&lt;=12,SUMIFS('ON Data'!M:M,'ON Data'!$D:$D,$A$4,'ON Data'!$E:$E,9),SUMIFS('ON Data'!M:M,'ON Data'!$E:$E,9))</f>
        <v>0</v>
      </c>
      <c r="J19" s="213">
        <f xml:space="preserve">
IF($A$4&lt;=12,SUMIFS('ON Data'!N:N,'ON Data'!$D:$D,$A$4,'ON Data'!$E:$E,9),SUMIFS('ON Data'!N:N,'ON Data'!$E:$E,9))</f>
        <v>0</v>
      </c>
      <c r="K19" s="213">
        <f xml:space="preserve">
IF($A$4&lt;=12,SUMIFS('ON Data'!O:O,'ON Data'!$D:$D,$A$4,'ON Data'!$E:$E,9),SUMIFS('ON Data'!O:O,'ON Data'!$E:$E,9))</f>
        <v>0</v>
      </c>
      <c r="L19" s="213">
        <f xml:space="preserve">
IF($A$4&lt;=12,SUMIFS('ON Data'!P:P,'ON Data'!$D:$D,$A$4,'ON Data'!$E:$E,9),SUMIFS('ON Data'!P:P,'ON Data'!$E:$E,9))</f>
        <v>0</v>
      </c>
      <c r="M19" s="213">
        <f xml:space="preserve">
IF($A$4&lt;=12,SUMIFS('ON Data'!Q:Q,'ON Data'!$D:$D,$A$4,'ON Data'!$E:$E,9),SUMIFS('ON Data'!Q:Q,'ON Data'!$E:$E,9))</f>
        <v>0</v>
      </c>
      <c r="N19" s="213">
        <f xml:space="preserve">
IF($A$4&lt;=12,SUMIFS('ON Data'!R:R,'ON Data'!$D:$D,$A$4,'ON Data'!$E:$E,9),SUMIFS('ON Data'!R:R,'ON Data'!$E:$E,9))</f>
        <v>0</v>
      </c>
      <c r="O19" s="213">
        <f xml:space="preserve">
IF($A$4&lt;=12,SUMIFS('ON Data'!S:S,'ON Data'!$D:$D,$A$4,'ON Data'!$E:$E,9),SUMIFS('ON Data'!S:S,'ON Data'!$E:$E,9))</f>
        <v>0</v>
      </c>
      <c r="P19" s="213">
        <f xml:space="preserve">
IF($A$4&lt;=12,SUMIFS('ON Data'!T:T,'ON Data'!$D:$D,$A$4,'ON Data'!$E:$E,9),SUMIFS('ON Data'!T:T,'ON Data'!$E:$E,9))</f>
        <v>0</v>
      </c>
      <c r="Q19" s="213">
        <f xml:space="preserve">
IF($A$4&lt;=12,SUMIFS('ON Data'!U:U,'ON Data'!$D:$D,$A$4,'ON Data'!$E:$E,9),SUMIFS('ON Data'!U:U,'ON Data'!$E:$E,9))</f>
        <v>0</v>
      </c>
      <c r="R19" s="213">
        <f xml:space="preserve">
IF($A$4&lt;=12,SUMIFS('ON Data'!V:V,'ON Data'!$D:$D,$A$4,'ON Data'!$E:$E,9),SUMIFS('ON Data'!V:V,'ON Data'!$E:$E,9))</f>
        <v>0</v>
      </c>
      <c r="S19" s="213">
        <f xml:space="preserve">
IF($A$4&lt;=12,SUMIFS('ON Data'!W:W,'ON Data'!$D:$D,$A$4,'ON Data'!$E:$E,9),SUMIFS('ON Data'!W:W,'ON Data'!$E:$E,9))</f>
        <v>0</v>
      </c>
      <c r="T19" s="213">
        <f xml:space="preserve">
IF($A$4&lt;=12,SUMIFS('ON Data'!X:X,'ON Data'!$D:$D,$A$4,'ON Data'!$E:$E,9),SUMIFS('ON Data'!X:X,'ON Data'!$E:$E,9))</f>
        <v>0</v>
      </c>
      <c r="U19" s="213">
        <f xml:space="preserve">
IF($A$4&lt;=12,SUMIFS('ON Data'!Y:Y,'ON Data'!$D:$D,$A$4,'ON Data'!$E:$E,9),SUMIFS('ON Data'!Y:Y,'ON Data'!$E:$E,9))</f>
        <v>0</v>
      </c>
      <c r="V19" s="213">
        <f xml:space="preserve">
IF($A$4&lt;=12,SUMIFS('ON Data'!Z:Z,'ON Data'!$D:$D,$A$4,'ON Data'!$E:$E,9),SUMIFS('ON Data'!Z:Z,'ON Data'!$E:$E,9))</f>
        <v>0</v>
      </c>
      <c r="W19" s="213">
        <f xml:space="preserve">
IF($A$4&lt;=12,SUMIFS('ON Data'!AA:AA,'ON Data'!$D:$D,$A$4,'ON Data'!$E:$E,9),SUMIFS('ON Data'!AA:AA,'ON Data'!$E:$E,9))</f>
        <v>0</v>
      </c>
      <c r="X19" s="213">
        <f xml:space="preserve">
IF($A$4&lt;=12,SUMIFS('ON Data'!AB:AB,'ON Data'!$D:$D,$A$4,'ON Data'!$E:$E,9),SUMIFS('ON Data'!AB:AB,'ON Data'!$E:$E,9))</f>
        <v>0</v>
      </c>
      <c r="Y19" s="213">
        <f xml:space="preserve">
IF($A$4&lt;=12,SUMIFS('ON Data'!AC:AC,'ON Data'!$D:$D,$A$4,'ON Data'!$E:$E,9),SUMIFS('ON Data'!AC:AC,'ON Data'!$E:$E,9))</f>
        <v>0</v>
      </c>
      <c r="Z19" s="213">
        <f xml:space="preserve">
IF($A$4&lt;=12,SUMIFS('ON Data'!AD:AD,'ON Data'!$D:$D,$A$4,'ON Data'!$E:$E,9),SUMIFS('ON Data'!AD:AD,'ON Data'!$E:$E,9))</f>
        <v>0</v>
      </c>
      <c r="AA19" s="213"/>
      <c r="AB19" s="213">
        <f xml:space="preserve">
IF($A$4&lt;=12,SUMIFS('ON Data'!AF:AF,'ON Data'!$D:$D,$A$4,'ON Data'!$E:$E,9),SUMIFS('ON Data'!AF:AF,'ON Data'!$E:$E,9))</f>
        <v>0</v>
      </c>
      <c r="AC19" s="213">
        <f xml:space="preserve">
IF($A$4&lt;=12,SUMIFS('ON Data'!AG:AG,'ON Data'!$D:$D,$A$4,'ON Data'!$E:$E,9),SUMIFS('ON Data'!AG:AG,'ON Data'!$E:$E,9))</f>
        <v>0</v>
      </c>
      <c r="AD19" s="213">
        <f xml:space="preserve">
IF($A$4&lt;=12,SUMIFS('ON Data'!AH:AH,'ON Data'!$D:$D,$A$4,'ON Data'!$E:$E,9),SUMIFS('ON Data'!AH:AH,'ON Data'!$E:$E,9))</f>
        <v>0</v>
      </c>
      <c r="AE19" s="213">
        <f xml:space="preserve">
IF($A$4&lt;=12,SUMIFS('ON Data'!AI:AI,'ON Data'!$D:$D,$A$4,'ON Data'!$E:$E,9),SUMIFS('ON Data'!AI:AI,'ON Data'!$E:$E,9))</f>
        <v>0</v>
      </c>
      <c r="AF19" s="213">
        <f xml:space="preserve">
IF($A$4&lt;=12,SUMIFS('ON Data'!AJ:AJ,'ON Data'!$D:$D,$A$4,'ON Data'!$E:$E,9),SUMIFS('ON Data'!AJ:AJ,'ON Data'!$E:$E,9))</f>
        <v>0</v>
      </c>
      <c r="AG19" s="213">
        <f xml:space="preserve">
IF($A$4&lt;=12,SUMIFS('ON Data'!AK:AK,'ON Data'!$D:$D,$A$4,'ON Data'!$E:$E,9),SUMIFS('ON Data'!AK:AK,'ON Data'!$E:$E,9))</f>
        <v>0</v>
      </c>
      <c r="AH19" s="213">
        <f xml:space="preserve">
IF($A$4&lt;=12,SUMIFS('ON Data'!AL:AL,'ON Data'!$D:$D,$A$4,'ON Data'!$E:$E,9),SUMIFS('ON Data'!AL:AL,'ON Data'!$E:$E,9))</f>
        <v>0</v>
      </c>
      <c r="AI19" s="213">
        <f xml:space="preserve">
IF($A$4&lt;=12,SUMIFS('ON Data'!AM:AM,'ON Data'!$D:$D,$A$4,'ON Data'!$E:$E,9),SUMIFS('ON Data'!AM:AM,'ON Data'!$E:$E,9))</f>
        <v>0</v>
      </c>
      <c r="AJ19" s="213">
        <f xml:space="preserve">
IF($A$4&lt;=12,SUMIFS('ON Data'!AN:AN,'ON Data'!$D:$D,$A$4,'ON Data'!$E:$E,9),SUMIFS('ON Data'!AN:AN,'ON Data'!$E:$E,9))</f>
        <v>0</v>
      </c>
      <c r="AK19" s="213">
        <f xml:space="preserve">
IF($A$4&lt;=12,SUMIFS('ON Data'!AO:AO,'ON Data'!$D:$D,$A$4,'ON Data'!$E:$E,9),SUMIFS('ON Data'!AO:AO,'ON Data'!$E:$E,9))</f>
        <v>0</v>
      </c>
      <c r="AL19" s="213">
        <f xml:space="preserve">
IF($A$4&lt;=12,SUMIFS('ON Data'!AP:AP,'ON Data'!$D:$D,$A$4,'ON Data'!$E:$E,9),SUMIFS('ON Data'!AP:AP,'ON Data'!$E:$E,9))</f>
        <v>0</v>
      </c>
      <c r="AM19" s="213">
        <f xml:space="preserve">
IF($A$4&lt;=12,SUMIFS('ON Data'!AQ:AQ,'ON Data'!$D:$D,$A$4,'ON Data'!$E:$E,9),SUMIFS('ON Data'!AQ:AQ,'ON Data'!$E:$E,9))</f>
        <v>0</v>
      </c>
      <c r="AN19" s="212">
        <f xml:space="preserve">
IF($A$4&lt;=12,SUMIFS('ON Data'!AR:AR,'ON Data'!$D:$D,$A$4,'ON Data'!$E:$E,9),SUMIFS('ON Data'!AR:AR,'ON Data'!$E:$E,9))</f>
        <v>0</v>
      </c>
      <c r="AO19" s="213">
        <f xml:space="preserve">
IF($A$4&lt;=12,SUMIFS('ON Data'!AS:AS,'ON Data'!$D:$D,$A$4,'ON Data'!$E:$E,9),SUMIFS('ON Data'!AS:AS,'ON Data'!$E:$E,9))</f>
        <v>0</v>
      </c>
      <c r="AP19" s="213">
        <f xml:space="preserve">
IF($A$4&lt;=12,SUMIFS('ON Data'!AT:AT,'ON Data'!$D:$D,$A$4,'ON Data'!$E:$E,9),SUMIFS('ON Data'!AT:AT,'ON Data'!$E:$E,9))</f>
        <v>0</v>
      </c>
      <c r="AQ19" s="213">
        <f xml:space="preserve">
IF($A$4&lt;=12,SUMIFS('ON Data'!AU:AU,'ON Data'!$D:$D,$A$4,'ON Data'!$E:$E,9),SUMIFS('ON Data'!AU:AU,'ON Data'!$E:$E,9))</f>
        <v>0</v>
      </c>
      <c r="AR19" s="213">
        <f xml:space="preserve">
IF($A$4&lt;=12,SUMIFS('ON Data'!AV:AV,'ON Data'!$D:$D,$A$4,'ON Data'!$E:$E,9),SUMIFS('ON Data'!AV:AV,'ON Data'!$E:$E,9))</f>
        <v>0</v>
      </c>
      <c r="AS19" s="424">
        <f xml:space="preserve">
IF($A$4&lt;=12,SUMIFS('ON Data'!AW:AW,'ON Data'!$D:$D,$A$4,'ON Data'!$E:$E,9),SUMIFS('ON Data'!AW:AW,'ON Data'!$E:$E,9))</f>
        <v>0</v>
      </c>
      <c r="AT19" s="430"/>
    </row>
    <row r="20" spans="1:46" ht="15" collapsed="1" thickBot="1" x14ac:dyDescent="0.35">
      <c r="A20" s="187" t="s">
        <v>55</v>
      </c>
      <c r="B20" s="214">
        <f xml:space="preserve">
IF($A$4&lt;=12,SUMIFS('ON Data'!F:F,'ON Data'!$D:$D,$A$4,'ON Data'!$E:$E,6),SUMIFS('ON Data'!F:F,'ON Data'!$E:$E,6))</f>
        <v>3361598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0</v>
      </c>
      <c r="E20" s="216"/>
      <c r="F20" s="216">
        <f xml:space="preserve">
IF($A$4&lt;=12,SUMIFS('ON Data'!J:J,'ON Data'!$D:$D,$A$4,'ON Data'!$E:$E,6),SUMIFS('ON Data'!J:J,'ON Data'!$E:$E,6))</f>
        <v>0</v>
      </c>
      <c r="G20" s="216">
        <f xml:space="preserve">
IF($A$4&lt;=12,SUMIFS('ON Data'!K:K,'ON Data'!$D:$D,$A$4,'ON Data'!$E:$E,6),SUMIFS('ON Data'!K:K,'ON Data'!$E:$E,6))</f>
        <v>0</v>
      </c>
      <c r="H20" s="216">
        <f xml:space="preserve">
IF($A$4&lt;=12,SUMIFS('ON Data'!L:L,'ON Data'!$D:$D,$A$4,'ON Data'!$E:$E,6),SUMIFS('ON Data'!L:L,'ON Data'!$E:$E,6))</f>
        <v>20654</v>
      </c>
      <c r="I20" s="216">
        <f xml:space="preserve">
IF($A$4&lt;=12,SUMIFS('ON Data'!M:M,'ON Data'!$D:$D,$A$4,'ON Data'!$E:$E,6),SUMIFS('ON Data'!M:M,'ON Data'!$E:$E,6))</f>
        <v>0</v>
      </c>
      <c r="J20" s="216">
        <f xml:space="preserve">
IF($A$4&lt;=12,SUMIFS('ON Data'!N:N,'ON Data'!$D:$D,$A$4,'ON Data'!$E:$E,6),SUMIFS('ON Data'!N:N,'ON Data'!$E:$E,6))</f>
        <v>0</v>
      </c>
      <c r="K20" s="216">
        <f xml:space="preserve">
IF($A$4&lt;=12,SUMIFS('ON Data'!O:O,'ON Data'!$D:$D,$A$4,'ON Data'!$E:$E,6),SUMIFS('ON Data'!O:O,'ON Data'!$E:$E,6))</f>
        <v>0</v>
      </c>
      <c r="L20" s="216">
        <f xml:space="preserve">
IF($A$4&lt;=12,SUMIFS('ON Data'!P:P,'ON Data'!$D:$D,$A$4,'ON Data'!$E:$E,6),SUMIFS('ON Data'!P:P,'ON Data'!$E:$E,6))</f>
        <v>110667</v>
      </c>
      <c r="M20" s="216">
        <f xml:space="preserve">
IF($A$4&lt;=12,SUMIFS('ON Data'!Q:Q,'ON Data'!$D:$D,$A$4,'ON Data'!$E:$E,6),SUMIFS('ON Data'!Q:Q,'ON Data'!$E:$E,6))</f>
        <v>1038524</v>
      </c>
      <c r="N20" s="216">
        <f xml:space="preserve">
IF($A$4&lt;=12,SUMIFS('ON Data'!R:R,'ON Data'!$D:$D,$A$4,'ON Data'!$E:$E,6),SUMIFS('ON Data'!R:R,'ON Data'!$E:$E,6))</f>
        <v>1205226</v>
      </c>
      <c r="O20" s="216">
        <f xml:space="preserve">
IF($A$4&lt;=12,SUMIFS('ON Data'!S:S,'ON Data'!$D:$D,$A$4,'ON Data'!$E:$E,6),SUMIFS('ON Data'!S:S,'ON Data'!$E:$E,6))</f>
        <v>282840</v>
      </c>
      <c r="P20" s="216">
        <f xml:space="preserve">
IF($A$4&lt;=12,SUMIFS('ON Data'!T:T,'ON Data'!$D:$D,$A$4,'ON Data'!$E:$E,6),SUMIFS('ON Data'!T:T,'ON Data'!$E:$E,6))</f>
        <v>0</v>
      </c>
      <c r="Q20" s="216">
        <f xml:space="preserve">
IF($A$4&lt;=12,SUMIFS('ON Data'!U:U,'ON Data'!$D:$D,$A$4,'ON Data'!$E:$E,6),SUMIFS('ON Data'!U:U,'ON Data'!$E:$E,6))</f>
        <v>0</v>
      </c>
      <c r="R20" s="216">
        <f xml:space="preserve">
IF($A$4&lt;=12,SUMIFS('ON Data'!V:V,'ON Data'!$D:$D,$A$4,'ON Data'!$E:$E,6),SUMIFS('ON Data'!V:V,'ON Data'!$E:$E,6))</f>
        <v>0</v>
      </c>
      <c r="S20" s="216">
        <f xml:space="preserve">
IF($A$4&lt;=12,SUMIFS('ON Data'!W:W,'ON Data'!$D:$D,$A$4,'ON Data'!$E:$E,6),SUMIFS('ON Data'!W:W,'ON Data'!$E:$E,6))</f>
        <v>0</v>
      </c>
      <c r="T20" s="216">
        <f xml:space="preserve">
IF($A$4&lt;=12,SUMIFS('ON Data'!X:X,'ON Data'!$D:$D,$A$4,'ON Data'!$E:$E,6),SUMIFS('ON Data'!X:X,'ON Data'!$E:$E,6))</f>
        <v>0</v>
      </c>
      <c r="U20" s="216">
        <f xml:space="preserve">
IF($A$4&lt;=12,SUMIFS('ON Data'!Y:Y,'ON Data'!$D:$D,$A$4,'ON Data'!$E:$E,6),SUMIFS('ON Data'!Y:Y,'ON Data'!$E:$E,6))</f>
        <v>0</v>
      </c>
      <c r="V20" s="216">
        <f xml:space="preserve">
IF($A$4&lt;=12,SUMIFS('ON Data'!Z:Z,'ON Data'!$D:$D,$A$4,'ON Data'!$E:$E,6),SUMIFS('ON Data'!Z:Z,'ON Data'!$E:$E,6))</f>
        <v>0</v>
      </c>
      <c r="W20" s="216">
        <f xml:space="preserve">
IF($A$4&lt;=12,SUMIFS('ON Data'!AA:AA,'ON Data'!$D:$D,$A$4,'ON Data'!$E:$E,6),SUMIFS('ON Data'!AA:AA,'ON Data'!$E:$E,6))</f>
        <v>0</v>
      </c>
      <c r="X20" s="216">
        <f xml:space="preserve">
IF($A$4&lt;=12,SUMIFS('ON Data'!AB:AB,'ON Data'!$D:$D,$A$4,'ON Data'!$E:$E,6),SUMIFS('ON Data'!AB:AB,'ON Data'!$E:$E,6))</f>
        <v>0</v>
      </c>
      <c r="Y20" s="216">
        <f xml:space="preserve">
IF($A$4&lt;=12,SUMIFS('ON Data'!AC:AC,'ON Data'!$D:$D,$A$4,'ON Data'!$E:$E,6),SUMIFS('ON Data'!AC:AC,'ON Data'!$E:$E,6))</f>
        <v>0</v>
      </c>
      <c r="Z20" s="216">
        <f xml:space="preserve">
IF($A$4&lt;=12,SUMIFS('ON Data'!AD:AD,'ON Data'!$D:$D,$A$4,'ON Data'!$E:$E,6),SUMIFS('ON Data'!AD:AD,'ON Data'!$E:$E,6))</f>
        <v>0</v>
      </c>
      <c r="AA20" s="216"/>
      <c r="AB20" s="216">
        <f xml:space="preserve">
IF($A$4&lt;=12,SUMIFS('ON Data'!AF:AF,'ON Data'!$D:$D,$A$4,'ON Data'!$E:$E,6),SUMIFS('ON Data'!AF:AF,'ON Data'!$E:$E,6))</f>
        <v>0</v>
      </c>
      <c r="AC20" s="216">
        <f xml:space="preserve">
IF($A$4&lt;=12,SUMIFS('ON Data'!AG:AG,'ON Data'!$D:$D,$A$4,'ON Data'!$E:$E,6),SUMIFS('ON Data'!AG:AG,'ON Data'!$E:$E,6))</f>
        <v>0</v>
      </c>
      <c r="AD20" s="216">
        <f xml:space="preserve">
IF($A$4&lt;=12,SUMIFS('ON Data'!AH:AH,'ON Data'!$D:$D,$A$4,'ON Data'!$E:$E,6),SUMIFS('ON Data'!AH:AH,'ON Data'!$E:$E,6))</f>
        <v>0</v>
      </c>
      <c r="AE20" s="216">
        <f xml:space="preserve">
IF($A$4&lt;=12,SUMIFS('ON Data'!AI:AI,'ON Data'!$D:$D,$A$4,'ON Data'!$E:$E,6),SUMIFS('ON Data'!AI:AI,'ON Data'!$E:$E,6))</f>
        <v>0</v>
      </c>
      <c r="AF20" s="216">
        <f xml:space="preserve">
IF($A$4&lt;=12,SUMIFS('ON Data'!AJ:AJ,'ON Data'!$D:$D,$A$4,'ON Data'!$E:$E,6),SUMIFS('ON Data'!AJ:AJ,'ON Data'!$E:$E,6))</f>
        <v>0</v>
      </c>
      <c r="AG20" s="216">
        <f xml:space="preserve">
IF($A$4&lt;=12,SUMIFS('ON Data'!AK:AK,'ON Data'!$D:$D,$A$4,'ON Data'!$E:$E,6),SUMIFS('ON Data'!AK:AK,'ON Data'!$E:$E,6))</f>
        <v>0</v>
      </c>
      <c r="AH20" s="216">
        <f xml:space="preserve">
IF($A$4&lt;=12,SUMIFS('ON Data'!AL:AL,'ON Data'!$D:$D,$A$4,'ON Data'!$E:$E,6),SUMIFS('ON Data'!AL:AL,'ON Data'!$E:$E,6))</f>
        <v>0</v>
      </c>
      <c r="AI20" s="216">
        <f xml:space="preserve">
IF($A$4&lt;=12,SUMIFS('ON Data'!AM:AM,'ON Data'!$D:$D,$A$4,'ON Data'!$E:$E,6),SUMIFS('ON Data'!AM:AM,'ON Data'!$E:$E,6))</f>
        <v>0</v>
      </c>
      <c r="AJ20" s="216">
        <f xml:space="preserve">
IF($A$4&lt;=12,SUMIFS('ON Data'!AN:AN,'ON Data'!$D:$D,$A$4,'ON Data'!$E:$E,6),SUMIFS('ON Data'!AN:AN,'ON Data'!$E:$E,6))</f>
        <v>0</v>
      </c>
      <c r="AK20" s="216">
        <f xml:space="preserve">
IF($A$4&lt;=12,SUMIFS('ON Data'!AO:AO,'ON Data'!$D:$D,$A$4,'ON Data'!$E:$E,6),SUMIFS('ON Data'!AO:AO,'ON Data'!$E:$E,6))</f>
        <v>0</v>
      </c>
      <c r="AL20" s="216">
        <f xml:space="preserve">
IF($A$4&lt;=12,SUMIFS('ON Data'!AP:AP,'ON Data'!$D:$D,$A$4,'ON Data'!$E:$E,6),SUMIFS('ON Data'!AP:AP,'ON Data'!$E:$E,6))</f>
        <v>0</v>
      </c>
      <c r="AM20" s="216">
        <f xml:space="preserve">
IF($A$4&lt;=12,SUMIFS('ON Data'!AQ:AQ,'ON Data'!$D:$D,$A$4,'ON Data'!$E:$E,6),SUMIFS('ON Data'!AQ:AQ,'ON Data'!$E:$E,6))</f>
        <v>0</v>
      </c>
      <c r="AN20" s="215">
        <f xml:space="preserve">
IF($A$4&lt;=12,SUMIFS('ON Data'!AR:AR,'ON Data'!$D:$D,$A$4,'ON Data'!$E:$E,6),SUMIFS('ON Data'!AR:AR,'ON Data'!$E:$E,6))</f>
        <v>0</v>
      </c>
      <c r="AO20" s="216">
        <f xml:space="preserve">
IF($A$4&lt;=12,SUMIFS('ON Data'!AS:AS,'ON Data'!$D:$D,$A$4,'ON Data'!$E:$E,6),SUMIFS('ON Data'!AS:AS,'ON Data'!$E:$E,6))</f>
        <v>0</v>
      </c>
      <c r="AP20" s="216">
        <f xml:space="preserve">
IF($A$4&lt;=12,SUMIFS('ON Data'!AT:AT,'ON Data'!$D:$D,$A$4,'ON Data'!$E:$E,6),SUMIFS('ON Data'!AT:AT,'ON Data'!$E:$E,6))</f>
        <v>703687</v>
      </c>
      <c r="AQ20" s="216">
        <f xml:space="preserve">
IF($A$4&lt;=12,SUMIFS('ON Data'!AU:AU,'ON Data'!$D:$D,$A$4,'ON Data'!$E:$E,6),SUMIFS('ON Data'!AU:AU,'ON Data'!$E:$E,6))</f>
        <v>0</v>
      </c>
      <c r="AR20" s="216">
        <f xml:space="preserve">
IF($A$4&lt;=12,SUMIFS('ON Data'!AV:AV,'ON Data'!$D:$D,$A$4,'ON Data'!$E:$E,6),SUMIFS('ON Data'!AV:AV,'ON Data'!$E:$E,6))</f>
        <v>0</v>
      </c>
      <c r="AS20" s="425">
        <f xml:space="preserve">
IF($A$4&lt;=12,SUMIFS('ON Data'!AW:AW,'ON Data'!$D:$D,$A$4,'ON Data'!$E:$E,6),SUMIFS('ON Data'!AW:AW,'ON Data'!$E:$E,6))</f>
        <v>0</v>
      </c>
      <c r="AT20" s="430"/>
    </row>
    <row r="21" spans="1:46" ht="15" hidden="1" outlineLevel="1" thickBot="1" x14ac:dyDescent="0.35">
      <c r="A21" s="180" t="s">
        <v>62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Data'!H:H,'ON Data'!$D:$D,$A$4,'ON Data'!$E:$E,12),SUMIFS('ON Data'!H:H,'ON Data'!$E:$E,12))</f>
        <v>0</v>
      </c>
      <c r="E21" s="202"/>
      <c r="F21" s="202">
        <f xml:space="preserve">
IF($A$4&lt;=12,SUMIFS('ON Data'!J:J,'ON Data'!$D:$D,$A$4,'ON Data'!$E:$E,12),SUMIFS('ON Data'!J:J,'ON Data'!$E:$E,12))</f>
        <v>0</v>
      </c>
      <c r="G21" s="202">
        <f xml:space="preserve">
IF($A$4&lt;=12,SUMIFS('ON Data'!K:K,'ON Data'!$D:$D,$A$4,'ON Data'!$E:$E,12),SUMIFS('ON Data'!K:K,'ON Data'!$E:$E,12))</f>
        <v>0</v>
      </c>
      <c r="H21" s="202">
        <f xml:space="preserve">
IF($A$4&lt;=12,SUMIFS('ON Data'!L:L,'ON Data'!$D:$D,$A$4,'ON Data'!$E:$E,12),SUMIFS('ON Data'!L:L,'ON Data'!$E:$E,12))</f>
        <v>0</v>
      </c>
      <c r="I21" s="202">
        <f xml:space="preserve">
IF($A$4&lt;=12,SUMIFS('ON Data'!M:M,'ON Data'!$D:$D,$A$4,'ON Data'!$E:$E,12),SUMIFS('ON Data'!M:M,'ON Data'!$E:$E,12))</f>
        <v>0</v>
      </c>
      <c r="J21" s="202">
        <f xml:space="preserve">
IF($A$4&lt;=12,SUMIFS('ON Data'!N:N,'ON Data'!$D:$D,$A$4,'ON Data'!$E:$E,12),SUMIFS('ON Data'!N:N,'ON Data'!$E:$E,12))</f>
        <v>0</v>
      </c>
      <c r="K21" s="202">
        <f xml:space="preserve">
IF($A$4&lt;=12,SUMIFS('ON Data'!O:O,'ON Data'!$D:$D,$A$4,'ON Data'!$E:$E,12),SUMIFS('ON Data'!O:O,'ON Data'!$E:$E,12))</f>
        <v>0</v>
      </c>
      <c r="L21" s="202">
        <f xml:space="preserve">
IF($A$4&lt;=12,SUMIFS('ON Data'!P:P,'ON Data'!$D:$D,$A$4,'ON Data'!$E:$E,12),SUMIFS('ON Data'!P:P,'ON Data'!$E:$E,12))</f>
        <v>0</v>
      </c>
      <c r="M21" s="202">
        <f xml:space="preserve">
IF($A$4&lt;=12,SUMIFS('ON Data'!Q:Q,'ON Data'!$D:$D,$A$4,'ON Data'!$E:$E,12),SUMIFS('ON Data'!Q:Q,'ON Data'!$E:$E,12))</f>
        <v>0</v>
      </c>
      <c r="N21" s="202">
        <f xml:space="preserve">
IF($A$4&lt;=12,SUMIFS('ON Data'!R:R,'ON Data'!$D:$D,$A$4,'ON Data'!$E:$E,12),SUMIFS('ON Data'!R:R,'ON Data'!$E:$E,12))</f>
        <v>0</v>
      </c>
      <c r="O21" s="202">
        <f xml:space="preserve">
IF($A$4&lt;=12,SUMIFS('ON Data'!S:S,'ON Data'!$D:$D,$A$4,'ON Data'!$E:$E,12),SUMIFS('ON Data'!S:S,'ON Data'!$E:$E,12))</f>
        <v>0</v>
      </c>
      <c r="P21" s="202">
        <f xml:space="preserve">
IF($A$4&lt;=12,SUMIFS('ON Data'!T:T,'ON Data'!$D:$D,$A$4,'ON Data'!$E:$E,12),SUMIFS('ON Data'!T:T,'ON Data'!$E:$E,12))</f>
        <v>0</v>
      </c>
      <c r="Q21" s="202">
        <f xml:space="preserve">
IF($A$4&lt;=12,SUMIFS('ON Data'!U:U,'ON Data'!$D:$D,$A$4,'ON Data'!$E:$E,12),SUMIFS('ON Data'!U:U,'ON Data'!$E:$E,12))</f>
        <v>0</v>
      </c>
      <c r="R21" s="202">
        <f xml:space="preserve">
IF($A$4&lt;=12,SUMIFS('ON Data'!V:V,'ON Data'!$D:$D,$A$4,'ON Data'!$E:$E,12),SUMIFS('ON Data'!V:V,'ON Data'!$E:$E,12))</f>
        <v>0</v>
      </c>
      <c r="S21" s="202">
        <f xml:space="preserve">
IF($A$4&lt;=12,SUMIFS('ON Data'!W:W,'ON Data'!$D:$D,$A$4,'ON Data'!$E:$E,12),SUMIFS('ON Data'!W:W,'ON Data'!$E:$E,12))</f>
        <v>0</v>
      </c>
      <c r="T21" s="202">
        <f xml:space="preserve">
IF($A$4&lt;=12,SUMIFS('ON Data'!X:X,'ON Data'!$D:$D,$A$4,'ON Data'!$E:$E,12),SUMIFS('ON Data'!X:X,'ON Data'!$E:$E,12))</f>
        <v>0</v>
      </c>
      <c r="U21" s="202">
        <f xml:space="preserve">
IF($A$4&lt;=12,SUMIFS('ON Data'!Y:Y,'ON Data'!$D:$D,$A$4,'ON Data'!$E:$E,12),SUMIFS('ON Data'!Y:Y,'ON Data'!$E:$E,12))</f>
        <v>0</v>
      </c>
      <c r="V21" s="202">
        <f xml:space="preserve">
IF($A$4&lt;=12,SUMIFS('ON Data'!Z:Z,'ON Data'!$D:$D,$A$4,'ON Data'!$E:$E,12),SUMIFS('ON Data'!Z:Z,'ON Data'!$E:$E,12))</f>
        <v>0</v>
      </c>
      <c r="W21" s="202">
        <f xml:space="preserve">
IF($A$4&lt;=12,SUMIFS('ON Data'!AA:AA,'ON Data'!$D:$D,$A$4,'ON Data'!$E:$E,12),SUMIFS('ON Data'!AA:AA,'ON Data'!$E:$E,12))</f>
        <v>0</v>
      </c>
      <c r="X21" s="202">
        <f xml:space="preserve">
IF($A$4&lt;=12,SUMIFS('ON Data'!AB:AB,'ON Data'!$D:$D,$A$4,'ON Data'!$E:$E,12),SUMIFS('ON Data'!AB:AB,'ON Data'!$E:$E,12))</f>
        <v>0</v>
      </c>
      <c r="Y21" s="202">
        <f xml:space="preserve">
IF($A$4&lt;=12,SUMIFS('ON Data'!AC:AC,'ON Data'!$D:$D,$A$4,'ON Data'!$E:$E,12),SUMIFS('ON Data'!AC:AC,'ON Data'!$E:$E,12))</f>
        <v>0</v>
      </c>
      <c r="Z21" s="202">
        <f xml:space="preserve">
IF($A$4&lt;=12,SUMIFS('ON Data'!AD:AD,'ON Data'!$D:$D,$A$4,'ON Data'!$E:$E,12),SUMIFS('ON Data'!AD:AD,'ON Data'!$E:$E,12))</f>
        <v>0</v>
      </c>
      <c r="AA21" s="202"/>
      <c r="AB21" s="202">
        <f xml:space="preserve">
IF($A$4&lt;=12,SUMIFS('ON Data'!AF:AF,'ON Data'!$D:$D,$A$4,'ON Data'!$E:$E,12),SUMIFS('ON Data'!AF:AF,'ON Data'!$E:$E,12))</f>
        <v>0</v>
      </c>
      <c r="AC21" s="202">
        <f xml:space="preserve">
IF($A$4&lt;=12,SUMIFS('ON Data'!AG:AG,'ON Data'!$D:$D,$A$4,'ON Data'!$E:$E,12),SUMIFS('ON Data'!AG:AG,'ON Data'!$E:$E,12))</f>
        <v>0</v>
      </c>
      <c r="AD21" s="202">
        <f xml:space="preserve">
IF($A$4&lt;=12,SUMIFS('ON Data'!AH:AH,'ON Data'!$D:$D,$A$4,'ON Data'!$E:$E,12),SUMIFS('ON Data'!AH:AH,'ON Data'!$E:$E,12))</f>
        <v>0</v>
      </c>
      <c r="AE21" s="202">
        <f xml:space="preserve">
IF($A$4&lt;=12,SUMIFS('ON Data'!AI:AI,'ON Data'!$D:$D,$A$4,'ON Data'!$E:$E,12),SUMIFS('ON Data'!AI:AI,'ON Data'!$E:$E,12))</f>
        <v>0</v>
      </c>
      <c r="AF21" s="202">
        <f xml:space="preserve">
IF($A$4&lt;=12,SUMIFS('ON Data'!AJ:AJ,'ON Data'!$D:$D,$A$4,'ON Data'!$E:$E,12),SUMIFS('ON Data'!AJ:AJ,'ON Data'!$E:$E,12))</f>
        <v>0</v>
      </c>
      <c r="AG21" s="202">
        <f xml:space="preserve">
IF($A$4&lt;=12,SUMIFS('ON Data'!AK:AK,'ON Data'!$D:$D,$A$4,'ON Data'!$E:$E,12),SUMIFS('ON Data'!AK:AK,'ON Data'!$E:$E,12))</f>
        <v>0</v>
      </c>
      <c r="AH21" s="202">
        <f xml:space="preserve">
IF($A$4&lt;=12,SUMIFS('ON Data'!AL:AL,'ON Data'!$D:$D,$A$4,'ON Data'!$E:$E,12),SUMIFS('ON Data'!AL:AL,'ON Data'!$E:$E,12))</f>
        <v>0</v>
      </c>
      <c r="AI21" s="202">
        <f xml:space="preserve">
IF($A$4&lt;=12,SUMIFS('ON Data'!AM:AM,'ON Data'!$D:$D,$A$4,'ON Data'!$E:$E,12),SUMIFS('ON Data'!AM:AM,'ON Data'!$E:$E,12))</f>
        <v>0</v>
      </c>
      <c r="AJ21" s="202">
        <f xml:space="preserve">
IF($A$4&lt;=12,SUMIFS('ON Data'!AN:AN,'ON Data'!$D:$D,$A$4,'ON Data'!$E:$E,12),SUMIFS('ON Data'!AN:AN,'ON Data'!$E:$E,12))</f>
        <v>0</v>
      </c>
      <c r="AK21" s="202">
        <f xml:space="preserve">
IF($A$4&lt;=12,SUMIFS('ON Data'!AO:AO,'ON Data'!$D:$D,$A$4,'ON Data'!$E:$E,12),SUMIFS('ON Data'!AO:AO,'ON Data'!$E:$E,12))</f>
        <v>0</v>
      </c>
      <c r="AL21" s="202">
        <f xml:space="preserve">
IF($A$4&lt;=12,SUMIFS('ON Data'!AP:AP,'ON Data'!$D:$D,$A$4,'ON Data'!$E:$E,12),SUMIFS('ON Data'!AP:AP,'ON Data'!$E:$E,12))</f>
        <v>0</v>
      </c>
      <c r="AM21" s="203">
        <f xml:space="preserve">
IF($A$4&lt;=12,SUMIFS('ON Data'!AQ:AQ,'ON Data'!$D:$D,$A$4,'ON Data'!$E:$E,12),SUMIFS('ON Data'!AQ:AQ,'ON Data'!$E:$E,12))</f>
        <v>0</v>
      </c>
      <c r="AN21" s="267"/>
      <c r="AO21" s="267"/>
      <c r="AP21" s="267"/>
      <c r="AQ21" s="267"/>
      <c r="AR21" s="267"/>
      <c r="AS21" s="267"/>
      <c r="AT21" s="430"/>
    </row>
    <row r="22" spans="1:46" ht="15" hidden="1" outlineLevel="1" thickBot="1" x14ac:dyDescent="0.35">
      <c r="A22" s="180" t="s">
        <v>57</v>
      </c>
      <c r="B22" s="254" t="str">
        <f xml:space="preserve">
IF(OR(B21="",B21=0),"",B20/B21)</f>
        <v/>
      </c>
      <c r="C22" s="255" t="str">
        <f t="shared" ref="C22:I22" si="3" xml:space="preserve">
IF(OR(C21="",C21=0),"",C20/C21)</f>
        <v/>
      </c>
      <c r="D22" s="256" t="str">
        <f t="shared" si="3"/>
        <v/>
      </c>
      <c r="E22" s="256"/>
      <c r="F22" s="256" t="str">
        <f t="shared" si="3"/>
        <v/>
      </c>
      <c r="G22" s="256" t="str">
        <f t="shared" si="3"/>
        <v/>
      </c>
      <c r="H22" s="256" t="str">
        <f t="shared" si="3"/>
        <v/>
      </c>
      <c r="I22" s="256" t="str">
        <f t="shared" si="3"/>
        <v/>
      </c>
      <c r="J22" s="256" t="str">
        <f t="shared" ref="J22:AM22" si="4" xml:space="preserve">
IF(OR(J21="",J21=0),"",J20/J21)</f>
        <v/>
      </c>
      <c r="K22" s="256" t="str">
        <f t="shared" si="4"/>
        <v/>
      </c>
      <c r="L22" s="256" t="str">
        <f t="shared" si="4"/>
        <v/>
      </c>
      <c r="M22" s="256" t="str">
        <f t="shared" si="4"/>
        <v/>
      </c>
      <c r="N22" s="256" t="str">
        <f t="shared" si="4"/>
        <v/>
      </c>
      <c r="O22" s="256" t="str">
        <f t="shared" si="4"/>
        <v/>
      </c>
      <c r="P22" s="256" t="str">
        <f t="shared" si="4"/>
        <v/>
      </c>
      <c r="Q22" s="256" t="str">
        <f t="shared" si="4"/>
        <v/>
      </c>
      <c r="R22" s="256" t="str">
        <f t="shared" si="4"/>
        <v/>
      </c>
      <c r="S22" s="256" t="str">
        <f t="shared" si="4"/>
        <v/>
      </c>
      <c r="T22" s="256" t="str">
        <f t="shared" si="4"/>
        <v/>
      </c>
      <c r="U22" s="256" t="str">
        <f t="shared" si="4"/>
        <v/>
      </c>
      <c r="V22" s="256" t="str">
        <f t="shared" si="4"/>
        <v/>
      </c>
      <c r="W22" s="256" t="str">
        <f t="shared" si="4"/>
        <v/>
      </c>
      <c r="X22" s="256" t="str">
        <f t="shared" si="4"/>
        <v/>
      </c>
      <c r="Y22" s="256" t="str">
        <f t="shared" si="4"/>
        <v/>
      </c>
      <c r="Z22" s="256" t="str">
        <f t="shared" si="4"/>
        <v/>
      </c>
      <c r="AA22" s="256"/>
      <c r="AB22" s="256" t="str">
        <f t="shared" si="4"/>
        <v/>
      </c>
      <c r="AC22" s="256" t="str">
        <f t="shared" si="4"/>
        <v/>
      </c>
      <c r="AD22" s="256" t="str">
        <f t="shared" si="4"/>
        <v/>
      </c>
      <c r="AE22" s="256" t="str">
        <f t="shared" si="4"/>
        <v/>
      </c>
      <c r="AF22" s="256" t="str">
        <f t="shared" si="4"/>
        <v/>
      </c>
      <c r="AG22" s="256" t="str">
        <f t="shared" si="4"/>
        <v/>
      </c>
      <c r="AH22" s="256" t="str">
        <f t="shared" si="4"/>
        <v/>
      </c>
      <c r="AI22" s="256" t="str">
        <f t="shared" si="4"/>
        <v/>
      </c>
      <c r="AJ22" s="256" t="str">
        <f t="shared" si="4"/>
        <v/>
      </c>
      <c r="AK22" s="256" t="str">
        <f t="shared" si="4"/>
        <v/>
      </c>
      <c r="AL22" s="256" t="str">
        <f t="shared" si="4"/>
        <v/>
      </c>
      <c r="AM22" s="257" t="str">
        <f t="shared" si="4"/>
        <v/>
      </c>
      <c r="AN22" s="267"/>
      <c r="AO22" s="267"/>
      <c r="AP22" s="267"/>
      <c r="AQ22" s="267"/>
      <c r="AR22" s="267"/>
      <c r="AS22" s="267"/>
      <c r="AT22" s="430"/>
    </row>
    <row r="23" spans="1:46" ht="15" hidden="1" outlineLevel="1" thickBot="1" x14ac:dyDescent="0.35">
      <c r="A23" s="188" t="s">
        <v>52</v>
      </c>
      <c r="B23" s="204">
        <f xml:space="preserve">
IF(B21="","",B20-B21)</f>
        <v>3361598</v>
      </c>
      <c r="C23" s="205">
        <f t="shared" ref="C23:I23" si="5" xml:space="preserve">
IF(C21="","",C20-C21)</f>
        <v>0</v>
      </c>
      <c r="D23" s="206">
        <f t="shared" si="5"/>
        <v>0</v>
      </c>
      <c r="E23" s="206"/>
      <c r="F23" s="206">
        <f t="shared" si="5"/>
        <v>0</v>
      </c>
      <c r="G23" s="206">
        <f t="shared" si="5"/>
        <v>0</v>
      </c>
      <c r="H23" s="206">
        <f t="shared" si="5"/>
        <v>20654</v>
      </c>
      <c r="I23" s="206">
        <f t="shared" si="5"/>
        <v>0</v>
      </c>
      <c r="J23" s="206">
        <f t="shared" ref="J23:AM23" si="6" xml:space="preserve">
IF(J21="","",J20-J21)</f>
        <v>0</v>
      </c>
      <c r="K23" s="206">
        <f t="shared" si="6"/>
        <v>0</v>
      </c>
      <c r="L23" s="206">
        <f t="shared" si="6"/>
        <v>110667</v>
      </c>
      <c r="M23" s="206">
        <f t="shared" si="6"/>
        <v>1038524</v>
      </c>
      <c r="N23" s="206">
        <f t="shared" si="6"/>
        <v>1205226</v>
      </c>
      <c r="O23" s="206">
        <f t="shared" si="6"/>
        <v>282840</v>
      </c>
      <c r="P23" s="206">
        <f t="shared" si="6"/>
        <v>0</v>
      </c>
      <c r="Q23" s="206">
        <f t="shared" si="6"/>
        <v>0</v>
      </c>
      <c r="R23" s="206">
        <f t="shared" si="6"/>
        <v>0</v>
      </c>
      <c r="S23" s="206">
        <f t="shared" si="6"/>
        <v>0</v>
      </c>
      <c r="T23" s="206">
        <f t="shared" si="6"/>
        <v>0</v>
      </c>
      <c r="U23" s="206">
        <f t="shared" si="6"/>
        <v>0</v>
      </c>
      <c r="V23" s="206">
        <f t="shared" si="6"/>
        <v>0</v>
      </c>
      <c r="W23" s="206">
        <f t="shared" si="6"/>
        <v>0</v>
      </c>
      <c r="X23" s="206">
        <f t="shared" si="6"/>
        <v>0</v>
      </c>
      <c r="Y23" s="206">
        <f t="shared" si="6"/>
        <v>0</v>
      </c>
      <c r="Z23" s="206">
        <f t="shared" si="6"/>
        <v>0</v>
      </c>
      <c r="AA23" s="206"/>
      <c r="AB23" s="206">
        <f t="shared" si="6"/>
        <v>0</v>
      </c>
      <c r="AC23" s="206">
        <f t="shared" si="6"/>
        <v>0</v>
      </c>
      <c r="AD23" s="206">
        <f t="shared" si="6"/>
        <v>0</v>
      </c>
      <c r="AE23" s="206">
        <f t="shared" si="6"/>
        <v>0</v>
      </c>
      <c r="AF23" s="206">
        <f t="shared" si="6"/>
        <v>0</v>
      </c>
      <c r="AG23" s="206">
        <f t="shared" si="6"/>
        <v>0</v>
      </c>
      <c r="AH23" s="206">
        <f t="shared" si="6"/>
        <v>0</v>
      </c>
      <c r="AI23" s="206">
        <f t="shared" si="6"/>
        <v>0</v>
      </c>
      <c r="AJ23" s="206">
        <f t="shared" si="6"/>
        <v>0</v>
      </c>
      <c r="AK23" s="206">
        <f t="shared" si="6"/>
        <v>0</v>
      </c>
      <c r="AL23" s="206">
        <f t="shared" si="6"/>
        <v>0</v>
      </c>
      <c r="AM23" s="207">
        <f t="shared" si="6"/>
        <v>0</v>
      </c>
      <c r="AN23" s="267"/>
      <c r="AO23" s="267"/>
      <c r="AP23" s="267"/>
      <c r="AQ23" s="267"/>
      <c r="AR23" s="267"/>
      <c r="AS23" s="267"/>
      <c r="AT23" s="430"/>
    </row>
    <row r="24" spans="1:46" x14ac:dyDescent="0.3">
      <c r="A24" s="182" t="s">
        <v>123</v>
      </c>
      <c r="B24" s="231" t="s">
        <v>2</v>
      </c>
      <c r="C24" s="431" t="s">
        <v>135</v>
      </c>
      <c r="D24" s="402"/>
      <c r="E24" s="403"/>
      <c r="F24" s="404" t="s">
        <v>215</v>
      </c>
      <c r="G24" s="405"/>
      <c r="H24" s="405"/>
      <c r="I24" s="405"/>
      <c r="J24" s="405"/>
      <c r="K24" s="405"/>
      <c r="L24" s="404" t="s">
        <v>134</v>
      </c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4" t="s">
        <v>216</v>
      </c>
      <c r="AR24" s="403"/>
      <c r="AS24" s="426"/>
      <c r="AT24" s="430"/>
    </row>
    <row r="25" spans="1:46" x14ac:dyDescent="0.3">
      <c r="A25" s="183" t="s">
        <v>55</v>
      </c>
      <c r="B25" s="200">
        <f xml:space="preserve">
SUM(C25:AS25)</f>
        <v>0</v>
      </c>
      <c r="C25" s="432">
        <f xml:space="preserve">
IF($A$4&lt;=12,SUMIFS('ON Data'!$I:$I,'ON Data'!$D:$D,$A$4,'ON Data'!$E:$E,10),SUMIFS('ON Data'!$I:$I,'ON Data'!$E:$E,10))</f>
        <v>0</v>
      </c>
      <c r="D25" s="406"/>
      <c r="E25" s="407"/>
      <c r="F25" s="408">
        <f xml:space="preserve">
IF($A$4&lt;=12,SUMIFS('ON Data'!K:K,'ON Data'!$D:$D,$A$4,'ON Data'!$E:$E,10),SUMIFS('ON Data'!K:K,'ON Data'!$E:$E,10))</f>
        <v>0</v>
      </c>
      <c r="G25" s="407"/>
      <c r="H25" s="407"/>
      <c r="I25" s="407"/>
      <c r="J25" s="407"/>
      <c r="K25" s="407"/>
      <c r="L25" s="408">
        <f xml:space="preserve">
IF($A$4&lt;=12,SUMIFS('ON Data'!P:P,'ON Data'!$D:$D,$A$4,'ON Data'!$E:$E,10),SUMIFS('ON Data'!P:P,'ON Data'!$E:$E,10))</f>
        <v>0</v>
      </c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  <c r="AP25" s="407"/>
      <c r="AQ25" s="408">
        <f xml:space="preserve">
IF($A$4&lt;=12,SUMIFS('ON Data'!AW:AW,'ON Data'!$D:$D,$A$4,'ON Data'!$E:$E,10),SUMIFS('ON Data'!AW:AW,'ON Data'!$E:$E,10))</f>
        <v>0</v>
      </c>
      <c r="AR25" s="407"/>
      <c r="AS25" s="427"/>
      <c r="AT25" s="430"/>
    </row>
    <row r="26" spans="1:46" x14ac:dyDescent="0.3">
      <c r="A26" s="189" t="s">
        <v>133</v>
      </c>
      <c r="B26" s="211">
        <f xml:space="preserve">
SUM(C26:AS26)</f>
        <v>11714.447963416036</v>
      </c>
      <c r="C26" s="432">
        <f xml:space="preserve">
IF($A$4&lt;=12,SUMIFS('ON Data'!$I:$I,'ON Data'!$D:$D,$A$4,'ON Data'!$E:$E,11),SUMIFS('ON Data'!$I:$I,'ON Data'!$E:$E,11))</f>
        <v>0</v>
      </c>
      <c r="D26" s="406"/>
      <c r="E26" s="407"/>
      <c r="F26" s="408">
        <f xml:space="preserve">
IF($A$4&lt;=12,SUMIFS('ON Data'!K:K,'ON Data'!$D:$D,$A$4,'ON Data'!$E:$E,11),SUMIFS('ON Data'!K:K,'ON Data'!$E:$E,11))</f>
        <v>47.781296749370831</v>
      </c>
      <c r="G26" s="407"/>
      <c r="H26" s="407"/>
      <c r="I26" s="407"/>
      <c r="J26" s="407"/>
      <c r="K26" s="407"/>
      <c r="L26" s="409">
        <f xml:space="preserve">
IF($A$4&lt;=12,SUMIFS('ON Data'!P:P,'ON Data'!$D:$D,$A$4,'ON Data'!$E:$E,11),SUMIFS('ON Data'!P:P,'ON Data'!$E:$E,11))</f>
        <v>11666.666666666666</v>
      </c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09">
        <f xml:space="preserve">
IF($A$4&lt;=12,SUMIFS('ON Data'!AW:AW,'ON Data'!$D:$D,$A$4,'ON Data'!$E:$E,11),SUMIFS('ON Data'!AW:AW,'ON Data'!$E:$E,11))</f>
        <v>0</v>
      </c>
      <c r="AR26" s="410"/>
      <c r="AS26" s="428"/>
      <c r="AT26" s="430"/>
    </row>
    <row r="27" spans="1:46" x14ac:dyDescent="0.3">
      <c r="A27" s="189" t="s">
        <v>57</v>
      </c>
      <c r="B27" s="232">
        <f xml:space="preserve">
IF(B26=0,0,B25/B26)</f>
        <v>0</v>
      </c>
      <c r="C27" s="433">
        <f xml:space="preserve">
IF(C26=0,0,C25/C26)</f>
        <v>0</v>
      </c>
      <c r="D27" s="406"/>
      <c r="E27" s="407"/>
      <c r="F27" s="411">
        <f xml:space="preserve">
IF(F26=0,0,F25/F26)</f>
        <v>0</v>
      </c>
      <c r="G27" s="407"/>
      <c r="H27" s="407"/>
      <c r="I27" s="407"/>
      <c r="J27" s="407"/>
      <c r="K27" s="407"/>
      <c r="L27" s="411">
        <f xml:space="preserve">
IF(L26=0,0,L25/L26)</f>
        <v>0</v>
      </c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407"/>
      <c r="AN27" s="407"/>
      <c r="AO27" s="407"/>
      <c r="AP27" s="407"/>
      <c r="AQ27" s="411">
        <f xml:space="preserve">
IF(AQ26=0,0,AQ25/AQ26)</f>
        <v>0</v>
      </c>
      <c r="AR27" s="407"/>
      <c r="AS27" s="427"/>
      <c r="AT27" s="430"/>
    </row>
    <row r="28" spans="1:46" ht="15" thickBot="1" x14ac:dyDescent="0.35">
      <c r="A28" s="189" t="s">
        <v>132</v>
      </c>
      <c r="B28" s="211">
        <f xml:space="preserve">
SUM(C28:AS28)</f>
        <v>11714.447963416036</v>
      </c>
      <c r="C28" s="434">
        <f xml:space="preserve">
C26-C25</f>
        <v>0</v>
      </c>
      <c r="D28" s="412"/>
      <c r="E28" s="413"/>
      <c r="F28" s="414">
        <f xml:space="preserve">
F26-F25</f>
        <v>47.781296749370831</v>
      </c>
      <c r="G28" s="413"/>
      <c r="H28" s="413"/>
      <c r="I28" s="413"/>
      <c r="J28" s="413"/>
      <c r="K28" s="413"/>
      <c r="L28" s="414">
        <f xml:space="preserve">
L26-L25</f>
        <v>11666.666666666666</v>
      </c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  <c r="AO28" s="413"/>
      <c r="AP28" s="413"/>
      <c r="AQ28" s="414">
        <f xml:space="preserve">
AQ26-AQ25</f>
        <v>0</v>
      </c>
      <c r="AR28" s="413"/>
      <c r="AS28" s="429"/>
      <c r="AT28" s="430"/>
    </row>
    <row r="29" spans="1:46" x14ac:dyDescent="0.3">
      <c r="A29" s="190"/>
      <c r="B29" s="190"/>
      <c r="C29" s="191"/>
      <c r="D29" s="190"/>
      <c r="E29" s="190"/>
      <c r="F29" s="190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0"/>
      <c r="AJ29" s="190"/>
      <c r="AK29" s="190"/>
      <c r="AL29" s="190"/>
      <c r="AM29" s="190"/>
    </row>
    <row r="30" spans="1:46" x14ac:dyDescent="0.3">
      <c r="A30" s="79" t="s">
        <v>90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130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28" t="s">
        <v>127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</row>
    <row r="33" spans="1:1" x14ac:dyDescent="0.3">
      <c r="A33" s="230" t="s">
        <v>211</v>
      </c>
    </row>
    <row r="34" spans="1:1" x14ac:dyDescent="0.3">
      <c r="A34" s="230" t="s">
        <v>212</v>
      </c>
    </row>
    <row r="35" spans="1:1" x14ac:dyDescent="0.3">
      <c r="A35" s="230" t="s">
        <v>213</v>
      </c>
    </row>
    <row r="36" spans="1:1" x14ac:dyDescent="0.3">
      <c r="A36" s="230" t="s">
        <v>214</v>
      </c>
    </row>
    <row r="37" spans="1:1" x14ac:dyDescent="0.3">
      <c r="A37" s="230" t="s">
        <v>136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9" priority="12" operator="greaterThan">
      <formula>1</formula>
    </cfRule>
  </conditionalFormatting>
  <conditionalFormatting sqref="C28">
    <cfRule type="cellIs" dxfId="8" priority="11" operator="lessThan">
      <formula>0</formula>
    </cfRule>
  </conditionalFormatting>
  <conditionalFormatting sqref="B22:AM22">
    <cfRule type="cellIs" dxfId="7" priority="10" operator="greaterThan">
      <formula>1</formula>
    </cfRule>
  </conditionalFormatting>
  <conditionalFormatting sqref="B23:AM23">
    <cfRule type="cellIs" dxfId="6" priority="9" operator="greaterThan">
      <formula>0</formula>
    </cfRule>
  </conditionalFormatting>
  <conditionalFormatting sqref="L28">
    <cfRule type="cellIs" dxfId="5" priority="5" operator="lessThan">
      <formula>0</formula>
    </cfRule>
  </conditionalFormatting>
  <conditionalFormatting sqref="L27">
    <cfRule type="cellIs" dxfId="4" priority="6" operator="greaterThan">
      <formula>1</formula>
    </cfRule>
  </conditionalFormatting>
  <conditionalFormatting sqref="F27">
    <cfRule type="cellIs" dxfId="3" priority="4" operator="greaterThan">
      <formula>1</formula>
    </cfRule>
  </conditionalFormatting>
  <conditionalFormatting sqref="F28">
    <cfRule type="cellIs" dxfId="2" priority="3" operator="lessThan">
      <formula>0</formula>
    </cfRule>
  </conditionalFormatting>
  <conditionalFormatting sqref="AQ28">
    <cfRule type="cellIs" dxfId="1" priority="1" operator="lessThan">
      <formula>0</formula>
    </cfRule>
  </conditionalFormatting>
  <conditionalFormatting sqref="AQ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784</v>
      </c>
    </row>
    <row r="2" spans="1:49" x14ac:dyDescent="0.3">
      <c r="A2" s="173" t="s">
        <v>217</v>
      </c>
    </row>
    <row r="3" spans="1:49" x14ac:dyDescent="0.3">
      <c r="A3" s="169" t="s">
        <v>95</v>
      </c>
      <c r="B3" s="194">
        <v>2017</v>
      </c>
      <c r="D3" s="170">
        <f>MAX(D5:D1048576)</f>
        <v>2</v>
      </c>
      <c r="F3" s="170">
        <f>SUMIF($E5:$E1048576,"&lt;10",F5:F1048576)</f>
        <v>3377790.5999999996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20721.400000000001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111258</v>
      </c>
      <c r="Q3" s="170">
        <f t="shared" si="0"/>
        <v>1043422.5</v>
      </c>
      <c r="R3" s="170">
        <f t="shared" si="0"/>
        <v>1210245.2</v>
      </c>
      <c r="S3" s="170">
        <f t="shared" si="0"/>
        <v>283791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708352.5</v>
      </c>
      <c r="AU3" s="170">
        <f t="shared" si="0"/>
        <v>0</v>
      </c>
      <c r="AV3" s="170">
        <f t="shared" si="0"/>
        <v>0</v>
      </c>
      <c r="AW3" s="170">
        <f t="shared" si="0"/>
        <v>0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30</v>
      </c>
      <c r="J4" s="172">
        <v>99</v>
      </c>
      <c r="K4" s="172">
        <v>100</v>
      </c>
      <c r="L4" s="172">
        <v>101</v>
      </c>
      <c r="M4" s="172">
        <v>102</v>
      </c>
      <c r="N4" s="172">
        <v>103</v>
      </c>
      <c r="O4" s="172">
        <v>203</v>
      </c>
      <c r="P4" s="172">
        <v>302</v>
      </c>
      <c r="Q4" s="172">
        <v>303</v>
      </c>
      <c r="R4" s="172">
        <v>304</v>
      </c>
      <c r="S4" s="172">
        <v>305</v>
      </c>
      <c r="T4" s="172">
        <v>306</v>
      </c>
      <c r="U4" s="172">
        <v>407</v>
      </c>
      <c r="V4" s="172">
        <v>408</v>
      </c>
      <c r="W4" s="172">
        <v>409</v>
      </c>
      <c r="X4" s="172">
        <v>410</v>
      </c>
      <c r="Y4" s="172">
        <v>415</v>
      </c>
      <c r="Z4" s="172">
        <v>416</v>
      </c>
      <c r="AA4" s="172">
        <v>418</v>
      </c>
      <c r="AB4" s="172">
        <v>419</v>
      </c>
      <c r="AC4" s="172">
        <v>420</v>
      </c>
      <c r="AD4" s="172">
        <v>421</v>
      </c>
      <c r="AE4" s="172">
        <v>422</v>
      </c>
      <c r="AF4" s="172">
        <v>520</v>
      </c>
      <c r="AG4" s="172">
        <v>521</v>
      </c>
      <c r="AH4" s="172">
        <v>522</v>
      </c>
      <c r="AI4" s="172">
        <v>523</v>
      </c>
      <c r="AJ4" s="172">
        <v>524</v>
      </c>
      <c r="AK4" s="172">
        <v>525</v>
      </c>
      <c r="AL4" s="172">
        <v>526</v>
      </c>
      <c r="AM4" s="172">
        <v>527</v>
      </c>
      <c r="AN4" s="172">
        <v>528</v>
      </c>
      <c r="AO4" s="172">
        <v>629</v>
      </c>
      <c r="AP4" s="172">
        <v>630</v>
      </c>
      <c r="AQ4" s="172">
        <v>636</v>
      </c>
      <c r="AR4" s="172">
        <v>637</v>
      </c>
      <c r="AS4" s="172">
        <v>640</v>
      </c>
      <c r="AT4" s="172">
        <v>642</v>
      </c>
      <c r="AU4" s="172">
        <v>743</v>
      </c>
      <c r="AV4" s="172">
        <v>745</v>
      </c>
      <c r="AW4" s="172">
        <v>746</v>
      </c>
    </row>
    <row r="5" spans="1:49" x14ac:dyDescent="0.3">
      <c r="A5" s="169" t="s">
        <v>97</v>
      </c>
      <c r="B5" s="194">
        <v>2</v>
      </c>
      <c r="C5" s="169">
        <v>47</v>
      </c>
      <c r="D5" s="169">
        <v>1</v>
      </c>
      <c r="E5" s="169">
        <v>1</v>
      </c>
      <c r="F5" s="169">
        <v>51.2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0.1</v>
      </c>
      <c r="M5" s="169">
        <v>0</v>
      </c>
      <c r="N5" s="169">
        <v>0</v>
      </c>
      <c r="O5" s="169">
        <v>0</v>
      </c>
      <c r="P5" s="169">
        <v>2</v>
      </c>
      <c r="Q5" s="169">
        <v>16.25</v>
      </c>
      <c r="R5" s="169">
        <v>15.850000000000001</v>
      </c>
      <c r="S5" s="169">
        <v>3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14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4">
        <v>3</v>
      </c>
      <c r="C6" s="169">
        <v>47</v>
      </c>
      <c r="D6" s="169">
        <v>1</v>
      </c>
      <c r="E6" s="169">
        <v>2</v>
      </c>
      <c r="F6" s="169">
        <v>7706.7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35.200000000000003</v>
      </c>
      <c r="M6" s="169">
        <v>0</v>
      </c>
      <c r="N6" s="169">
        <v>0</v>
      </c>
      <c r="O6" s="169">
        <v>0</v>
      </c>
      <c r="P6" s="169">
        <v>298</v>
      </c>
      <c r="Q6" s="169">
        <v>2251</v>
      </c>
      <c r="R6" s="169">
        <v>2491.5</v>
      </c>
      <c r="S6" s="169">
        <v>468.5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2162.5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4">
        <v>4</v>
      </c>
      <c r="C7" s="169">
        <v>47</v>
      </c>
      <c r="D7" s="169">
        <v>1</v>
      </c>
      <c r="E7" s="169">
        <v>3</v>
      </c>
      <c r="F7" s="169">
        <v>30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30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47</v>
      </c>
      <c r="D8" s="169">
        <v>1</v>
      </c>
      <c r="E8" s="169">
        <v>4</v>
      </c>
      <c r="F8" s="169">
        <v>658.5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25</v>
      </c>
      <c r="Q8" s="169">
        <v>240</v>
      </c>
      <c r="R8" s="169">
        <v>110</v>
      </c>
      <c r="S8" s="169">
        <v>45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238.5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4">
        <v>6</v>
      </c>
      <c r="C9" s="169">
        <v>47</v>
      </c>
      <c r="D9" s="169">
        <v>1</v>
      </c>
      <c r="E9" s="169">
        <v>6</v>
      </c>
      <c r="F9" s="169">
        <v>1691040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10327</v>
      </c>
      <c r="M9" s="169">
        <v>0</v>
      </c>
      <c r="N9" s="169">
        <v>0</v>
      </c>
      <c r="O9" s="169">
        <v>0</v>
      </c>
      <c r="P9" s="169">
        <v>51921</v>
      </c>
      <c r="Q9" s="169">
        <v>524280</v>
      </c>
      <c r="R9" s="169">
        <v>612631</v>
      </c>
      <c r="S9" s="169">
        <v>132334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359547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4">
        <v>7</v>
      </c>
      <c r="C10" s="169">
        <v>47</v>
      </c>
      <c r="D10" s="169">
        <v>1</v>
      </c>
      <c r="E10" s="169">
        <v>11</v>
      </c>
      <c r="F10" s="169">
        <v>5857.2239817080181</v>
      </c>
      <c r="G10" s="169">
        <v>0</v>
      </c>
      <c r="H10" s="169">
        <v>0</v>
      </c>
      <c r="I10" s="169">
        <v>0</v>
      </c>
      <c r="J10" s="169">
        <v>0</v>
      </c>
      <c r="K10" s="169">
        <v>23.890648374685416</v>
      </c>
      <c r="L10" s="169">
        <v>0</v>
      </c>
      <c r="M10" s="169">
        <v>0</v>
      </c>
      <c r="N10" s="169">
        <v>0</v>
      </c>
      <c r="O10" s="169">
        <v>0</v>
      </c>
      <c r="P10" s="169">
        <v>5833.333333333333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4">
        <v>8</v>
      </c>
      <c r="C11" s="169">
        <v>47</v>
      </c>
      <c r="D11" s="169">
        <v>2</v>
      </c>
      <c r="E11" s="169">
        <v>1</v>
      </c>
      <c r="F11" s="169">
        <v>51.2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0.1</v>
      </c>
      <c r="M11" s="169">
        <v>0</v>
      </c>
      <c r="N11" s="169">
        <v>0</v>
      </c>
      <c r="O11" s="169">
        <v>0</v>
      </c>
      <c r="P11" s="169">
        <v>2</v>
      </c>
      <c r="Q11" s="169">
        <v>15.25</v>
      </c>
      <c r="R11" s="169">
        <v>15.850000000000001</v>
      </c>
      <c r="S11" s="169">
        <v>4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14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47</v>
      </c>
      <c r="D12" s="169">
        <v>2</v>
      </c>
      <c r="E12" s="169">
        <v>2</v>
      </c>
      <c r="F12" s="169">
        <v>7041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32</v>
      </c>
      <c r="M12" s="169">
        <v>0</v>
      </c>
      <c r="N12" s="169">
        <v>0</v>
      </c>
      <c r="O12" s="169">
        <v>0</v>
      </c>
      <c r="P12" s="169">
        <v>234</v>
      </c>
      <c r="Q12" s="169">
        <v>2109.5</v>
      </c>
      <c r="R12" s="169">
        <v>2233.5</v>
      </c>
      <c r="S12" s="169">
        <v>395.5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2036.5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47</v>
      </c>
      <c r="D13" s="169">
        <v>2</v>
      </c>
      <c r="E13" s="169">
        <v>3</v>
      </c>
      <c r="F13" s="169">
        <v>11.5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11.5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4">
        <v>11</v>
      </c>
      <c r="C14" s="169">
        <v>47</v>
      </c>
      <c r="D14" s="169">
        <v>2</v>
      </c>
      <c r="E14" s="169">
        <v>4</v>
      </c>
      <c r="F14" s="169">
        <v>642.5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30</v>
      </c>
      <c r="Q14" s="169">
        <v>255</v>
      </c>
      <c r="R14" s="169">
        <v>122.5</v>
      </c>
      <c r="S14" s="169">
        <v>35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200</v>
      </c>
      <c r="AU14" s="169">
        <v>0</v>
      </c>
      <c r="AV14" s="169">
        <v>0</v>
      </c>
      <c r="AW14" s="169">
        <v>0</v>
      </c>
    </row>
    <row r="15" spans="1:49" x14ac:dyDescent="0.3">
      <c r="A15" s="169" t="s">
        <v>107</v>
      </c>
      <c r="B15" s="194">
        <v>12</v>
      </c>
      <c r="C15" s="169">
        <v>47</v>
      </c>
      <c r="D15" s="169">
        <v>2</v>
      </c>
      <c r="E15" s="169">
        <v>6</v>
      </c>
      <c r="F15" s="169">
        <v>1670558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10327</v>
      </c>
      <c r="M15" s="169">
        <v>0</v>
      </c>
      <c r="N15" s="169">
        <v>0</v>
      </c>
      <c r="O15" s="169">
        <v>0</v>
      </c>
      <c r="P15" s="169">
        <v>58746</v>
      </c>
      <c r="Q15" s="169">
        <v>514244</v>
      </c>
      <c r="R15" s="169">
        <v>592595</v>
      </c>
      <c r="S15" s="169">
        <v>150506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344140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4">
        <v>2017</v>
      </c>
      <c r="C16" s="169">
        <v>47</v>
      </c>
      <c r="D16" s="169">
        <v>2</v>
      </c>
      <c r="E16" s="169">
        <v>11</v>
      </c>
      <c r="F16" s="169">
        <v>5857.2239817080181</v>
      </c>
      <c r="G16" s="169">
        <v>0</v>
      </c>
      <c r="H16" s="169">
        <v>0</v>
      </c>
      <c r="I16" s="169">
        <v>0</v>
      </c>
      <c r="J16" s="169">
        <v>0</v>
      </c>
      <c r="K16" s="169">
        <v>23.890648374685416</v>
      </c>
      <c r="L16" s="169">
        <v>0</v>
      </c>
      <c r="M16" s="169">
        <v>0</v>
      </c>
      <c r="N16" s="169">
        <v>0</v>
      </c>
      <c r="O16" s="169">
        <v>0</v>
      </c>
      <c r="P16" s="169">
        <v>5833.333333333333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74" t="s">
        <v>73</v>
      </c>
      <c r="B1" s="274"/>
      <c r="C1" s="275"/>
      <c r="D1" s="275"/>
      <c r="E1" s="275"/>
    </row>
    <row r="2" spans="1:5" ht="14.4" customHeight="1" thickBot="1" x14ac:dyDescent="0.35">
      <c r="A2" s="173" t="s">
        <v>217</v>
      </c>
      <c r="B2" s="114"/>
    </row>
    <row r="3" spans="1:5" ht="14.4" customHeight="1" thickBot="1" x14ac:dyDescent="0.35">
      <c r="A3" s="117"/>
      <c r="C3" s="118" t="s">
        <v>62</v>
      </c>
      <c r="D3" s="119" t="s">
        <v>55</v>
      </c>
      <c r="E3" s="120" t="s">
        <v>57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12866.714499210066</v>
      </c>
      <c r="D4" s="123">
        <f ca="1">IF(ISERROR(VLOOKUP("Náklady celkem",INDIRECT("HI!$A:$G"),5,0)),0,VLOOKUP("Náklady celkem",INDIRECT("HI!$A:$G"),5,0))</f>
        <v>11584.768530000001</v>
      </c>
      <c r="E4" s="124">
        <f ca="1">IF(C4=0,0,D4/C4)</f>
        <v>0.90036726397490452</v>
      </c>
    </row>
    <row r="5" spans="1:5" ht="14.4" customHeight="1" x14ac:dyDescent="0.3">
      <c r="A5" s="125" t="s">
        <v>82</v>
      </c>
      <c r="B5" s="126"/>
      <c r="C5" s="127"/>
      <c r="D5" s="127"/>
      <c r="E5" s="128"/>
    </row>
    <row r="6" spans="1:5" ht="14.4" customHeight="1" x14ac:dyDescent="0.3">
      <c r="A6" s="129" t="s">
        <v>87</v>
      </c>
      <c r="B6" s="130"/>
      <c r="C6" s="131"/>
      <c r="D6" s="131"/>
      <c r="E6" s="128"/>
    </row>
    <row r="7" spans="1:5" ht="14.4" customHeight="1" x14ac:dyDescent="0.3">
      <c r="A7" s="25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66</v>
      </c>
      <c r="C7" s="131">
        <f>IF(ISERROR(HI!F5),"",HI!F5)</f>
        <v>150.49999999999983</v>
      </c>
      <c r="D7" s="131">
        <f>IF(ISERROR(HI!E5),"",HI!E5)</f>
        <v>120.182</v>
      </c>
      <c r="E7" s="128">
        <f t="shared" ref="E7:E12" si="0">IF(C7=0,0,D7/C7)</f>
        <v>0.79855149501661227</v>
      </c>
    </row>
    <row r="8" spans="1:5" ht="14.4" customHeight="1" x14ac:dyDescent="0.3">
      <c r="A8" s="252" t="str">
        <f>HYPERLINK("#'LŽ Statim'!A1","Podíl statimových žádanek (max. 30%)")</f>
        <v>Podíl statimových žádanek (max. 30%)</v>
      </c>
      <c r="B8" s="250" t="s">
        <v>173</v>
      </c>
      <c r="C8" s="251">
        <v>0.3</v>
      </c>
      <c r="D8" s="251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2" t="s">
        <v>84</v>
      </c>
      <c r="B10" s="130"/>
      <c r="C10" s="131"/>
      <c r="D10" s="131"/>
      <c r="E10" s="128"/>
    </row>
    <row r="11" spans="1:5" ht="14.4" customHeight="1" x14ac:dyDescent="0.3">
      <c r="A11" s="133" t="s">
        <v>88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66</v>
      </c>
      <c r="C12" s="131">
        <f>IF(ISERROR(HI!F6),"",HI!F6)</f>
        <v>1865.4117521306102</v>
      </c>
      <c r="D12" s="131">
        <f>IF(ISERROR(HI!E6),"",HI!E6)</f>
        <v>1880.3038099999999</v>
      </c>
      <c r="E12" s="128">
        <f t="shared" si="0"/>
        <v>1.0079832550922767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4489.6666666666661</v>
      </c>
      <c r="D13" s="127">
        <f ca="1">IF(ISERROR(VLOOKUP("Osobní náklady (Kč) *",INDIRECT("HI!$A:$G"),5,0)),0,VLOOKUP("Osobní náklady (Kč) *",INDIRECT("HI!$A:$G"),5,0))</f>
        <v>4568.8195799999994</v>
      </c>
      <c r="E13" s="128">
        <f ca="1">IF(C13=0,0,D13/C13)</f>
        <v>1.0176300200460315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85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86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7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4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9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85" t="s">
        <v>76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ht="14.4" customHeight="1" thickBot="1" x14ac:dyDescent="0.35">
      <c r="A2" s="173" t="s">
        <v>217</v>
      </c>
      <c r="B2" s="77"/>
      <c r="C2" s="77"/>
      <c r="D2" s="77"/>
      <c r="E2" s="77"/>
      <c r="F2" s="77"/>
    </row>
    <row r="3" spans="1:10" ht="14.4" customHeight="1" x14ac:dyDescent="0.3">
      <c r="A3" s="276"/>
      <c r="B3" s="73">
        <v>2015</v>
      </c>
      <c r="C3" s="40">
        <v>2016</v>
      </c>
      <c r="D3" s="7"/>
      <c r="E3" s="280">
        <v>2017</v>
      </c>
      <c r="F3" s="281"/>
      <c r="G3" s="281"/>
      <c r="H3" s="282"/>
      <c r="I3" s="283">
        <v>2017</v>
      </c>
      <c r="J3" s="284"/>
    </row>
    <row r="4" spans="1:10" ht="14.4" customHeight="1" thickBot="1" x14ac:dyDescent="0.35">
      <c r="A4" s="277"/>
      <c r="B4" s="278" t="s">
        <v>55</v>
      </c>
      <c r="C4" s="279"/>
      <c r="D4" s="7"/>
      <c r="E4" s="94" t="s">
        <v>55</v>
      </c>
      <c r="F4" s="75" t="s">
        <v>56</v>
      </c>
      <c r="G4" s="75" t="s">
        <v>52</v>
      </c>
      <c r="H4" s="76" t="s">
        <v>57</v>
      </c>
      <c r="I4" s="263" t="s">
        <v>208</v>
      </c>
      <c r="J4" s="264" t="s">
        <v>209</v>
      </c>
    </row>
    <row r="5" spans="1:10" ht="14.4" customHeight="1" x14ac:dyDescent="0.3">
      <c r="A5" s="78" t="str">
        <f>HYPERLINK("#'Léky Žádanky'!A1","Léky (Kč)")</f>
        <v>Léky (Kč)</v>
      </c>
      <c r="B5" s="27">
        <v>131.72441000000001</v>
      </c>
      <c r="C5" s="29">
        <v>153.03431999999998</v>
      </c>
      <c r="D5" s="8"/>
      <c r="E5" s="83">
        <v>120.182</v>
      </c>
      <c r="F5" s="28">
        <v>150.49999999999983</v>
      </c>
      <c r="G5" s="82">
        <f>E5-F5</f>
        <v>-30.317999999999827</v>
      </c>
      <c r="H5" s="88">
        <f>IF(F5&lt;0.00000001,"",E5/F5)</f>
        <v>0.79855149501661227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2377.8371000000107</v>
      </c>
      <c r="C6" s="31">
        <v>1177.2765199999999</v>
      </c>
      <c r="D6" s="8"/>
      <c r="E6" s="84">
        <v>1880.3038099999999</v>
      </c>
      <c r="F6" s="30">
        <v>1865.4117521306102</v>
      </c>
      <c r="G6" s="85">
        <f>E6-F6</f>
        <v>14.892057869389646</v>
      </c>
      <c r="H6" s="89">
        <f>IF(F6&lt;0.00000001,"",E6/F6)</f>
        <v>1.0079832550922767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3766.15445</v>
      </c>
      <c r="C7" s="31">
        <v>3856.0334600000006</v>
      </c>
      <c r="D7" s="8"/>
      <c r="E7" s="84">
        <v>4568.8195799999994</v>
      </c>
      <c r="F7" s="30">
        <v>4489.6666666666661</v>
      </c>
      <c r="G7" s="85">
        <f>E7-F7</f>
        <v>79.152913333333345</v>
      </c>
      <c r="H7" s="89">
        <f>IF(F7&lt;0.00000001,"",E7/F7)</f>
        <v>1.0176300200460315</v>
      </c>
    </row>
    <row r="8" spans="1:10" ht="14.4" customHeight="1" thickBot="1" x14ac:dyDescent="0.35">
      <c r="A8" s="1" t="s">
        <v>58</v>
      </c>
      <c r="B8" s="11">
        <v>5802.2737800000123</v>
      </c>
      <c r="C8" s="33">
        <v>10050.288249999998</v>
      </c>
      <c r="D8" s="8"/>
      <c r="E8" s="86">
        <v>5015.4631400000017</v>
      </c>
      <c r="F8" s="32">
        <v>6361.1360804127889</v>
      </c>
      <c r="G8" s="87">
        <f>E8-F8</f>
        <v>-1345.6729404127873</v>
      </c>
      <c r="H8" s="90">
        <f>IF(F8&lt;0.00000001,"",E8/F8)</f>
        <v>0.78845399258846494</v>
      </c>
    </row>
    <row r="9" spans="1:10" ht="14.4" customHeight="1" thickBot="1" x14ac:dyDescent="0.35">
      <c r="A9" s="2" t="s">
        <v>59</v>
      </c>
      <c r="B9" s="3">
        <v>12077.989740000023</v>
      </c>
      <c r="C9" s="35">
        <v>15236.632549999998</v>
      </c>
      <c r="D9" s="8"/>
      <c r="E9" s="3">
        <v>11584.768530000001</v>
      </c>
      <c r="F9" s="34">
        <v>12866.714499210066</v>
      </c>
      <c r="G9" s="34">
        <f>E9-F9</f>
        <v>-1281.9459692100645</v>
      </c>
      <c r="H9" s="91">
        <f>IF(F9&lt;0.00000001,"",E9/F9)</f>
        <v>0.90036726397490452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126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125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174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207</v>
      </c>
    </row>
    <row r="23" spans="1:8" ht="14.4" customHeight="1" x14ac:dyDescent="0.3">
      <c r="A23" s="81" t="s">
        <v>92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86" t="s">
        <v>219</v>
      </c>
      <c r="B1" s="286"/>
      <c r="C1" s="286"/>
      <c r="D1" s="286"/>
      <c r="E1" s="286"/>
      <c r="F1" s="286"/>
      <c r="G1" s="286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58" customFormat="1" ht="14.4" customHeight="1" thickBot="1" x14ac:dyDescent="0.3">
      <c r="A2" s="173" t="s">
        <v>217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87" t="s">
        <v>13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262" t="s">
        <v>186</v>
      </c>
      <c r="E4" s="262" t="s">
        <v>187</v>
      </c>
      <c r="F4" s="262" t="s">
        <v>188</v>
      </c>
      <c r="G4" s="262" t="s">
        <v>189</v>
      </c>
      <c r="H4" s="262" t="s">
        <v>190</v>
      </c>
      <c r="I4" s="262" t="s">
        <v>191</v>
      </c>
      <c r="J4" s="262" t="s">
        <v>192</v>
      </c>
      <c r="K4" s="262" t="s">
        <v>193</v>
      </c>
      <c r="L4" s="262" t="s">
        <v>194</v>
      </c>
      <c r="M4" s="262" t="s">
        <v>195</v>
      </c>
      <c r="N4" s="262" t="s">
        <v>196</v>
      </c>
      <c r="O4" s="262" t="s">
        <v>197</v>
      </c>
      <c r="P4" s="289" t="s">
        <v>2</v>
      </c>
      <c r="Q4" s="29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218</v>
      </c>
    </row>
    <row r="7" spans="1:17" ht="14.4" customHeight="1" x14ac:dyDescent="0.3">
      <c r="A7" s="15" t="s">
        <v>19</v>
      </c>
      <c r="B7" s="46">
        <v>903</v>
      </c>
      <c r="C7" s="47">
        <v>75.25</v>
      </c>
      <c r="D7" s="47">
        <v>52.841470000000001</v>
      </c>
      <c r="E7" s="47">
        <v>67.340530000000001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120.182</v>
      </c>
      <c r="Q7" s="68">
        <v>0.79855149501599998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218</v>
      </c>
    </row>
    <row r="9" spans="1:17" ht="14.4" customHeight="1" x14ac:dyDescent="0.3">
      <c r="A9" s="15" t="s">
        <v>21</v>
      </c>
      <c r="B9" s="46">
        <v>10718</v>
      </c>
      <c r="C9" s="47">
        <v>893.16666666666697</v>
      </c>
      <c r="D9" s="47">
        <v>1025.9998399999999</v>
      </c>
      <c r="E9" s="47">
        <v>854.30397000000005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1880.3038100000001</v>
      </c>
      <c r="Q9" s="68">
        <v>1.052605230453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27.46313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27.46313</v>
      </c>
      <c r="Q10" s="68" t="s">
        <v>218</v>
      </c>
    </row>
    <row r="11" spans="1:17" ht="14.4" customHeight="1" x14ac:dyDescent="0.3">
      <c r="A11" s="15" t="s">
        <v>23</v>
      </c>
      <c r="B11" s="46">
        <v>708.92122156728101</v>
      </c>
      <c r="C11" s="47">
        <v>59.076768463939999</v>
      </c>
      <c r="D11" s="47">
        <v>22.2928</v>
      </c>
      <c r="E11" s="47">
        <v>72.530159999999995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94.822959999999995</v>
      </c>
      <c r="Q11" s="68">
        <v>0.802540173282</v>
      </c>
    </row>
    <row r="12" spans="1:17" ht="14.4" customHeight="1" x14ac:dyDescent="0.3">
      <c r="A12" s="15" t="s">
        <v>24</v>
      </c>
      <c r="B12" s="46">
        <v>482.45691578771499</v>
      </c>
      <c r="C12" s="47">
        <v>40.204742982309</v>
      </c>
      <c r="D12" s="47">
        <v>0.96357999999999999</v>
      </c>
      <c r="E12" s="47">
        <v>10.605560000000001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11.569140000000001</v>
      </c>
      <c r="Q12" s="68">
        <v>0.143877800749</v>
      </c>
    </row>
    <row r="13" spans="1:17" ht="14.4" customHeight="1" x14ac:dyDescent="0.3">
      <c r="A13" s="15" t="s">
        <v>25</v>
      </c>
      <c r="B13" s="46">
        <v>6450</v>
      </c>
      <c r="C13" s="47">
        <v>537.5</v>
      </c>
      <c r="D13" s="47">
        <v>332.49257999999998</v>
      </c>
      <c r="E13" s="47">
        <v>557.38162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889.87419999999997</v>
      </c>
      <c r="Q13" s="68">
        <v>0.827789953488</v>
      </c>
    </row>
    <row r="14" spans="1:17" ht="14.4" customHeight="1" x14ac:dyDescent="0.3">
      <c r="A14" s="15" t="s">
        <v>26</v>
      </c>
      <c r="B14" s="46">
        <v>2314.70564950774</v>
      </c>
      <c r="C14" s="47">
        <v>192.892137458978</v>
      </c>
      <c r="D14" s="47">
        <v>270.75200000000001</v>
      </c>
      <c r="E14" s="47">
        <v>213.922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484.67399999999998</v>
      </c>
      <c r="Q14" s="68">
        <v>1.2563342559849999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218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218</v>
      </c>
    </row>
    <row r="17" spans="1:17" ht="14.4" customHeight="1" x14ac:dyDescent="0.3">
      <c r="A17" s="15" t="s">
        <v>29</v>
      </c>
      <c r="B17" s="46">
        <v>2644.0998670291501</v>
      </c>
      <c r="C17" s="47">
        <v>220.341655585762</v>
      </c>
      <c r="D17" s="47">
        <v>38.901400000000002</v>
      </c>
      <c r="E17" s="47">
        <v>50.129629999999999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89.031030000000001</v>
      </c>
      <c r="Q17" s="68">
        <v>0.202029502236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7.9569999999999999</v>
      </c>
      <c r="E18" s="47">
        <v>0.23400000000000001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8.1910000000000007</v>
      </c>
      <c r="Q18" s="68" t="s">
        <v>218</v>
      </c>
    </row>
    <row r="19" spans="1:17" ht="14.4" customHeight="1" x14ac:dyDescent="0.3">
      <c r="A19" s="15" t="s">
        <v>31</v>
      </c>
      <c r="B19" s="46">
        <v>10584.794443467499</v>
      </c>
      <c r="C19" s="47">
        <v>882.06620362229296</v>
      </c>
      <c r="D19" s="47">
        <v>346.94963000000001</v>
      </c>
      <c r="E19" s="47">
        <v>275.12401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622.07363999999995</v>
      </c>
      <c r="Q19" s="68">
        <v>0.35262298761999999</v>
      </c>
    </row>
    <row r="20" spans="1:17" ht="14.4" customHeight="1" x14ac:dyDescent="0.3">
      <c r="A20" s="15" t="s">
        <v>32</v>
      </c>
      <c r="B20" s="46">
        <v>26938</v>
      </c>
      <c r="C20" s="47">
        <v>2244.8333333333298</v>
      </c>
      <c r="D20" s="47">
        <v>2297.4432400000001</v>
      </c>
      <c r="E20" s="47">
        <v>2271.3763399999998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4568.8195800000003</v>
      </c>
      <c r="Q20" s="68">
        <v>1.017630020046</v>
      </c>
    </row>
    <row r="21" spans="1:17" ht="14.4" customHeight="1" x14ac:dyDescent="0.3">
      <c r="A21" s="16" t="s">
        <v>33</v>
      </c>
      <c r="B21" s="46">
        <v>14372</v>
      </c>
      <c r="C21" s="47">
        <v>1197.6666666666699</v>
      </c>
      <c r="D21" s="47">
        <v>1378.8869999999999</v>
      </c>
      <c r="E21" s="47">
        <v>1376.3630000000001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2755.25</v>
      </c>
      <c r="Q21" s="68">
        <v>1.150257445032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10.726649999999999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10.726649999999999</v>
      </c>
      <c r="Q22" s="68" t="s">
        <v>218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218</v>
      </c>
    </row>
    <row r="24" spans="1:17" ht="14.4" customHeight="1" x14ac:dyDescent="0.3">
      <c r="A24" s="16" t="s">
        <v>36</v>
      </c>
      <c r="B24" s="46">
        <v>1.45519152283669E-11</v>
      </c>
      <c r="C24" s="47">
        <v>9.0949470177292804E-13</v>
      </c>
      <c r="D24" s="47">
        <v>15.31733</v>
      </c>
      <c r="E24" s="47">
        <v>6.470059999998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21.787389999999</v>
      </c>
      <c r="Q24" s="68">
        <v>8983308241458.75</v>
      </c>
    </row>
    <row r="25" spans="1:17" ht="14.4" customHeight="1" x14ac:dyDescent="0.3">
      <c r="A25" s="17" t="s">
        <v>37</v>
      </c>
      <c r="B25" s="49">
        <v>76115.978097359402</v>
      </c>
      <c r="C25" s="50">
        <v>6342.9981747799502</v>
      </c>
      <c r="D25" s="50">
        <v>5790.7978700000003</v>
      </c>
      <c r="E25" s="50">
        <v>5793.97066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11584.768529999999</v>
      </c>
      <c r="Q25" s="69">
        <v>0.91319343083299997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269.99804</v>
      </c>
      <c r="E26" s="47">
        <v>261.02278999999999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531.02083000000005</v>
      </c>
      <c r="Q26" s="68" t="s">
        <v>218</v>
      </c>
    </row>
    <row r="27" spans="1:17" ht="14.4" customHeight="1" x14ac:dyDescent="0.3">
      <c r="A27" s="18" t="s">
        <v>39</v>
      </c>
      <c r="B27" s="49">
        <v>76115.978097359402</v>
      </c>
      <c r="C27" s="50">
        <v>6342.9981747799502</v>
      </c>
      <c r="D27" s="50">
        <v>6060.7959099999998</v>
      </c>
      <c r="E27" s="50">
        <v>6054.9934499999999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12115.789360000001</v>
      </c>
      <c r="Q27" s="69">
        <v>0.95505225022499995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218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218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90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198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86" t="s">
        <v>45</v>
      </c>
      <c r="B1" s="286"/>
      <c r="C1" s="286"/>
      <c r="D1" s="286"/>
      <c r="E1" s="286"/>
      <c r="F1" s="286"/>
      <c r="G1" s="286"/>
      <c r="H1" s="291"/>
      <c r="I1" s="291"/>
      <c r="J1" s="291"/>
      <c r="K1" s="291"/>
    </row>
    <row r="2" spans="1:11" s="55" customFormat="1" ht="14.4" customHeight="1" thickBot="1" x14ac:dyDescent="0.35">
      <c r="A2" s="173" t="s">
        <v>217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7" t="s">
        <v>46</v>
      </c>
      <c r="C3" s="288"/>
      <c r="D3" s="288"/>
      <c r="E3" s="288"/>
      <c r="F3" s="294" t="s">
        <v>47</v>
      </c>
      <c r="G3" s="288"/>
      <c r="H3" s="288"/>
      <c r="I3" s="288"/>
      <c r="J3" s="288"/>
      <c r="K3" s="295"/>
    </row>
    <row r="4" spans="1:11" ht="14.4" customHeight="1" x14ac:dyDescent="0.3">
      <c r="A4" s="59"/>
      <c r="B4" s="292"/>
      <c r="C4" s="293"/>
      <c r="D4" s="293"/>
      <c r="E4" s="293"/>
      <c r="F4" s="296" t="s">
        <v>199</v>
      </c>
      <c r="G4" s="298" t="s">
        <v>48</v>
      </c>
      <c r="H4" s="106" t="s">
        <v>80</v>
      </c>
      <c r="I4" s="296" t="s">
        <v>49</v>
      </c>
      <c r="J4" s="298" t="s">
        <v>206</v>
      </c>
      <c r="K4" s="299" t="s">
        <v>200</v>
      </c>
    </row>
    <row r="5" spans="1:11" ht="42" thickBot="1" x14ac:dyDescent="0.35">
      <c r="A5" s="60"/>
      <c r="B5" s="24" t="s">
        <v>202</v>
      </c>
      <c r="C5" s="25" t="s">
        <v>203</v>
      </c>
      <c r="D5" s="26" t="s">
        <v>204</v>
      </c>
      <c r="E5" s="26" t="s">
        <v>205</v>
      </c>
      <c r="F5" s="297"/>
      <c r="G5" s="297"/>
      <c r="H5" s="25" t="s">
        <v>201</v>
      </c>
      <c r="I5" s="297"/>
      <c r="J5" s="297"/>
      <c r="K5" s="300"/>
    </row>
    <row r="6" spans="1:11" ht="14.4" customHeight="1" thickBot="1" x14ac:dyDescent="0.35">
      <c r="A6" s="340" t="s">
        <v>220</v>
      </c>
      <c r="B6" s="322">
        <v>76724.088312176696</v>
      </c>
      <c r="C6" s="322">
        <v>82172.843529999998</v>
      </c>
      <c r="D6" s="323">
        <v>5448.75521782335</v>
      </c>
      <c r="E6" s="324">
        <v>1.0710175296660001</v>
      </c>
      <c r="F6" s="322">
        <v>76115.978097359402</v>
      </c>
      <c r="G6" s="323">
        <v>12685.9963495599</v>
      </c>
      <c r="H6" s="325">
        <v>5793.97066</v>
      </c>
      <c r="I6" s="322">
        <v>11584.768529999999</v>
      </c>
      <c r="J6" s="323">
        <v>-1101.2278195599099</v>
      </c>
      <c r="K6" s="326">
        <v>0.152198905138</v>
      </c>
    </row>
    <row r="7" spans="1:11" ht="14.4" customHeight="1" thickBot="1" x14ac:dyDescent="0.35">
      <c r="A7" s="341" t="s">
        <v>221</v>
      </c>
      <c r="B7" s="322">
        <v>22585.978939456101</v>
      </c>
      <c r="C7" s="322">
        <v>26262.172340000001</v>
      </c>
      <c r="D7" s="323">
        <v>3676.1934005439002</v>
      </c>
      <c r="E7" s="324">
        <v>1.162764403987</v>
      </c>
      <c r="F7" s="322">
        <v>21577.083786862699</v>
      </c>
      <c r="G7" s="323">
        <v>3596.1806311437899</v>
      </c>
      <c r="H7" s="325">
        <v>1803.54837</v>
      </c>
      <c r="I7" s="322">
        <v>3508.89653</v>
      </c>
      <c r="J7" s="323">
        <v>-87.284101143789002</v>
      </c>
      <c r="K7" s="326">
        <v>0.16262144433600001</v>
      </c>
    </row>
    <row r="8" spans="1:11" ht="14.4" customHeight="1" thickBot="1" x14ac:dyDescent="0.35">
      <c r="A8" s="342" t="s">
        <v>222</v>
      </c>
      <c r="B8" s="322">
        <v>20430.410552927598</v>
      </c>
      <c r="C8" s="322">
        <v>24031.317340000001</v>
      </c>
      <c r="D8" s="323">
        <v>3600.9067870724102</v>
      </c>
      <c r="E8" s="324">
        <v>1.1762522969239999</v>
      </c>
      <c r="F8" s="322">
        <v>19262.378137355001</v>
      </c>
      <c r="G8" s="323">
        <v>3210.39635622583</v>
      </c>
      <c r="H8" s="325">
        <v>1589.62637</v>
      </c>
      <c r="I8" s="322">
        <v>3024.22253</v>
      </c>
      <c r="J8" s="323">
        <v>-186.17382622583301</v>
      </c>
      <c r="K8" s="326">
        <v>0.15700151395799999</v>
      </c>
    </row>
    <row r="9" spans="1:11" ht="14.4" customHeight="1" thickBot="1" x14ac:dyDescent="0.35">
      <c r="A9" s="343" t="s">
        <v>223</v>
      </c>
      <c r="B9" s="327">
        <v>0</v>
      </c>
      <c r="C9" s="327">
        <v>4.4380000000000003E-2</v>
      </c>
      <c r="D9" s="328">
        <v>4.4380000000000003E-2</v>
      </c>
      <c r="E9" s="329" t="s">
        <v>218</v>
      </c>
      <c r="F9" s="327">
        <v>0</v>
      </c>
      <c r="G9" s="328">
        <v>0</v>
      </c>
      <c r="H9" s="330">
        <v>1.4E-3</v>
      </c>
      <c r="I9" s="327">
        <v>7.2899999999999996E-3</v>
      </c>
      <c r="J9" s="328">
        <v>7.2899999999999996E-3</v>
      </c>
      <c r="K9" s="331" t="s">
        <v>218</v>
      </c>
    </row>
    <row r="10" spans="1:11" ht="14.4" customHeight="1" thickBot="1" x14ac:dyDescent="0.35">
      <c r="A10" s="344" t="s">
        <v>224</v>
      </c>
      <c r="B10" s="322">
        <v>0</v>
      </c>
      <c r="C10" s="322">
        <v>4.4380000000000003E-2</v>
      </c>
      <c r="D10" s="323">
        <v>4.4380000000000003E-2</v>
      </c>
      <c r="E10" s="332" t="s">
        <v>218</v>
      </c>
      <c r="F10" s="322">
        <v>0</v>
      </c>
      <c r="G10" s="323">
        <v>0</v>
      </c>
      <c r="H10" s="325">
        <v>1.4E-3</v>
      </c>
      <c r="I10" s="322">
        <v>7.2899999999999996E-3</v>
      </c>
      <c r="J10" s="323">
        <v>7.2899999999999996E-3</v>
      </c>
      <c r="K10" s="333" t="s">
        <v>218</v>
      </c>
    </row>
    <row r="11" spans="1:11" ht="14.4" customHeight="1" thickBot="1" x14ac:dyDescent="0.35">
      <c r="A11" s="343" t="s">
        <v>225</v>
      </c>
      <c r="B11" s="327">
        <v>911.00008224461101</v>
      </c>
      <c r="C11" s="327">
        <v>917.22098000000005</v>
      </c>
      <c r="D11" s="328">
        <v>6.2208977553890001</v>
      </c>
      <c r="E11" s="334">
        <v>1.006828646754</v>
      </c>
      <c r="F11" s="327">
        <v>903</v>
      </c>
      <c r="G11" s="328">
        <v>150.5</v>
      </c>
      <c r="H11" s="330">
        <v>67.340530000000001</v>
      </c>
      <c r="I11" s="327">
        <v>120.182</v>
      </c>
      <c r="J11" s="328">
        <v>-30.318000000000001</v>
      </c>
      <c r="K11" s="335">
        <v>0.133091915836</v>
      </c>
    </row>
    <row r="12" spans="1:11" ht="14.4" customHeight="1" thickBot="1" x14ac:dyDescent="0.35">
      <c r="A12" s="344" t="s">
        <v>226</v>
      </c>
      <c r="B12" s="322">
        <v>712.00006427899302</v>
      </c>
      <c r="C12" s="322">
        <v>715.01161000000002</v>
      </c>
      <c r="D12" s="323">
        <v>3.0115457210069998</v>
      </c>
      <c r="E12" s="324">
        <v>1.004229698664</v>
      </c>
      <c r="F12" s="322">
        <v>698</v>
      </c>
      <c r="G12" s="323">
        <v>116.333333333333</v>
      </c>
      <c r="H12" s="325">
        <v>54.443390000000001</v>
      </c>
      <c r="I12" s="322">
        <v>81.097729999999999</v>
      </c>
      <c r="J12" s="323">
        <v>-35.235603333333003</v>
      </c>
      <c r="K12" s="326">
        <v>0.116185859598</v>
      </c>
    </row>
    <row r="13" spans="1:11" ht="14.4" customHeight="1" thickBot="1" x14ac:dyDescent="0.35">
      <c r="A13" s="344" t="s">
        <v>227</v>
      </c>
      <c r="B13" s="322">
        <v>9.0000008125149993</v>
      </c>
      <c r="C13" s="322">
        <v>19.33137</v>
      </c>
      <c r="D13" s="323">
        <v>10.331369187484</v>
      </c>
      <c r="E13" s="324">
        <v>2.1479298060860001</v>
      </c>
      <c r="F13" s="322">
        <v>15</v>
      </c>
      <c r="G13" s="323">
        <v>2.5</v>
      </c>
      <c r="H13" s="325">
        <v>0</v>
      </c>
      <c r="I13" s="322">
        <v>0.35283999999999999</v>
      </c>
      <c r="J13" s="323">
        <v>-2.14716</v>
      </c>
      <c r="K13" s="326">
        <v>2.3522666665999999E-2</v>
      </c>
    </row>
    <row r="14" spans="1:11" ht="14.4" customHeight="1" thickBot="1" x14ac:dyDescent="0.35">
      <c r="A14" s="344" t="s">
        <v>228</v>
      </c>
      <c r="B14" s="322">
        <v>190.00001715310299</v>
      </c>
      <c r="C14" s="322">
        <v>182.87799999999999</v>
      </c>
      <c r="D14" s="323">
        <v>-7.122017153102</v>
      </c>
      <c r="E14" s="324">
        <v>0.96251570257800001</v>
      </c>
      <c r="F14" s="322">
        <v>190</v>
      </c>
      <c r="G14" s="323">
        <v>31.666666666666</v>
      </c>
      <c r="H14" s="325">
        <v>12.89714</v>
      </c>
      <c r="I14" s="322">
        <v>38.731430000000003</v>
      </c>
      <c r="J14" s="323">
        <v>7.0647633333330004</v>
      </c>
      <c r="K14" s="326">
        <v>0.20384963157800001</v>
      </c>
    </row>
    <row r="15" spans="1:11" ht="14.4" customHeight="1" thickBot="1" x14ac:dyDescent="0.35">
      <c r="A15" s="343" t="s">
        <v>229</v>
      </c>
      <c r="B15" s="327">
        <v>11688.0010634563</v>
      </c>
      <c r="C15" s="327">
        <v>15160.6049</v>
      </c>
      <c r="D15" s="328">
        <v>3472.6038365437298</v>
      </c>
      <c r="E15" s="334">
        <v>1.2971084463189999</v>
      </c>
      <c r="F15" s="327">
        <v>10718</v>
      </c>
      <c r="G15" s="328">
        <v>1786.3333333333301</v>
      </c>
      <c r="H15" s="330">
        <v>854.30397000000005</v>
      </c>
      <c r="I15" s="327">
        <v>1880.3038100000001</v>
      </c>
      <c r="J15" s="328">
        <v>93.970476666666002</v>
      </c>
      <c r="K15" s="335">
        <v>0.17543420507499999</v>
      </c>
    </row>
    <row r="16" spans="1:11" ht="14.4" customHeight="1" thickBot="1" x14ac:dyDescent="0.35">
      <c r="A16" s="344" t="s">
        <v>230</v>
      </c>
      <c r="B16" s="322">
        <v>7.0000006319560004</v>
      </c>
      <c r="C16" s="322">
        <v>0</v>
      </c>
      <c r="D16" s="323">
        <v>-7.0000006319560004</v>
      </c>
      <c r="E16" s="324">
        <v>0</v>
      </c>
      <c r="F16" s="322">
        <v>0</v>
      </c>
      <c r="G16" s="323">
        <v>0</v>
      </c>
      <c r="H16" s="325">
        <v>0</v>
      </c>
      <c r="I16" s="322">
        <v>0</v>
      </c>
      <c r="J16" s="323">
        <v>0</v>
      </c>
      <c r="K16" s="326">
        <v>2</v>
      </c>
    </row>
    <row r="17" spans="1:11" ht="14.4" customHeight="1" thickBot="1" x14ac:dyDescent="0.35">
      <c r="A17" s="344" t="s">
        <v>231</v>
      </c>
      <c r="B17" s="322">
        <v>3862.00034865937</v>
      </c>
      <c r="C17" s="322">
        <v>3681.2820999999999</v>
      </c>
      <c r="D17" s="323">
        <v>-180.71824865936699</v>
      </c>
      <c r="E17" s="324">
        <v>0.95320605066099995</v>
      </c>
      <c r="F17" s="322">
        <v>3308</v>
      </c>
      <c r="G17" s="323">
        <v>551.33333333333303</v>
      </c>
      <c r="H17" s="325">
        <v>421.39013</v>
      </c>
      <c r="I17" s="322">
        <v>546.17179999999996</v>
      </c>
      <c r="J17" s="323">
        <v>-5.1615333333329998</v>
      </c>
      <c r="K17" s="326">
        <v>0.16510634824600001</v>
      </c>
    </row>
    <row r="18" spans="1:11" ht="14.4" customHeight="1" thickBot="1" x14ac:dyDescent="0.35">
      <c r="A18" s="344" t="s">
        <v>232</v>
      </c>
      <c r="B18" s="322">
        <v>1870.00016882264</v>
      </c>
      <c r="C18" s="322">
        <v>1801.1657600000001</v>
      </c>
      <c r="D18" s="323">
        <v>-68.834408822634003</v>
      </c>
      <c r="E18" s="324">
        <v>0.963190159032</v>
      </c>
      <c r="F18" s="322">
        <v>1700</v>
      </c>
      <c r="G18" s="323">
        <v>283.33333333333297</v>
      </c>
      <c r="H18" s="325">
        <v>167.12751</v>
      </c>
      <c r="I18" s="322">
        <v>287.18918000000002</v>
      </c>
      <c r="J18" s="323">
        <v>3.8558466666659998</v>
      </c>
      <c r="K18" s="326">
        <v>0.16893481176399999</v>
      </c>
    </row>
    <row r="19" spans="1:11" ht="14.4" customHeight="1" thickBot="1" x14ac:dyDescent="0.35">
      <c r="A19" s="344" t="s">
        <v>233</v>
      </c>
      <c r="B19" s="322">
        <v>0</v>
      </c>
      <c r="C19" s="322">
        <v>4148.6390499999998</v>
      </c>
      <c r="D19" s="323">
        <v>4148.6390499999998</v>
      </c>
      <c r="E19" s="332" t="s">
        <v>218</v>
      </c>
      <c r="F19" s="322">
        <v>0</v>
      </c>
      <c r="G19" s="323">
        <v>0</v>
      </c>
      <c r="H19" s="325">
        <v>-17.064260000000001</v>
      </c>
      <c r="I19" s="322">
        <v>381.56715000000003</v>
      </c>
      <c r="J19" s="323">
        <v>381.56715000000003</v>
      </c>
      <c r="K19" s="333" t="s">
        <v>218</v>
      </c>
    </row>
    <row r="20" spans="1:11" ht="14.4" customHeight="1" thickBot="1" x14ac:dyDescent="0.35">
      <c r="A20" s="344" t="s">
        <v>234</v>
      </c>
      <c r="B20" s="322">
        <v>60.000005416769</v>
      </c>
      <c r="C20" s="322">
        <v>52.457700000000003</v>
      </c>
      <c r="D20" s="323">
        <v>-7.5423054167689996</v>
      </c>
      <c r="E20" s="324">
        <v>0.87429492106899998</v>
      </c>
      <c r="F20" s="322">
        <v>50</v>
      </c>
      <c r="G20" s="323">
        <v>8.333333333333</v>
      </c>
      <c r="H20" s="325">
        <v>0</v>
      </c>
      <c r="I20" s="322">
        <v>0</v>
      </c>
      <c r="J20" s="323">
        <v>-8.333333333333</v>
      </c>
      <c r="K20" s="326">
        <v>0</v>
      </c>
    </row>
    <row r="21" spans="1:11" ht="14.4" customHeight="1" thickBot="1" x14ac:dyDescent="0.35">
      <c r="A21" s="344" t="s">
        <v>235</v>
      </c>
      <c r="B21" s="322">
        <v>4100.00037014589</v>
      </c>
      <c r="C21" s="322">
        <v>3830.9960500000002</v>
      </c>
      <c r="D21" s="323">
        <v>-269.00432014588603</v>
      </c>
      <c r="E21" s="324">
        <v>0.93438919613100002</v>
      </c>
      <c r="F21" s="322">
        <v>4000</v>
      </c>
      <c r="G21" s="323">
        <v>666.66666666666697</v>
      </c>
      <c r="H21" s="325">
        <v>221.41997000000001</v>
      </c>
      <c r="I21" s="322">
        <v>449.17930999999999</v>
      </c>
      <c r="J21" s="323">
        <v>-217.48735666666701</v>
      </c>
      <c r="K21" s="326">
        <v>0.1122948275</v>
      </c>
    </row>
    <row r="22" spans="1:11" ht="14.4" customHeight="1" thickBot="1" x14ac:dyDescent="0.35">
      <c r="A22" s="344" t="s">
        <v>236</v>
      </c>
      <c r="B22" s="322">
        <v>110.000009930743</v>
      </c>
      <c r="C22" s="322">
        <v>81.992339999999999</v>
      </c>
      <c r="D22" s="323">
        <v>-28.007669930742999</v>
      </c>
      <c r="E22" s="324">
        <v>0.74538484179700004</v>
      </c>
      <c r="F22" s="322">
        <v>100</v>
      </c>
      <c r="G22" s="323">
        <v>16.666666666666</v>
      </c>
      <c r="H22" s="325">
        <v>0.216</v>
      </c>
      <c r="I22" s="322">
        <v>36.175080000000001</v>
      </c>
      <c r="J22" s="323">
        <v>19.508413333332999</v>
      </c>
      <c r="K22" s="326">
        <v>0.36175079999999998</v>
      </c>
    </row>
    <row r="23" spans="1:11" ht="14.4" customHeight="1" thickBot="1" x14ac:dyDescent="0.35">
      <c r="A23" s="344" t="s">
        <v>237</v>
      </c>
      <c r="B23" s="322">
        <v>8.2696686138916692E-6</v>
      </c>
      <c r="C23" s="322">
        <v>0</v>
      </c>
      <c r="D23" s="323">
        <v>-8.2696686138916692E-6</v>
      </c>
      <c r="E23" s="324">
        <v>0</v>
      </c>
      <c r="F23" s="322">
        <v>0</v>
      </c>
      <c r="G23" s="323">
        <v>0</v>
      </c>
      <c r="H23" s="325">
        <v>0</v>
      </c>
      <c r="I23" s="322">
        <v>0</v>
      </c>
      <c r="J23" s="323">
        <v>0</v>
      </c>
      <c r="K23" s="326">
        <v>2</v>
      </c>
    </row>
    <row r="24" spans="1:11" ht="14.4" customHeight="1" thickBot="1" x14ac:dyDescent="0.35">
      <c r="A24" s="344" t="s">
        <v>238</v>
      </c>
      <c r="B24" s="322">
        <v>810.00007312638297</v>
      </c>
      <c r="C24" s="322">
        <v>746.55073000000004</v>
      </c>
      <c r="D24" s="323">
        <v>-63.449343126381997</v>
      </c>
      <c r="E24" s="324">
        <v>0.92166748469299997</v>
      </c>
      <c r="F24" s="322">
        <v>800</v>
      </c>
      <c r="G24" s="323">
        <v>133.333333333333</v>
      </c>
      <c r="H24" s="325">
        <v>51.7258</v>
      </c>
      <c r="I24" s="322">
        <v>157.61693</v>
      </c>
      <c r="J24" s="323">
        <v>24.283596666666</v>
      </c>
      <c r="K24" s="326">
        <v>0.19702116250000001</v>
      </c>
    </row>
    <row r="25" spans="1:11" ht="14.4" customHeight="1" thickBot="1" x14ac:dyDescent="0.35">
      <c r="A25" s="344" t="s">
        <v>239</v>
      </c>
      <c r="B25" s="322">
        <v>9.0000008125149993</v>
      </c>
      <c r="C25" s="322">
        <v>1.7302999999999999</v>
      </c>
      <c r="D25" s="323">
        <v>-7.2697008125150004</v>
      </c>
      <c r="E25" s="324">
        <v>0.19225553819800001</v>
      </c>
      <c r="F25" s="322">
        <v>0</v>
      </c>
      <c r="G25" s="323">
        <v>0</v>
      </c>
      <c r="H25" s="325">
        <v>0</v>
      </c>
      <c r="I25" s="322">
        <v>0</v>
      </c>
      <c r="J25" s="323">
        <v>0</v>
      </c>
      <c r="K25" s="333" t="s">
        <v>218</v>
      </c>
    </row>
    <row r="26" spans="1:11" ht="14.4" customHeight="1" thickBot="1" x14ac:dyDescent="0.35">
      <c r="A26" s="344" t="s">
        <v>240</v>
      </c>
      <c r="B26" s="322">
        <v>190.00001715310199</v>
      </c>
      <c r="C26" s="322">
        <v>170.88442000000001</v>
      </c>
      <c r="D26" s="323">
        <v>-19.115597153102001</v>
      </c>
      <c r="E26" s="324">
        <v>0.89939160301300003</v>
      </c>
      <c r="F26" s="322">
        <v>160</v>
      </c>
      <c r="G26" s="323">
        <v>26.666666666666</v>
      </c>
      <c r="H26" s="325">
        <v>9.4888200000000005</v>
      </c>
      <c r="I26" s="322">
        <v>22.40436</v>
      </c>
      <c r="J26" s="323">
        <v>-4.2623066666660003</v>
      </c>
      <c r="K26" s="326">
        <v>0.14002724999999999</v>
      </c>
    </row>
    <row r="27" spans="1:11" ht="14.4" customHeight="1" thickBot="1" x14ac:dyDescent="0.35">
      <c r="A27" s="344" t="s">
        <v>241</v>
      </c>
      <c r="B27" s="322">
        <v>670.00006048725504</v>
      </c>
      <c r="C27" s="322">
        <v>644.90644999999995</v>
      </c>
      <c r="D27" s="323">
        <v>-25.093610487254001</v>
      </c>
      <c r="E27" s="324">
        <v>0.96254685340000001</v>
      </c>
      <c r="F27" s="322">
        <v>600</v>
      </c>
      <c r="G27" s="323">
        <v>100</v>
      </c>
      <c r="H27" s="325">
        <v>0</v>
      </c>
      <c r="I27" s="322">
        <v>0</v>
      </c>
      <c r="J27" s="323">
        <v>-100</v>
      </c>
      <c r="K27" s="326">
        <v>0</v>
      </c>
    </row>
    <row r="28" spans="1:11" ht="14.4" customHeight="1" thickBot="1" x14ac:dyDescent="0.35">
      <c r="A28" s="343" t="s">
        <v>242</v>
      </c>
      <c r="B28" s="327">
        <v>0</v>
      </c>
      <c r="C28" s="327">
        <v>0</v>
      </c>
      <c r="D28" s="328">
        <v>0</v>
      </c>
      <c r="E28" s="334">
        <v>1</v>
      </c>
      <c r="F28" s="327">
        <v>0</v>
      </c>
      <c r="G28" s="328">
        <v>0</v>
      </c>
      <c r="H28" s="330">
        <v>27.46313</v>
      </c>
      <c r="I28" s="327">
        <v>27.46313</v>
      </c>
      <c r="J28" s="328">
        <v>27.46313</v>
      </c>
      <c r="K28" s="331" t="s">
        <v>243</v>
      </c>
    </row>
    <row r="29" spans="1:11" ht="14.4" customHeight="1" thickBot="1" x14ac:dyDescent="0.35">
      <c r="A29" s="344" t="s">
        <v>244</v>
      </c>
      <c r="B29" s="322">
        <v>0</v>
      </c>
      <c r="C29" s="322">
        <v>0</v>
      </c>
      <c r="D29" s="323">
        <v>0</v>
      </c>
      <c r="E29" s="324">
        <v>1</v>
      </c>
      <c r="F29" s="322">
        <v>0</v>
      </c>
      <c r="G29" s="323">
        <v>0</v>
      </c>
      <c r="H29" s="325">
        <v>27.46313</v>
      </c>
      <c r="I29" s="322">
        <v>27.46313</v>
      </c>
      <c r="J29" s="323">
        <v>27.46313</v>
      </c>
      <c r="K29" s="333" t="s">
        <v>243</v>
      </c>
    </row>
    <row r="30" spans="1:11" ht="14.4" customHeight="1" thickBot="1" x14ac:dyDescent="0.35">
      <c r="A30" s="343" t="s">
        <v>245</v>
      </c>
      <c r="B30" s="327">
        <v>671.16335038408397</v>
      </c>
      <c r="C30" s="327">
        <v>773.01183000000105</v>
      </c>
      <c r="D30" s="328">
        <v>101.848479615917</v>
      </c>
      <c r="E30" s="334">
        <v>1.151749167408</v>
      </c>
      <c r="F30" s="327">
        <v>708.92122156728101</v>
      </c>
      <c r="G30" s="328">
        <v>118.15353692788</v>
      </c>
      <c r="H30" s="330">
        <v>72.530159999999995</v>
      </c>
      <c r="I30" s="327">
        <v>94.822959999999995</v>
      </c>
      <c r="J30" s="328">
        <v>-23.330576927879999</v>
      </c>
      <c r="K30" s="335">
        <v>0.13375669554700001</v>
      </c>
    </row>
    <row r="31" spans="1:11" ht="14.4" customHeight="1" thickBot="1" x14ac:dyDescent="0.35">
      <c r="A31" s="344" t="s">
        <v>246</v>
      </c>
      <c r="B31" s="322">
        <v>6.7503448220440001</v>
      </c>
      <c r="C31" s="322">
        <v>3.6299999999989998</v>
      </c>
      <c r="D31" s="323">
        <v>-3.1203448220440002</v>
      </c>
      <c r="E31" s="324">
        <v>0.53775030693899994</v>
      </c>
      <c r="F31" s="322">
        <v>0</v>
      </c>
      <c r="G31" s="323">
        <v>0</v>
      </c>
      <c r="H31" s="325">
        <v>2.3999999900000001E-4</v>
      </c>
      <c r="I31" s="322">
        <v>2.3999999900000001E-4</v>
      </c>
      <c r="J31" s="323">
        <v>2.3999999900000001E-4</v>
      </c>
      <c r="K31" s="333" t="s">
        <v>218</v>
      </c>
    </row>
    <row r="32" spans="1:11" ht="14.4" customHeight="1" thickBot="1" x14ac:dyDescent="0.35">
      <c r="A32" s="344" t="s">
        <v>247</v>
      </c>
      <c r="B32" s="322">
        <v>20.046657061998999</v>
      </c>
      <c r="C32" s="322">
        <v>18.087230000000002</v>
      </c>
      <c r="D32" s="323">
        <v>-1.959427061999</v>
      </c>
      <c r="E32" s="324">
        <v>0.90225666773500002</v>
      </c>
      <c r="F32" s="322">
        <v>20</v>
      </c>
      <c r="G32" s="323">
        <v>3.333333333333</v>
      </c>
      <c r="H32" s="325">
        <v>1.90442</v>
      </c>
      <c r="I32" s="322">
        <v>2.4020700000000001</v>
      </c>
      <c r="J32" s="323">
        <v>-0.93126333333300004</v>
      </c>
      <c r="K32" s="326">
        <v>0.1201035</v>
      </c>
    </row>
    <row r="33" spans="1:11" ht="14.4" customHeight="1" thickBot="1" x14ac:dyDescent="0.35">
      <c r="A33" s="344" t="s">
        <v>248</v>
      </c>
      <c r="B33" s="322">
        <v>460.16680412419498</v>
      </c>
      <c r="C33" s="322">
        <v>534.80727000000104</v>
      </c>
      <c r="D33" s="323">
        <v>74.640465875805006</v>
      </c>
      <c r="E33" s="324">
        <v>1.1622030646420001</v>
      </c>
      <c r="F33" s="322">
        <v>469.87497700089699</v>
      </c>
      <c r="G33" s="323">
        <v>78.312496166816004</v>
      </c>
      <c r="H33" s="325">
        <v>51.650889999999997</v>
      </c>
      <c r="I33" s="322">
        <v>59.381799999999998</v>
      </c>
      <c r="J33" s="323">
        <v>-18.930696166815999</v>
      </c>
      <c r="K33" s="326">
        <v>0.12637787263899999</v>
      </c>
    </row>
    <row r="34" spans="1:11" ht="14.4" customHeight="1" thickBot="1" x14ac:dyDescent="0.35">
      <c r="A34" s="344" t="s">
        <v>249</v>
      </c>
      <c r="B34" s="322">
        <v>22.479152597144001</v>
      </c>
      <c r="C34" s="322">
        <v>21.891169999999999</v>
      </c>
      <c r="D34" s="323">
        <v>-0.58798259714400003</v>
      </c>
      <c r="E34" s="324">
        <v>0.97384320451499995</v>
      </c>
      <c r="F34" s="322">
        <v>25</v>
      </c>
      <c r="G34" s="323">
        <v>4.1666666666659999</v>
      </c>
      <c r="H34" s="325">
        <v>1.4328000000000001</v>
      </c>
      <c r="I34" s="322">
        <v>4.1083999999999996</v>
      </c>
      <c r="J34" s="323">
        <v>-5.8266666666E-2</v>
      </c>
      <c r="K34" s="326">
        <v>0.16433600000000001</v>
      </c>
    </row>
    <row r="35" spans="1:11" ht="14.4" customHeight="1" thickBot="1" x14ac:dyDescent="0.35">
      <c r="A35" s="344" t="s">
        <v>250</v>
      </c>
      <c r="B35" s="322">
        <v>8.4806021155749995</v>
      </c>
      <c r="C35" s="322">
        <v>13.837260000000001</v>
      </c>
      <c r="D35" s="323">
        <v>5.356657884424</v>
      </c>
      <c r="E35" s="324">
        <v>1.631636505453</v>
      </c>
      <c r="F35" s="322">
        <v>15.799875775728999</v>
      </c>
      <c r="G35" s="323">
        <v>2.633312629288</v>
      </c>
      <c r="H35" s="325">
        <v>1.5800000000000002E-2</v>
      </c>
      <c r="I35" s="322">
        <v>1.5800000000000002E-2</v>
      </c>
      <c r="J35" s="323">
        <v>-2.617512629288</v>
      </c>
      <c r="K35" s="326">
        <v>1.000007862E-3</v>
      </c>
    </row>
    <row r="36" spans="1:11" ht="14.4" customHeight="1" thickBot="1" x14ac:dyDescent="0.35">
      <c r="A36" s="344" t="s">
        <v>251</v>
      </c>
      <c r="B36" s="322">
        <v>0</v>
      </c>
      <c r="C36" s="322">
        <v>0.20874000000000001</v>
      </c>
      <c r="D36" s="323">
        <v>0.20874000000000001</v>
      </c>
      <c r="E36" s="332" t="s">
        <v>218</v>
      </c>
      <c r="F36" s="322">
        <v>0</v>
      </c>
      <c r="G36" s="323">
        <v>0</v>
      </c>
      <c r="H36" s="325">
        <v>0</v>
      </c>
      <c r="I36" s="322">
        <v>0</v>
      </c>
      <c r="J36" s="323">
        <v>0</v>
      </c>
      <c r="K36" s="333" t="s">
        <v>218</v>
      </c>
    </row>
    <row r="37" spans="1:11" ht="14.4" customHeight="1" thickBot="1" x14ac:dyDescent="0.35">
      <c r="A37" s="344" t="s">
        <v>252</v>
      </c>
      <c r="B37" s="322">
        <v>0</v>
      </c>
      <c r="C37" s="322">
        <v>0.816749999999</v>
      </c>
      <c r="D37" s="323">
        <v>0.816749999999</v>
      </c>
      <c r="E37" s="332" t="s">
        <v>243</v>
      </c>
      <c r="F37" s="322">
        <v>0</v>
      </c>
      <c r="G37" s="323">
        <v>0</v>
      </c>
      <c r="H37" s="325">
        <v>0</v>
      </c>
      <c r="I37" s="322">
        <v>2.2989999999999999</v>
      </c>
      <c r="J37" s="323">
        <v>2.2989999999999999</v>
      </c>
      <c r="K37" s="333" t="s">
        <v>218</v>
      </c>
    </row>
    <row r="38" spans="1:11" ht="14.4" customHeight="1" thickBot="1" x14ac:dyDescent="0.35">
      <c r="A38" s="344" t="s">
        <v>253</v>
      </c>
      <c r="B38" s="322">
        <v>6.7474233325370001</v>
      </c>
      <c r="C38" s="322">
        <v>5.3906499999999999</v>
      </c>
      <c r="D38" s="323">
        <v>-1.3567733325369999</v>
      </c>
      <c r="E38" s="324">
        <v>0.79891978527600005</v>
      </c>
      <c r="F38" s="322">
        <v>7</v>
      </c>
      <c r="G38" s="323">
        <v>1.1666666666659999</v>
      </c>
      <c r="H38" s="325">
        <v>0.59826000000000001</v>
      </c>
      <c r="I38" s="322">
        <v>1.19652</v>
      </c>
      <c r="J38" s="323">
        <v>2.9853333332999998E-2</v>
      </c>
      <c r="K38" s="326">
        <v>0.17093142857099999</v>
      </c>
    </row>
    <row r="39" spans="1:11" ht="14.4" customHeight="1" thickBot="1" x14ac:dyDescent="0.35">
      <c r="A39" s="344" t="s">
        <v>254</v>
      </c>
      <c r="B39" s="322">
        <v>67.025949448177002</v>
      </c>
      <c r="C39" s="322">
        <v>65.22654</v>
      </c>
      <c r="D39" s="323">
        <v>-1.799409448177</v>
      </c>
      <c r="E39" s="324">
        <v>0.97315354033699997</v>
      </c>
      <c r="F39" s="322">
        <v>67</v>
      </c>
      <c r="G39" s="323">
        <v>11.166666666666</v>
      </c>
      <c r="H39" s="325">
        <v>7.9073500000000001</v>
      </c>
      <c r="I39" s="322">
        <v>7.9073500000000001</v>
      </c>
      <c r="J39" s="323">
        <v>-3.2593166666659998</v>
      </c>
      <c r="K39" s="326">
        <v>0.118020149253</v>
      </c>
    </row>
    <row r="40" spans="1:11" ht="14.4" customHeight="1" thickBot="1" x14ac:dyDescent="0.35">
      <c r="A40" s="344" t="s">
        <v>255</v>
      </c>
      <c r="B40" s="322">
        <v>13.128117681337001</v>
      </c>
      <c r="C40" s="322">
        <v>9.4900300000000009</v>
      </c>
      <c r="D40" s="323">
        <v>-3.6380876813369998</v>
      </c>
      <c r="E40" s="324">
        <v>0.72287819399200004</v>
      </c>
      <c r="F40" s="322">
        <v>13.246368790654</v>
      </c>
      <c r="G40" s="323">
        <v>2.2077281317750002</v>
      </c>
      <c r="H40" s="325">
        <v>1.33826</v>
      </c>
      <c r="I40" s="322">
        <v>2.4901800000000001</v>
      </c>
      <c r="J40" s="323">
        <v>0.28245186822399998</v>
      </c>
      <c r="K40" s="326">
        <v>0.18798963243</v>
      </c>
    </row>
    <row r="41" spans="1:11" ht="14.4" customHeight="1" thickBot="1" x14ac:dyDescent="0.35">
      <c r="A41" s="344" t="s">
        <v>256</v>
      </c>
      <c r="B41" s="322">
        <v>58.781162720018997</v>
      </c>
      <c r="C41" s="322">
        <v>97.266689999999997</v>
      </c>
      <c r="D41" s="323">
        <v>38.485527279981</v>
      </c>
      <c r="E41" s="324">
        <v>1.654725519181</v>
      </c>
      <c r="F41" s="322">
        <v>91</v>
      </c>
      <c r="G41" s="323">
        <v>15.166666666666</v>
      </c>
      <c r="H41" s="325">
        <v>7.6821400000000004</v>
      </c>
      <c r="I41" s="322">
        <v>15.021599999999999</v>
      </c>
      <c r="J41" s="323">
        <v>-0.14506666666599999</v>
      </c>
      <c r="K41" s="326">
        <v>0.16507252747199999</v>
      </c>
    </row>
    <row r="42" spans="1:11" ht="14.4" customHeight="1" thickBot="1" x14ac:dyDescent="0.35">
      <c r="A42" s="344" t="s">
        <v>257</v>
      </c>
      <c r="B42" s="322">
        <v>7.557136481054</v>
      </c>
      <c r="C42" s="322">
        <v>2.3595000000000002</v>
      </c>
      <c r="D42" s="323">
        <v>-5.1976364810540003</v>
      </c>
      <c r="E42" s="324">
        <v>0.312221435449</v>
      </c>
      <c r="F42" s="322">
        <v>0</v>
      </c>
      <c r="G42" s="323">
        <v>0</v>
      </c>
      <c r="H42" s="325">
        <v>0</v>
      </c>
      <c r="I42" s="322">
        <v>0</v>
      </c>
      <c r="J42" s="323">
        <v>0</v>
      </c>
      <c r="K42" s="333" t="s">
        <v>218</v>
      </c>
    </row>
    <row r="43" spans="1:11" ht="14.4" customHeight="1" thickBot="1" x14ac:dyDescent="0.35">
      <c r="A43" s="343" t="s">
        <v>258</v>
      </c>
      <c r="B43" s="327">
        <v>414.632613999667</v>
      </c>
      <c r="C43" s="327">
        <v>395.59598999999997</v>
      </c>
      <c r="D43" s="328">
        <v>-19.036623999667</v>
      </c>
      <c r="E43" s="334">
        <v>0.95408797244300003</v>
      </c>
      <c r="F43" s="327">
        <v>482.45691578771499</v>
      </c>
      <c r="G43" s="328">
        <v>80.409485964618995</v>
      </c>
      <c r="H43" s="330">
        <v>10.605560000000001</v>
      </c>
      <c r="I43" s="327">
        <v>11.569140000000001</v>
      </c>
      <c r="J43" s="328">
        <v>-68.840345964619004</v>
      </c>
      <c r="K43" s="335">
        <v>2.3979633457999999E-2</v>
      </c>
    </row>
    <row r="44" spans="1:11" ht="14.4" customHeight="1" thickBot="1" x14ac:dyDescent="0.35">
      <c r="A44" s="344" t="s">
        <v>259</v>
      </c>
      <c r="B44" s="322">
        <v>50.766983791784</v>
      </c>
      <c r="C44" s="322">
        <v>106.2895</v>
      </c>
      <c r="D44" s="323">
        <v>55.522516208215002</v>
      </c>
      <c r="E44" s="324">
        <v>2.0936737237709999</v>
      </c>
      <c r="F44" s="322">
        <v>138.595005225839</v>
      </c>
      <c r="G44" s="323">
        <v>23.099167537639001</v>
      </c>
      <c r="H44" s="325">
        <v>0</v>
      </c>
      <c r="I44" s="322">
        <v>0.502</v>
      </c>
      <c r="J44" s="323">
        <v>-22.597167537638999</v>
      </c>
      <c r="K44" s="326">
        <v>3.6220641510000002E-3</v>
      </c>
    </row>
    <row r="45" spans="1:11" ht="14.4" customHeight="1" thickBot="1" x14ac:dyDescent="0.35">
      <c r="A45" s="344" t="s">
        <v>260</v>
      </c>
      <c r="B45" s="322">
        <v>343.91759590368702</v>
      </c>
      <c r="C45" s="322">
        <v>283.95022999999998</v>
      </c>
      <c r="D45" s="323">
        <v>-59.967365903687003</v>
      </c>
      <c r="E45" s="324">
        <v>0.82563449321000004</v>
      </c>
      <c r="F45" s="322">
        <v>337.98104826028498</v>
      </c>
      <c r="G45" s="323">
        <v>56.330174710046997</v>
      </c>
      <c r="H45" s="325">
        <v>10.54636</v>
      </c>
      <c r="I45" s="322">
        <v>10.54636</v>
      </c>
      <c r="J45" s="323">
        <v>-45.783814710046997</v>
      </c>
      <c r="K45" s="326">
        <v>3.1203998136E-2</v>
      </c>
    </row>
    <row r="46" spans="1:11" ht="14.4" customHeight="1" thickBot="1" x14ac:dyDescent="0.35">
      <c r="A46" s="344" t="s">
        <v>261</v>
      </c>
      <c r="B46" s="322">
        <v>19.948034304195001</v>
      </c>
      <c r="C46" s="322">
        <v>5.3562599999999998</v>
      </c>
      <c r="D46" s="323">
        <v>-14.591774304195001</v>
      </c>
      <c r="E46" s="324">
        <v>0.26851066718200001</v>
      </c>
      <c r="F46" s="322">
        <v>5.8808623015899997</v>
      </c>
      <c r="G46" s="323">
        <v>0.980143716931</v>
      </c>
      <c r="H46" s="325">
        <v>5.9200000000000003E-2</v>
      </c>
      <c r="I46" s="322">
        <v>0.52078000000000002</v>
      </c>
      <c r="J46" s="323">
        <v>-0.45936371693099998</v>
      </c>
      <c r="K46" s="326">
        <v>8.8555040619999997E-2</v>
      </c>
    </row>
    <row r="47" spans="1:11" ht="14.4" customHeight="1" thickBot="1" x14ac:dyDescent="0.35">
      <c r="A47" s="343" t="s">
        <v>262</v>
      </c>
      <c r="B47" s="327">
        <v>6745.6134428429596</v>
      </c>
      <c r="C47" s="327">
        <v>6782.65726000001</v>
      </c>
      <c r="D47" s="328">
        <v>37.043817157042</v>
      </c>
      <c r="E47" s="334">
        <v>1.0054915416470001</v>
      </c>
      <c r="F47" s="327">
        <v>6450</v>
      </c>
      <c r="G47" s="328">
        <v>1075</v>
      </c>
      <c r="H47" s="330">
        <v>557.38162</v>
      </c>
      <c r="I47" s="327">
        <v>889.87419999999997</v>
      </c>
      <c r="J47" s="328">
        <v>-185.1258</v>
      </c>
      <c r="K47" s="335">
        <v>0.13796499224799999</v>
      </c>
    </row>
    <row r="48" spans="1:11" ht="14.4" customHeight="1" thickBot="1" x14ac:dyDescent="0.35">
      <c r="A48" s="344" t="s">
        <v>263</v>
      </c>
      <c r="B48" s="322">
        <v>0</v>
      </c>
      <c r="C48" s="322">
        <v>49.358319999999999</v>
      </c>
      <c r="D48" s="323">
        <v>49.358319999999999</v>
      </c>
      <c r="E48" s="332" t="s">
        <v>218</v>
      </c>
      <c r="F48" s="322">
        <v>61</v>
      </c>
      <c r="G48" s="323">
        <v>10.166666666666</v>
      </c>
      <c r="H48" s="325">
        <v>2.2336200000000002</v>
      </c>
      <c r="I48" s="322">
        <v>4.1212200000000001</v>
      </c>
      <c r="J48" s="323">
        <v>-6.0454466666659998</v>
      </c>
      <c r="K48" s="326">
        <v>6.7560983606000005E-2</v>
      </c>
    </row>
    <row r="49" spans="1:11" ht="14.4" customHeight="1" thickBot="1" x14ac:dyDescent="0.35">
      <c r="A49" s="344" t="s">
        <v>264</v>
      </c>
      <c r="B49" s="322">
        <v>0</v>
      </c>
      <c r="C49" s="322">
        <v>0.86880000000000002</v>
      </c>
      <c r="D49" s="323">
        <v>0.86880000000000002</v>
      </c>
      <c r="E49" s="332" t="s">
        <v>243</v>
      </c>
      <c r="F49" s="322">
        <v>0</v>
      </c>
      <c r="G49" s="323">
        <v>0</v>
      </c>
      <c r="H49" s="325">
        <v>0</v>
      </c>
      <c r="I49" s="322">
        <v>0</v>
      </c>
      <c r="J49" s="323">
        <v>0</v>
      </c>
      <c r="K49" s="333" t="s">
        <v>218</v>
      </c>
    </row>
    <row r="50" spans="1:11" ht="14.4" customHeight="1" thickBot="1" x14ac:dyDescent="0.35">
      <c r="A50" s="344" t="s">
        <v>265</v>
      </c>
      <c r="B50" s="322">
        <v>2170.0001959064898</v>
      </c>
      <c r="C50" s="322">
        <v>2166.0734299999999</v>
      </c>
      <c r="D50" s="323">
        <v>-3.926765906485</v>
      </c>
      <c r="E50" s="324">
        <v>0.99819043062099999</v>
      </c>
      <c r="F50" s="322">
        <v>2170</v>
      </c>
      <c r="G50" s="323">
        <v>361.66666666666703</v>
      </c>
      <c r="H50" s="325">
        <v>175.60596000000001</v>
      </c>
      <c r="I50" s="322">
        <v>350.25466</v>
      </c>
      <c r="J50" s="323">
        <v>-11.412006666666</v>
      </c>
      <c r="K50" s="326">
        <v>0.161407677419</v>
      </c>
    </row>
    <row r="51" spans="1:11" ht="14.4" customHeight="1" thickBot="1" x14ac:dyDescent="0.35">
      <c r="A51" s="344" t="s">
        <v>266</v>
      </c>
      <c r="B51" s="322">
        <v>3657.0003301520801</v>
      </c>
      <c r="C51" s="322">
        <v>3619.6228599999999</v>
      </c>
      <c r="D51" s="323">
        <v>-37.377470152080001</v>
      </c>
      <c r="E51" s="324">
        <v>0.98977919967700001</v>
      </c>
      <c r="F51" s="322">
        <v>3300</v>
      </c>
      <c r="G51" s="323">
        <v>550</v>
      </c>
      <c r="H51" s="325">
        <v>309.09913</v>
      </c>
      <c r="I51" s="322">
        <v>389.29183999999998</v>
      </c>
      <c r="J51" s="323">
        <v>-160.70815999999999</v>
      </c>
      <c r="K51" s="326">
        <v>0.117967224242</v>
      </c>
    </row>
    <row r="52" spans="1:11" ht="14.4" customHeight="1" thickBot="1" x14ac:dyDescent="0.35">
      <c r="A52" s="344" t="s">
        <v>267</v>
      </c>
      <c r="B52" s="322">
        <v>918.61291678439204</v>
      </c>
      <c r="C52" s="322">
        <v>946.73385000000098</v>
      </c>
      <c r="D52" s="323">
        <v>28.120933215608002</v>
      </c>
      <c r="E52" s="324">
        <v>1.030612386024</v>
      </c>
      <c r="F52" s="322">
        <v>919</v>
      </c>
      <c r="G52" s="323">
        <v>153.166666666667</v>
      </c>
      <c r="H52" s="325">
        <v>70.442909999999998</v>
      </c>
      <c r="I52" s="322">
        <v>146.20648</v>
      </c>
      <c r="J52" s="323">
        <v>-6.9601866666659999</v>
      </c>
      <c r="K52" s="326">
        <v>0.15909301414499999</v>
      </c>
    </row>
    <row r="53" spans="1:11" ht="14.4" customHeight="1" thickBot="1" x14ac:dyDescent="0.35">
      <c r="A53" s="343" t="s">
        <v>268</v>
      </c>
      <c r="B53" s="327">
        <v>0</v>
      </c>
      <c r="C53" s="327">
        <v>2.1819999999999999</v>
      </c>
      <c r="D53" s="328">
        <v>2.1819999999999999</v>
      </c>
      <c r="E53" s="329" t="s">
        <v>243</v>
      </c>
      <c r="F53" s="327">
        <v>0</v>
      </c>
      <c r="G53" s="328">
        <v>0</v>
      </c>
      <c r="H53" s="330">
        <v>0</v>
      </c>
      <c r="I53" s="327">
        <v>0</v>
      </c>
      <c r="J53" s="328">
        <v>0</v>
      </c>
      <c r="K53" s="335">
        <v>2</v>
      </c>
    </row>
    <row r="54" spans="1:11" ht="14.4" customHeight="1" thickBot="1" x14ac:dyDescent="0.35">
      <c r="A54" s="344" t="s">
        <v>269</v>
      </c>
      <c r="B54" s="322">
        <v>0</v>
      </c>
      <c r="C54" s="322">
        <v>2.1819999999999999</v>
      </c>
      <c r="D54" s="323">
        <v>2.1819999999999999</v>
      </c>
      <c r="E54" s="332" t="s">
        <v>243</v>
      </c>
      <c r="F54" s="322">
        <v>0</v>
      </c>
      <c r="G54" s="323">
        <v>0</v>
      </c>
      <c r="H54" s="325">
        <v>0</v>
      </c>
      <c r="I54" s="322">
        <v>0</v>
      </c>
      <c r="J54" s="323">
        <v>0</v>
      </c>
      <c r="K54" s="326">
        <v>2</v>
      </c>
    </row>
    <row r="55" spans="1:11" ht="14.4" customHeight="1" thickBot="1" x14ac:dyDescent="0.35">
      <c r="A55" s="342" t="s">
        <v>26</v>
      </c>
      <c r="B55" s="322">
        <v>2155.5683865285</v>
      </c>
      <c r="C55" s="322">
        <v>2230.855</v>
      </c>
      <c r="D55" s="323">
        <v>75.286613471498001</v>
      </c>
      <c r="E55" s="324">
        <v>1.0349265715439999</v>
      </c>
      <c r="F55" s="322">
        <v>2314.70564950774</v>
      </c>
      <c r="G55" s="323">
        <v>385.784274917956</v>
      </c>
      <c r="H55" s="325">
        <v>213.922</v>
      </c>
      <c r="I55" s="322">
        <v>484.67399999999998</v>
      </c>
      <c r="J55" s="323">
        <v>98.889725082043995</v>
      </c>
      <c r="K55" s="326">
        <v>0.20938904266399999</v>
      </c>
    </row>
    <row r="56" spans="1:11" ht="14.4" customHeight="1" thickBot="1" x14ac:dyDescent="0.35">
      <c r="A56" s="343" t="s">
        <v>270</v>
      </c>
      <c r="B56" s="327">
        <v>2155.5683865285</v>
      </c>
      <c r="C56" s="327">
        <v>2230.855</v>
      </c>
      <c r="D56" s="328">
        <v>75.286613471498001</v>
      </c>
      <c r="E56" s="334">
        <v>1.0349265715439999</v>
      </c>
      <c r="F56" s="327">
        <v>2314.70564950774</v>
      </c>
      <c r="G56" s="328">
        <v>385.784274917956</v>
      </c>
      <c r="H56" s="330">
        <v>213.922</v>
      </c>
      <c r="I56" s="327">
        <v>484.67399999999998</v>
      </c>
      <c r="J56" s="328">
        <v>98.889725082043995</v>
      </c>
      <c r="K56" s="335">
        <v>0.20938904266399999</v>
      </c>
    </row>
    <row r="57" spans="1:11" ht="14.4" customHeight="1" thickBot="1" x14ac:dyDescent="0.35">
      <c r="A57" s="344" t="s">
        <v>271</v>
      </c>
      <c r="B57" s="322">
        <v>521.23992050731204</v>
      </c>
      <c r="C57" s="322">
        <v>474.00900000000001</v>
      </c>
      <c r="D57" s="323">
        <v>-47.230920507310998</v>
      </c>
      <c r="E57" s="324">
        <v>0.909387369138</v>
      </c>
      <c r="F57" s="322">
        <v>488.99999999999801</v>
      </c>
      <c r="G57" s="323">
        <v>81.499999999999005</v>
      </c>
      <c r="H57" s="325">
        <v>39.110999999999997</v>
      </c>
      <c r="I57" s="322">
        <v>80.784999999999997</v>
      </c>
      <c r="J57" s="323">
        <v>-0.71499999999899999</v>
      </c>
      <c r="K57" s="326">
        <v>0.16520449897700001</v>
      </c>
    </row>
    <row r="58" spans="1:11" ht="14.4" customHeight="1" thickBot="1" x14ac:dyDescent="0.35">
      <c r="A58" s="344" t="s">
        <v>272</v>
      </c>
      <c r="B58" s="322">
        <v>878.98811046600997</v>
      </c>
      <c r="C58" s="322">
        <v>972.7</v>
      </c>
      <c r="D58" s="323">
        <v>93.711889533990004</v>
      </c>
      <c r="E58" s="324">
        <v>1.1066133755600001</v>
      </c>
      <c r="F58" s="322">
        <v>1050.70564950774</v>
      </c>
      <c r="G58" s="323">
        <v>175.11760825128999</v>
      </c>
      <c r="H58" s="325">
        <v>80.718000000000004</v>
      </c>
      <c r="I58" s="322">
        <v>184.625</v>
      </c>
      <c r="J58" s="323">
        <v>9.5073917487090007</v>
      </c>
      <c r="K58" s="326">
        <v>0.17571524440399999</v>
      </c>
    </row>
    <row r="59" spans="1:11" ht="14.4" customHeight="1" thickBot="1" x14ac:dyDescent="0.35">
      <c r="A59" s="344" t="s">
        <v>273</v>
      </c>
      <c r="B59" s="322">
        <v>755.34035555518096</v>
      </c>
      <c r="C59" s="322">
        <v>784.14599999999996</v>
      </c>
      <c r="D59" s="323">
        <v>28.805644444818999</v>
      </c>
      <c r="E59" s="324">
        <v>1.0381359796709999</v>
      </c>
      <c r="F59" s="322">
        <v>774.99999999999704</v>
      </c>
      <c r="G59" s="323">
        <v>129.166666666666</v>
      </c>
      <c r="H59" s="325">
        <v>94.093000000000004</v>
      </c>
      <c r="I59" s="322">
        <v>219.26400000000001</v>
      </c>
      <c r="J59" s="323">
        <v>90.097333333332998</v>
      </c>
      <c r="K59" s="326">
        <v>0.28292129032199997</v>
      </c>
    </row>
    <row r="60" spans="1:11" ht="14.4" customHeight="1" thickBot="1" x14ac:dyDescent="0.35">
      <c r="A60" s="345" t="s">
        <v>274</v>
      </c>
      <c r="B60" s="327">
        <v>11391.063729462399</v>
      </c>
      <c r="C60" s="327">
        <v>10141.36169</v>
      </c>
      <c r="D60" s="328">
        <v>-1249.7020394623901</v>
      </c>
      <c r="E60" s="334">
        <v>0.89029101503200003</v>
      </c>
      <c r="F60" s="327">
        <v>13228.8943104967</v>
      </c>
      <c r="G60" s="328">
        <v>2204.81571841611</v>
      </c>
      <c r="H60" s="330">
        <v>325.48764</v>
      </c>
      <c r="I60" s="327">
        <v>719.29566999999997</v>
      </c>
      <c r="J60" s="328">
        <v>-1485.5200484161101</v>
      </c>
      <c r="K60" s="335">
        <v>5.4373075565999997E-2</v>
      </c>
    </row>
    <row r="61" spans="1:11" ht="14.4" customHeight="1" thickBot="1" x14ac:dyDescent="0.35">
      <c r="A61" s="342" t="s">
        <v>29</v>
      </c>
      <c r="B61" s="322">
        <v>1038.3824644358599</v>
      </c>
      <c r="C61" s="322">
        <v>2216.8783899999999</v>
      </c>
      <c r="D61" s="323">
        <v>1178.49592556414</v>
      </c>
      <c r="E61" s="324">
        <v>2.1349343483030001</v>
      </c>
      <c r="F61" s="322">
        <v>2644.0998670291501</v>
      </c>
      <c r="G61" s="323">
        <v>440.68331117152502</v>
      </c>
      <c r="H61" s="325">
        <v>50.129629999999999</v>
      </c>
      <c r="I61" s="322">
        <v>89.031030000000001</v>
      </c>
      <c r="J61" s="323">
        <v>-351.65228117152498</v>
      </c>
      <c r="K61" s="326">
        <v>3.3671583706E-2</v>
      </c>
    </row>
    <row r="62" spans="1:11" ht="14.4" customHeight="1" thickBot="1" x14ac:dyDescent="0.35">
      <c r="A62" s="346" t="s">
        <v>275</v>
      </c>
      <c r="B62" s="322">
        <v>1038.3824644358599</v>
      </c>
      <c r="C62" s="322">
        <v>2216.8783899999999</v>
      </c>
      <c r="D62" s="323">
        <v>1178.49592556414</v>
      </c>
      <c r="E62" s="324">
        <v>2.1349343483030001</v>
      </c>
      <c r="F62" s="322">
        <v>2644.0998670291501</v>
      </c>
      <c r="G62" s="323">
        <v>440.68331117152502</v>
      </c>
      <c r="H62" s="325">
        <v>50.129629999999999</v>
      </c>
      <c r="I62" s="322">
        <v>89.031030000000001</v>
      </c>
      <c r="J62" s="323">
        <v>-351.65228117152498</v>
      </c>
      <c r="K62" s="326">
        <v>3.3671583706E-2</v>
      </c>
    </row>
    <row r="63" spans="1:11" ht="14.4" customHeight="1" thickBot="1" x14ac:dyDescent="0.35">
      <c r="A63" s="344" t="s">
        <v>276</v>
      </c>
      <c r="B63" s="322">
        <v>777.07203665548002</v>
      </c>
      <c r="C63" s="322">
        <v>1917.3796199999999</v>
      </c>
      <c r="D63" s="323">
        <v>1140.30758334452</v>
      </c>
      <c r="E63" s="324">
        <v>2.4674412789989999</v>
      </c>
      <c r="F63" s="322">
        <v>2214.1091679060301</v>
      </c>
      <c r="G63" s="323">
        <v>369.01819465100402</v>
      </c>
      <c r="H63" s="325">
        <v>20.148900000000001</v>
      </c>
      <c r="I63" s="322">
        <v>30.59553</v>
      </c>
      <c r="J63" s="323">
        <v>-338.42266465100403</v>
      </c>
      <c r="K63" s="326">
        <v>1.3818437881E-2</v>
      </c>
    </row>
    <row r="64" spans="1:11" ht="14.4" customHeight="1" thickBot="1" x14ac:dyDescent="0.35">
      <c r="A64" s="344" t="s">
        <v>277</v>
      </c>
      <c r="B64" s="322">
        <v>44.871872211263998</v>
      </c>
      <c r="C64" s="322">
        <v>156.12689</v>
      </c>
      <c r="D64" s="323">
        <v>111.255017788735</v>
      </c>
      <c r="E64" s="324">
        <v>3.4793932658950002</v>
      </c>
      <c r="F64" s="322">
        <v>143.35634769305099</v>
      </c>
      <c r="G64" s="323">
        <v>23.892724615508001</v>
      </c>
      <c r="H64" s="325">
        <v>0.83399000000000001</v>
      </c>
      <c r="I64" s="322">
        <v>0.83399000000000001</v>
      </c>
      <c r="J64" s="323">
        <v>-23.058734615508001</v>
      </c>
      <c r="K64" s="326">
        <v>5.8176007780000004E-3</v>
      </c>
    </row>
    <row r="65" spans="1:11" ht="14.4" customHeight="1" thickBot="1" x14ac:dyDescent="0.35">
      <c r="A65" s="344" t="s">
        <v>278</v>
      </c>
      <c r="B65" s="322">
        <v>126.347156282236</v>
      </c>
      <c r="C65" s="322">
        <v>74.487650000000002</v>
      </c>
      <c r="D65" s="323">
        <v>-51.859506282235003</v>
      </c>
      <c r="E65" s="324">
        <v>0.58954749906299997</v>
      </c>
      <c r="F65" s="322">
        <v>216.63435143007001</v>
      </c>
      <c r="G65" s="323">
        <v>36.105725238345002</v>
      </c>
      <c r="H65" s="325">
        <v>20.690999999999999</v>
      </c>
      <c r="I65" s="322">
        <v>44.671939999999999</v>
      </c>
      <c r="J65" s="323">
        <v>8.5662147616540008</v>
      </c>
      <c r="K65" s="326">
        <v>0.20620894010999999</v>
      </c>
    </row>
    <row r="66" spans="1:11" ht="14.4" customHeight="1" thickBot="1" x14ac:dyDescent="0.35">
      <c r="A66" s="344" t="s">
        <v>279</v>
      </c>
      <c r="B66" s="322">
        <v>90.091399286877007</v>
      </c>
      <c r="C66" s="322">
        <v>68.884230000000002</v>
      </c>
      <c r="D66" s="323">
        <v>-21.207169286877001</v>
      </c>
      <c r="E66" s="324">
        <v>0.76460384171200002</v>
      </c>
      <c r="F66" s="322">
        <v>69.999999999999005</v>
      </c>
      <c r="G66" s="323">
        <v>11.666666666666</v>
      </c>
      <c r="H66" s="325">
        <v>8.4557400000000005</v>
      </c>
      <c r="I66" s="322">
        <v>12.92957</v>
      </c>
      <c r="J66" s="323">
        <v>1.262903333333</v>
      </c>
      <c r="K66" s="326">
        <v>0.18470814285699999</v>
      </c>
    </row>
    <row r="67" spans="1:11" ht="14.4" customHeight="1" thickBot="1" x14ac:dyDescent="0.35">
      <c r="A67" s="347" t="s">
        <v>30</v>
      </c>
      <c r="B67" s="327">
        <v>0</v>
      </c>
      <c r="C67" s="327">
        <v>55.573999999999998</v>
      </c>
      <c r="D67" s="328">
        <v>55.573999999999998</v>
      </c>
      <c r="E67" s="329" t="s">
        <v>218</v>
      </c>
      <c r="F67" s="327">
        <v>0</v>
      </c>
      <c r="G67" s="328">
        <v>0</v>
      </c>
      <c r="H67" s="330">
        <v>0.23400000000000001</v>
      </c>
      <c r="I67" s="327">
        <v>8.1910000000000007</v>
      </c>
      <c r="J67" s="328">
        <v>8.1910000000000007</v>
      </c>
      <c r="K67" s="331" t="s">
        <v>218</v>
      </c>
    </row>
    <row r="68" spans="1:11" ht="14.4" customHeight="1" thickBot="1" x14ac:dyDescent="0.35">
      <c r="A68" s="343" t="s">
        <v>280</v>
      </c>
      <c r="B68" s="327">
        <v>0</v>
      </c>
      <c r="C68" s="327">
        <v>55.573999999999998</v>
      </c>
      <c r="D68" s="328">
        <v>55.573999999999998</v>
      </c>
      <c r="E68" s="329" t="s">
        <v>218</v>
      </c>
      <c r="F68" s="327">
        <v>0</v>
      </c>
      <c r="G68" s="328">
        <v>0</v>
      </c>
      <c r="H68" s="330">
        <v>0.23400000000000001</v>
      </c>
      <c r="I68" s="327">
        <v>8.1910000000000007</v>
      </c>
      <c r="J68" s="328">
        <v>8.1910000000000007</v>
      </c>
      <c r="K68" s="331" t="s">
        <v>218</v>
      </c>
    </row>
    <row r="69" spans="1:11" ht="14.4" customHeight="1" thickBot="1" x14ac:dyDescent="0.35">
      <c r="A69" s="344" t="s">
        <v>281</v>
      </c>
      <c r="B69" s="322">
        <v>0</v>
      </c>
      <c r="C69" s="322">
        <v>33.994</v>
      </c>
      <c r="D69" s="323">
        <v>33.994</v>
      </c>
      <c r="E69" s="332" t="s">
        <v>218</v>
      </c>
      <c r="F69" s="322">
        <v>0</v>
      </c>
      <c r="G69" s="323">
        <v>0</v>
      </c>
      <c r="H69" s="325">
        <v>0.23400000000000001</v>
      </c>
      <c r="I69" s="322">
        <v>4.4560000000000004</v>
      </c>
      <c r="J69" s="323">
        <v>4.4560000000000004</v>
      </c>
      <c r="K69" s="333" t="s">
        <v>218</v>
      </c>
    </row>
    <row r="70" spans="1:11" ht="14.4" customHeight="1" thickBot="1" x14ac:dyDescent="0.35">
      <c r="A70" s="344" t="s">
        <v>282</v>
      </c>
      <c r="B70" s="322">
        <v>0</v>
      </c>
      <c r="C70" s="322">
        <v>21.58</v>
      </c>
      <c r="D70" s="323">
        <v>21.58</v>
      </c>
      <c r="E70" s="332" t="s">
        <v>218</v>
      </c>
      <c r="F70" s="322">
        <v>0</v>
      </c>
      <c r="G70" s="323">
        <v>0</v>
      </c>
      <c r="H70" s="325">
        <v>0</v>
      </c>
      <c r="I70" s="322">
        <v>3.7349999999999999</v>
      </c>
      <c r="J70" s="323">
        <v>3.7349999999999999</v>
      </c>
      <c r="K70" s="333" t="s">
        <v>218</v>
      </c>
    </row>
    <row r="71" spans="1:11" ht="14.4" customHeight="1" thickBot="1" x14ac:dyDescent="0.35">
      <c r="A71" s="342" t="s">
        <v>31</v>
      </c>
      <c r="B71" s="322">
        <v>10352.6812650265</v>
      </c>
      <c r="C71" s="322">
        <v>7868.9093000000003</v>
      </c>
      <c r="D71" s="323">
        <v>-2483.7719650265399</v>
      </c>
      <c r="E71" s="324">
        <v>0.76008418481700002</v>
      </c>
      <c r="F71" s="322">
        <v>10584.794443467499</v>
      </c>
      <c r="G71" s="323">
        <v>1764.13240724459</v>
      </c>
      <c r="H71" s="325">
        <v>275.12401</v>
      </c>
      <c r="I71" s="322">
        <v>622.07363999999995</v>
      </c>
      <c r="J71" s="323">
        <v>-1142.0587672445899</v>
      </c>
      <c r="K71" s="326">
        <v>5.8770497935999998E-2</v>
      </c>
    </row>
    <row r="72" spans="1:11" ht="14.4" customHeight="1" thickBot="1" x14ac:dyDescent="0.35">
      <c r="A72" s="343" t="s">
        <v>283</v>
      </c>
      <c r="B72" s="327">
        <v>4.0629509389700003</v>
      </c>
      <c r="C72" s="327">
        <v>0.13683000000000001</v>
      </c>
      <c r="D72" s="328">
        <v>-3.92612093897</v>
      </c>
      <c r="E72" s="334">
        <v>3.3677492555000001E-2</v>
      </c>
      <c r="F72" s="327">
        <v>0.15184136647900001</v>
      </c>
      <c r="G72" s="328">
        <v>2.5306894412999999E-2</v>
      </c>
      <c r="H72" s="330">
        <v>0</v>
      </c>
      <c r="I72" s="327">
        <v>0</v>
      </c>
      <c r="J72" s="328">
        <v>-2.5306894412999999E-2</v>
      </c>
      <c r="K72" s="335">
        <v>0</v>
      </c>
    </row>
    <row r="73" spans="1:11" ht="14.4" customHeight="1" thickBot="1" x14ac:dyDescent="0.35">
      <c r="A73" s="344" t="s">
        <v>284</v>
      </c>
      <c r="B73" s="322">
        <v>4.0629509389700003</v>
      </c>
      <c r="C73" s="322">
        <v>0.13683000000000001</v>
      </c>
      <c r="D73" s="323">
        <v>-3.92612093897</v>
      </c>
      <c r="E73" s="324">
        <v>3.3677492555000001E-2</v>
      </c>
      <c r="F73" s="322">
        <v>0.15184136647900001</v>
      </c>
      <c r="G73" s="323">
        <v>2.5306894412999999E-2</v>
      </c>
      <c r="H73" s="325">
        <v>0</v>
      </c>
      <c r="I73" s="322">
        <v>0</v>
      </c>
      <c r="J73" s="323">
        <v>-2.5306894412999999E-2</v>
      </c>
      <c r="K73" s="326">
        <v>0</v>
      </c>
    </row>
    <row r="74" spans="1:11" ht="14.4" customHeight="1" thickBot="1" x14ac:dyDescent="0.35">
      <c r="A74" s="343" t="s">
        <v>285</v>
      </c>
      <c r="B74" s="327">
        <v>3.0573735941489999</v>
      </c>
      <c r="C74" s="327">
        <v>2.8722699999999999</v>
      </c>
      <c r="D74" s="328">
        <v>-0.18510359414899999</v>
      </c>
      <c r="E74" s="334">
        <v>0.93945666486199997</v>
      </c>
      <c r="F74" s="327">
        <v>3.2755072941479999</v>
      </c>
      <c r="G74" s="328">
        <v>0.54591788235799998</v>
      </c>
      <c r="H74" s="330">
        <v>0.31789000000000001</v>
      </c>
      <c r="I74" s="327">
        <v>0.47273999999999999</v>
      </c>
      <c r="J74" s="328">
        <v>-7.3177882358000004E-2</v>
      </c>
      <c r="K74" s="335">
        <v>0.14432573569400001</v>
      </c>
    </row>
    <row r="75" spans="1:11" ht="14.4" customHeight="1" thickBot="1" x14ac:dyDescent="0.35">
      <c r="A75" s="344" t="s">
        <v>286</v>
      </c>
      <c r="B75" s="322">
        <v>3.0573735941489999</v>
      </c>
      <c r="C75" s="322">
        <v>2.8722699999999999</v>
      </c>
      <c r="D75" s="323">
        <v>-0.18510359414899999</v>
      </c>
      <c r="E75" s="324">
        <v>0.93945666486199997</v>
      </c>
      <c r="F75" s="322">
        <v>3.2755072941479999</v>
      </c>
      <c r="G75" s="323">
        <v>0.54591788235799998</v>
      </c>
      <c r="H75" s="325">
        <v>0.31789000000000001</v>
      </c>
      <c r="I75" s="322">
        <v>0.47273999999999999</v>
      </c>
      <c r="J75" s="323">
        <v>-7.3177882358000004E-2</v>
      </c>
      <c r="K75" s="326">
        <v>0.14432573569400001</v>
      </c>
    </row>
    <row r="76" spans="1:11" ht="14.4" customHeight="1" thickBot="1" x14ac:dyDescent="0.35">
      <c r="A76" s="343" t="s">
        <v>287</v>
      </c>
      <c r="B76" s="327">
        <v>26.980065276769</v>
      </c>
      <c r="C76" s="327">
        <v>28.733239999999999</v>
      </c>
      <c r="D76" s="328">
        <v>1.7531747232299999</v>
      </c>
      <c r="E76" s="334">
        <v>1.064980373666</v>
      </c>
      <c r="F76" s="327">
        <v>21</v>
      </c>
      <c r="G76" s="328">
        <v>3.5</v>
      </c>
      <c r="H76" s="330">
        <v>0.58950999999999998</v>
      </c>
      <c r="I76" s="327">
        <v>14.800850000000001</v>
      </c>
      <c r="J76" s="328">
        <v>11.300850000000001</v>
      </c>
      <c r="K76" s="335">
        <v>0.70480238095199998</v>
      </c>
    </row>
    <row r="77" spans="1:11" ht="14.4" customHeight="1" thickBot="1" x14ac:dyDescent="0.35">
      <c r="A77" s="344" t="s">
        <v>288</v>
      </c>
      <c r="B77" s="322">
        <v>5.999990450786</v>
      </c>
      <c r="C77" s="322">
        <v>6.48</v>
      </c>
      <c r="D77" s="323">
        <v>0.48000954921299999</v>
      </c>
      <c r="E77" s="324">
        <v>1.080001718861</v>
      </c>
      <c r="F77" s="322">
        <v>6</v>
      </c>
      <c r="G77" s="323">
        <v>1</v>
      </c>
      <c r="H77" s="325">
        <v>0</v>
      </c>
      <c r="I77" s="322">
        <v>1.62</v>
      </c>
      <c r="J77" s="323">
        <v>0.61999999999900002</v>
      </c>
      <c r="K77" s="326">
        <v>0.27</v>
      </c>
    </row>
    <row r="78" spans="1:11" ht="14.4" customHeight="1" thickBot="1" x14ac:dyDescent="0.35">
      <c r="A78" s="344" t="s">
        <v>289</v>
      </c>
      <c r="B78" s="322">
        <v>20.980074825982001</v>
      </c>
      <c r="C78" s="322">
        <v>22.253240000000002</v>
      </c>
      <c r="D78" s="323">
        <v>1.273165174017</v>
      </c>
      <c r="E78" s="324">
        <v>1.0606844915739999</v>
      </c>
      <c r="F78" s="322">
        <v>15</v>
      </c>
      <c r="G78" s="323">
        <v>2.5</v>
      </c>
      <c r="H78" s="325">
        <v>0.58950999999999998</v>
      </c>
      <c r="I78" s="322">
        <v>13.18085</v>
      </c>
      <c r="J78" s="323">
        <v>10.68085</v>
      </c>
      <c r="K78" s="326">
        <v>0.87872333333300001</v>
      </c>
    </row>
    <row r="79" spans="1:11" ht="14.4" customHeight="1" thickBot="1" x14ac:dyDescent="0.35">
      <c r="A79" s="343" t="s">
        <v>290</v>
      </c>
      <c r="B79" s="327">
        <v>2726.8646762929998</v>
      </c>
      <c r="C79" s="327">
        <v>2727.1266000000001</v>
      </c>
      <c r="D79" s="328">
        <v>0.26192370700299999</v>
      </c>
      <c r="E79" s="334">
        <v>1.0000960530630001</v>
      </c>
      <c r="F79" s="327">
        <v>2968.9174441896498</v>
      </c>
      <c r="G79" s="328">
        <v>494.81957403160902</v>
      </c>
      <c r="H79" s="330">
        <v>222.54527999999999</v>
      </c>
      <c r="I79" s="327">
        <v>446.15451000000002</v>
      </c>
      <c r="J79" s="328">
        <v>-48.665064031607997</v>
      </c>
      <c r="K79" s="335">
        <v>0.15027514856400001</v>
      </c>
    </row>
    <row r="80" spans="1:11" ht="14.4" customHeight="1" thickBot="1" x14ac:dyDescent="0.35">
      <c r="A80" s="344" t="s">
        <v>291</v>
      </c>
      <c r="B80" s="322">
        <v>2371.5175092455802</v>
      </c>
      <c r="C80" s="322">
        <v>2244.2759799999999</v>
      </c>
      <c r="D80" s="323">
        <v>-127.241529245574</v>
      </c>
      <c r="E80" s="324">
        <v>0.94634594568599995</v>
      </c>
      <c r="F80" s="322">
        <v>2334</v>
      </c>
      <c r="G80" s="323">
        <v>389</v>
      </c>
      <c r="H80" s="325">
        <v>191.25005999999999</v>
      </c>
      <c r="I80" s="322">
        <v>382.50011999999998</v>
      </c>
      <c r="J80" s="323">
        <v>-6.4998800000000001</v>
      </c>
      <c r="K80" s="326">
        <v>0.16388179948500001</v>
      </c>
    </row>
    <row r="81" spans="1:11" ht="14.4" customHeight="1" thickBot="1" x14ac:dyDescent="0.35">
      <c r="A81" s="344" t="s">
        <v>292</v>
      </c>
      <c r="B81" s="322">
        <v>0</v>
      </c>
      <c r="C81" s="322">
        <v>130.05661000000001</v>
      </c>
      <c r="D81" s="323">
        <v>130.05661000000001</v>
      </c>
      <c r="E81" s="332" t="s">
        <v>243</v>
      </c>
      <c r="F81" s="322">
        <v>195</v>
      </c>
      <c r="G81" s="323">
        <v>32.5</v>
      </c>
      <c r="H81" s="325">
        <v>3.3976799999999998</v>
      </c>
      <c r="I81" s="322">
        <v>5.8467200000000004</v>
      </c>
      <c r="J81" s="323">
        <v>-26.653279999999999</v>
      </c>
      <c r="K81" s="326">
        <v>2.9983179487000002E-2</v>
      </c>
    </row>
    <row r="82" spans="1:11" ht="14.4" customHeight="1" thickBot="1" x14ac:dyDescent="0.35">
      <c r="A82" s="344" t="s">
        <v>293</v>
      </c>
      <c r="B82" s="322">
        <v>0</v>
      </c>
      <c r="C82" s="322">
        <v>3.5999999999999997E-2</v>
      </c>
      <c r="D82" s="323">
        <v>3.5999999999999997E-2</v>
      </c>
      <c r="E82" s="332" t="s">
        <v>243</v>
      </c>
      <c r="F82" s="322">
        <v>4.0425223442000002E-2</v>
      </c>
      <c r="G82" s="323">
        <v>6.7375372399999999E-3</v>
      </c>
      <c r="H82" s="325">
        <v>0</v>
      </c>
      <c r="I82" s="322">
        <v>0</v>
      </c>
      <c r="J82" s="323">
        <v>-6.7375372399999999E-3</v>
      </c>
      <c r="K82" s="326">
        <v>0</v>
      </c>
    </row>
    <row r="83" spans="1:11" ht="14.4" customHeight="1" thickBot="1" x14ac:dyDescent="0.35">
      <c r="A83" s="344" t="s">
        <v>294</v>
      </c>
      <c r="B83" s="322">
        <v>355.34716704742198</v>
      </c>
      <c r="C83" s="322">
        <v>352.75801000000001</v>
      </c>
      <c r="D83" s="323">
        <v>-2.5891570474219998</v>
      </c>
      <c r="E83" s="324">
        <v>0.992713725371</v>
      </c>
      <c r="F83" s="322">
        <v>439.877018966207</v>
      </c>
      <c r="G83" s="323">
        <v>73.312836494367005</v>
      </c>
      <c r="H83" s="325">
        <v>27.897539999999999</v>
      </c>
      <c r="I83" s="322">
        <v>57.807670000000002</v>
      </c>
      <c r="J83" s="323">
        <v>-15.505166494367</v>
      </c>
      <c r="K83" s="326">
        <v>0.13141779976500001</v>
      </c>
    </row>
    <row r="84" spans="1:11" ht="14.4" customHeight="1" thickBot="1" x14ac:dyDescent="0.35">
      <c r="A84" s="343" t="s">
        <v>295</v>
      </c>
      <c r="B84" s="327">
        <v>7591.7161989236502</v>
      </c>
      <c r="C84" s="327">
        <v>4943.7303599999996</v>
      </c>
      <c r="D84" s="328">
        <v>-2647.9858389236501</v>
      </c>
      <c r="E84" s="334">
        <v>0.651200628482</v>
      </c>
      <c r="F84" s="327">
        <v>7348.11801918938</v>
      </c>
      <c r="G84" s="328">
        <v>1224.6863365315601</v>
      </c>
      <c r="H84" s="330">
        <v>36.881500000000003</v>
      </c>
      <c r="I84" s="327">
        <v>118.21371000000001</v>
      </c>
      <c r="J84" s="328">
        <v>-1106.4726265315601</v>
      </c>
      <c r="K84" s="335">
        <v>1.6087617222E-2</v>
      </c>
    </row>
    <row r="85" spans="1:11" ht="14.4" customHeight="1" thickBot="1" x14ac:dyDescent="0.35">
      <c r="A85" s="344" t="s">
        <v>296</v>
      </c>
      <c r="B85" s="322">
        <v>13.999977718502</v>
      </c>
      <c r="C85" s="322">
        <v>10.00005</v>
      </c>
      <c r="D85" s="323">
        <v>-3.9999277185020001</v>
      </c>
      <c r="E85" s="324">
        <v>0.71429042253200004</v>
      </c>
      <c r="F85" s="322">
        <v>43.978999999998997</v>
      </c>
      <c r="G85" s="323">
        <v>7.3298333333330001</v>
      </c>
      <c r="H85" s="325">
        <v>0</v>
      </c>
      <c r="I85" s="322">
        <v>0</v>
      </c>
      <c r="J85" s="323">
        <v>-7.3298333333330001</v>
      </c>
      <c r="K85" s="326">
        <v>0</v>
      </c>
    </row>
    <row r="86" spans="1:11" ht="14.4" customHeight="1" thickBot="1" x14ac:dyDescent="0.35">
      <c r="A86" s="344" t="s">
        <v>297</v>
      </c>
      <c r="B86" s="322">
        <v>909.61873142197305</v>
      </c>
      <c r="C86" s="322">
        <v>801.02295000000004</v>
      </c>
      <c r="D86" s="323">
        <v>-108.595781421973</v>
      </c>
      <c r="E86" s="324">
        <v>0.88061395651700003</v>
      </c>
      <c r="F86" s="322">
        <v>1003.27567721477</v>
      </c>
      <c r="G86" s="323">
        <v>167.212612869129</v>
      </c>
      <c r="H86" s="325">
        <v>36.881500000000003</v>
      </c>
      <c r="I86" s="322">
        <v>114.16704</v>
      </c>
      <c r="J86" s="323">
        <v>-53.045572869129003</v>
      </c>
      <c r="K86" s="326">
        <v>0.113794286648</v>
      </c>
    </row>
    <row r="87" spans="1:11" ht="14.4" customHeight="1" thickBot="1" x14ac:dyDescent="0.35">
      <c r="A87" s="344" t="s">
        <v>298</v>
      </c>
      <c r="B87" s="322">
        <v>7.9999872677150003</v>
      </c>
      <c r="C87" s="322">
        <v>0.97399999999999998</v>
      </c>
      <c r="D87" s="323">
        <v>-7.0259872677150002</v>
      </c>
      <c r="E87" s="324">
        <v>0.121750193769</v>
      </c>
      <c r="F87" s="322">
        <v>8</v>
      </c>
      <c r="G87" s="323">
        <v>1.333333333333</v>
      </c>
      <c r="H87" s="325">
        <v>0</v>
      </c>
      <c r="I87" s="322">
        <v>0</v>
      </c>
      <c r="J87" s="323">
        <v>-1.333333333333</v>
      </c>
      <c r="K87" s="326">
        <v>0</v>
      </c>
    </row>
    <row r="88" spans="1:11" ht="14.4" customHeight="1" thickBot="1" x14ac:dyDescent="0.35">
      <c r="A88" s="344" t="s">
        <v>299</v>
      </c>
      <c r="B88" s="322">
        <v>0</v>
      </c>
      <c r="C88" s="322">
        <v>2.1760700000000002</v>
      </c>
      <c r="D88" s="323">
        <v>2.1760700000000002</v>
      </c>
      <c r="E88" s="332" t="s">
        <v>243</v>
      </c>
      <c r="F88" s="322">
        <v>2.6148587720130001</v>
      </c>
      <c r="G88" s="323">
        <v>0.43580979533500003</v>
      </c>
      <c r="H88" s="325">
        <v>0</v>
      </c>
      <c r="I88" s="322">
        <v>0</v>
      </c>
      <c r="J88" s="323">
        <v>-0.43580979533500003</v>
      </c>
      <c r="K88" s="326">
        <v>0</v>
      </c>
    </row>
    <row r="89" spans="1:11" ht="14.4" customHeight="1" thickBot="1" x14ac:dyDescent="0.35">
      <c r="A89" s="344" t="s">
        <v>300</v>
      </c>
      <c r="B89" s="322">
        <v>6660.0975025154603</v>
      </c>
      <c r="C89" s="322">
        <v>4129.5572899999997</v>
      </c>
      <c r="D89" s="323">
        <v>-2530.5402125154601</v>
      </c>
      <c r="E89" s="324">
        <v>0.62004456968300004</v>
      </c>
      <c r="F89" s="322">
        <v>6290.2484832025903</v>
      </c>
      <c r="G89" s="323">
        <v>1048.37474720043</v>
      </c>
      <c r="H89" s="325">
        <v>0</v>
      </c>
      <c r="I89" s="322">
        <v>3.50217</v>
      </c>
      <c r="J89" s="323">
        <v>-1044.87257720043</v>
      </c>
      <c r="K89" s="326">
        <v>5.5676178900000001E-4</v>
      </c>
    </row>
    <row r="90" spans="1:11" ht="14.4" customHeight="1" thickBot="1" x14ac:dyDescent="0.35">
      <c r="A90" s="344" t="s">
        <v>301</v>
      </c>
      <c r="B90" s="322">
        <v>0</v>
      </c>
      <c r="C90" s="322">
        <v>0</v>
      </c>
      <c r="D90" s="323">
        <v>0</v>
      </c>
      <c r="E90" s="324">
        <v>1</v>
      </c>
      <c r="F90" s="322">
        <v>0</v>
      </c>
      <c r="G90" s="323">
        <v>0</v>
      </c>
      <c r="H90" s="325">
        <v>0</v>
      </c>
      <c r="I90" s="322">
        <v>0.54449999999999998</v>
      </c>
      <c r="J90" s="323">
        <v>0.54449999999999998</v>
      </c>
      <c r="K90" s="333" t="s">
        <v>243</v>
      </c>
    </row>
    <row r="91" spans="1:11" ht="14.4" customHeight="1" thickBot="1" x14ac:dyDescent="0.35">
      <c r="A91" s="343" t="s">
        <v>302</v>
      </c>
      <c r="B91" s="327">
        <v>0</v>
      </c>
      <c r="C91" s="327">
        <v>166.31</v>
      </c>
      <c r="D91" s="328">
        <v>166.31</v>
      </c>
      <c r="E91" s="329" t="s">
        <v>243</v>
      </c>
      <c r="F91" s="327">
        <v>243.33163142785301</v>
      </c>
      <c r="G91" s="328">
        <v>40.555271904641998</v>
      </c>
      <c r="H91" s="330">
        <v>14.78983</v>
      </c>
      <c r="I91" s="327">
        <v>42.431829999999998</v>
      </c>
      <c r="J91" s="328">
        <v>1.876558095357</v>
      </c>
      <c r="K91" s="335">
        <v>0.174378603188</v>
      </c>
    </row>
    <row r="92" spans="1:11" ht="14.4" customHeight="1" thickBot="1" x14ac:dyDescent="0.35">
      <c r="A92" s="344" t="s">
        <v>303</v>
      </c>
      <c r="B92" s="322">
        <v>0</v>
      </c>
      <c r="C92" s="322">
        <v>166.31</v>
      </c>
      <c r="D92" s="323">
        <v>166.31</v>
      </c>
      <c r="E92" s="332" t="s">
        <v>243</v>
      </c>
      <c r="F92" s="322">
        <v>243.33163142785301</v>
      </c>
      <c r="G92" s="323">
        <v>40.555271904641998</v>
      </c>
      <c r="H92" s="325">
        <v>14.78983</v>
      </c>
      <c r="I92" s="322">
        <v>42.431829999999998</v>
      </c>
      <c r="J92" s="323">
        <v>1.876558095357</v>
      </c>
      <c r="K92" s="326">
        <v>0.174378603188</v>
      </c>
    </row>
    <row r="93" spans="1:11" ht="14.4" customHeight="1" thickBot="1" x14ac:dyDescent="0.35">
      <c r="A93" s="341" t="s">
        <v>32</v>
      </c>
      <c r="B93" s="322">
        <v>23899.002157589599</v>
      </c>
      <c r="C93" s="322">
        <v>26567.28428</v>
      </c>
      <c r="D93" s="323">
        <v>2668.2821224104</v>
      </c>
      <c r="E93" s="324">
        <v>1.111648264844</v>
      </c>
      <c r="F93" s="322">
        <v>26938</v>
      </c>
      <c r="G93" s="323">
        <v>4489.6666666666697</v>
      </c>
      <c r="H93" s="325">
        <v>2271.3763399999998</v>
      </c>
      <c r="I93" s="322">
        <v>4568.8195800000003</v>
      </c>
      <c r="J93" s="323">
        <v>79.152913333333004</v>
      </c>
      <c r="K93" s="326">
        <v>0.16960500334100001</v>
      </c>
    </row>
    <row r="94" spans="1:11" ht="14.4" customHeight="1" thickBot="1" x14ac:dyDescent="0.35">
      <c r="A94" s="347" t="s">
        <v>304</v>
      </c>
      <c r="B94" s="327">
        <v>17651.001593523299</v>
      </c>
      <c r="C94" s="327">
        <v>19623.624</v>
      </c>
      <c r="D94" s="328">
        <v>1972.62240647667</v>
      </c>
      <c r="E94" s="334">
        <v>1.111756967219</v>
      </c>
      <c r="F94" s="327">
        <v>19822</v>
      </c>
      <c r="G94" s="328">
        <v>3303.6666666666702</v>
      </c>
      <c r="H94" s="330">
        <v>1670.558</v>
      </c>
      <c r="I94" s="327">
        <v>3361.598</v>
      </c>
      <c r="J94" s="328">
        <v>57.931333333330997</v>
      </c>
      <c r="K94" s="335">
        <v>0.16958924427399999</v>
      </c>
    </row>
    <row r="95" spans="1:11" ht="14.4" customHeight="1" thickBot="1" x14ac:dyDescent="0.35">
      <c r="A95" s="343" t="s">
        <v>305</v>
      </c>
      <c r="B95" s="327">
        <v>17600.001588919102</v>
      </c>
      <c r="C95" s="327">
        <v>19573.774000000001</v>
      </c>
      <c r="D95" s="328">
        <v>1973.7724110809199</v>
      </c>
      <c r="E95" s="334">
        <v>1.1121461495960001</v>
      </c>
      <c r="F95" s="327">
        <v>19767</v>
      </c>
      <c r="G95" s="328">
        <v>3294.5</v>
      </c>
      <c r="H95" s="330">
        <v>1668.8430000000001</v>
      </c>
      <c r="I95" s="327">
        <v>3352.915</v>
      </c>
      <c r="J95" s="328">
        <v>58.414999999998003</v>
      </c>
      <c r="K95" s="335">
        <v>0.169621844488</v>
      </c>
    </row>
    <row r="96" spans="1:11" ht="14.4" customHeight="1" thickBot="1" x14ac:dyDescent="0.35">
      <c r="A96" s="344" t="s">
        <v>306</v>
      </c>
      <c r="B96" s="322">
        <v>17600.001588919102</v>
      </c>
      <c r="C96" s="322">
        <v>19573.774000000001</v>
      </c>
      <c r="D96" s="323">
        <v>1973.7724110809199</v>
      </c>
      <c r="E96" s="324">
        <v>1.1121461495960001</v>
      </c>
      <c r="F96" s="322">
        <v>19767</v>
      </c>
      <c r="G96" s="323">
        <v>3294.5</v>
      </c>
      <c r="H96" s="325">
        <v>1668.8430000000001</v>
      </c>
      <c r="I96" s="322">
        <v>3352.915</v>
      </c>
      <c r="J96" s="323">
        <v>58.414999999998003</v>
      </c>
      <c r="K96" s="326">
        <v>0.169621844488</v>
      </c>
    </row>
    <row r="97" spans="1:11" ht="14.4" customHeight="1" thickBot="1" x14ac:dyDescent="0.35">
      <c r="A97" s="343" t="s">
        <v>307</v>
      </c>
      <c r="B97" s="327">
        <v>51.000004604254002</v>
      </c>
      <c r="C97" s="327">
        <v>49.85</v>
      </c>
      <c r="D97" s="328">
        <v>-1.150004604254</v>
      </c>
      <c r="E97" s="334">
        <v>0.97745089214799996</v>
      </c>
      <c r="F97" s="327">
        <v>55</v>
      </c>
      <c r="G97" s="328">
        <v>9.1666666666659999</v>
      </c>
      <c r="H97" s="330">
        <v>1.7150000000000001</v>
      </c>
      <c r="I97" s="327">
        <v>8.6829999999999998</v>
      </c>
      <c r="J97" s="328">
        <v>-0.483666666666</v>
      </c>
      <c r="K97" s="335">
        <v>0.157872727272</v>
      </c>
    </row>
    <row r="98" spans="1:11" ht="14.4" customHeight="1" thickBot="1" x14ac:dyDescent="0.35">
      <c r="A98" s="344" t="s">
        <v>308</v>
      </c>
      <c r="B98" s="322">
        <v>51.000004604254002</v>
      </c>
      <c r="C98" s="322">
        <v>49.85</v>
      </c>
      <c r="D98" s="323">
        <v>-1.150004604254</v>
      </c>
      <c r="E98" s="324">
        <v>0.97745089214799996</v>
      </c>
      <c r="F98" s="322">
        <v>55</v>
      </c>
      <c r="G98" s="323">
        <v>9.1666666666659999</v>
      </c>
      <c r="H98" s="325">
        <v>1.7150000000000001</v>
      </c>
      <c r="I98" s="322">
        <v>8.6829999999999998</v>
      </c>
      <c r="J98" s="323">
        <v>-0.483666666666</v>
      </c>
      <c r="K98" s="326">
        <v>0.157872727272</v>
      </c>
    </row>
    <row r="99" spans="1:11" ht="14.4" customHeight="1" thickBot="1" x14ac:dyDescent="0.35">
      <c r="A99" s="342" t="s">
        <v>309</v>
      </c>
      <c r="B99" s="322">
        <v>5984.0005402324896</v>
      </c>
      <c r="C99" s="322">
        <v>6649.3087400000004</v>
      </c>
      <c r="D99" s="323">
        <v>665.308199767514</v>
      </c>
      <c r="E99" s="324">
        <v>1.1111811730779999</v>
      </c>
      <c r="F99" s="322">
        <v>6720.99999999999</v>
      </c>
      <c r="G99" s="323">
        <v>1120.1666666666699</v>
      </c>
      <c r="H99" s="325">
        <v>567.40615000000003</v>
      </c>
      <c r="I99" s="322">
        <v>1139.9875500000001</v>
      </c>
      <c r="J99" s="323">
        <v>19.820883333333999</v>
      </c>
      <c r="K99" s="326">
        <v>0.16961576402299999</v>
      </c>
    </row>
    <row r="100" spans="1:11" ht="14.4" customHeight="1" thickBot="1" x14ac:dyDescent="0.35">
      <c r="A100" s="343" t="s">
        <v>310</v>
      </c>
      <c r="B100" s="327">
        <v>1584.0001430027201</v>
      </c>
      <c r="C100" s="327">
        <v>1761.6402399999999</v>
      </c>
      <c r="D100" s="328">
        <v>177.640096997283</v>
      </c>
      <c r="E100" s="334">
        <v>1.1121465157570001</v>
      </c>
      <c r="F100" s="327">
        <v>1778.99999999999</v>
      </c>
      <c r="G100" s="328">
        <v>296.49999999999898</v>
      </c>
      <c r="H100" s="330">
        <v>150.19540000000001</v>
      </c>
      <c r="I100" s="327">
        <v>301.75880000000001</v>
      </c>
      <c r="J100" s="328">
        <v>5.258800000001</v>
      </c>
      <c r="K100" s="335">
        <v>0.169622709387</v>
      </c>
    </row>
    <row r="101" spans="1:11" ht="14.4" customHeight="1" thickBot="1" x14ac:dyDescent="0.35">
      <c r="A101" s="344" t="s">
        <v>311</v>
      </c>
      <c r="B101" s="322">
        <v>1584.0001430027201</v>
      </c>
      <c r="C101" s="322">
        <v>1761.6402399999999</v>
      </c>
      <c r="D101" s="323">
        <v>177.640096997283</v>
      </c>
      <c r="E101" s="324">
        <v>1.1121465157570001</v>
      </c>
      <c r="F101" s="322">
        <v>1778.99999999999</v>
      </c>
      <c r="G101" s="323">
        <v>296.49999999999898</v>
      </c>
      <c r="H101" s="325">
        <v>150.19540000000001</v>
      </c>
      <c r="I101" s="322">
        <v>301.75880000000001</v>
      </c>
      <c r="J101" s="323">
        <v>5.258800000001</v>
      </c>
      <c r="K101" s="326">
        <v>0.169622709387</v>
      </c>
    </row>
    <row r="102" spans="1:11" ht="14.4" customHeight="1" thickBot="1" x14ac:dyDescent="0.35">
      <c r="A102" s="343" t="s">
        <v>312</v>
      </c>
      <c r="B102" s="327">
        <v>4400.00039722977</v>
      </c>
      <c r="C102" s="327">
        <v>4887.6684999999998</v>
      </c>
      <c r="D102" s="328">
        <v>487.66810277023001</v>
      </c>
      <c r="E102" s="334">
        <v>1.1108336497139999</v>
      </c>
      <c r="F102" s="327">
        <v>4942</v>
      </c>
      <c r="G102" s="328">
        <v>823.66666666666697</v>
      </c>
      <c r="H102" s="330">
        <v>417.21075000000002</v>
      </c>
      <c r="I102" s="327">
        <v>838.22874999999999</v>
      </c>
      <c r="J102" s="328">
        <v>14.562083333333</v>
      </c>
      <c r="K102" s="335">
        <v>0.16961326386</v>
      </c>
    </row>
    <row r="103" spans="1:11" ht="14.4" customHeight="1" thickBot="1" x14ac:dyDescent="0.35">
      <c r="A103" s="344" t="s">
        <v>313</v>
      </c>
      <c r="B103" s="322">
        <v>4400.00039722977</v>
      </c>
      <c r="C103" s="322">
        <v>4887.6684999999998</v>
      </c>
      <c r="D103" s="323">
        <v>487.66810277023001</v>
      </c>
      <c r="E103" s="324">
        <v>1.1108336497139999</v>
      </c>
      <c r="F103" s="322">
        <v>4942</v>
      </c>
      <c r="G103" s="323">
        <v>823.66666666666697</v>
      </c>
      <c r="H103" s="325">
        <v>417.21075000000002</v>
      </c>
      <c r="I103" s="322">
        <v>838.22874999999999</v>
      </c>
      <c r="J103" s="323">
        <v>14.562083333333</v>
      </c>
      <c r="K103" s="326">
        <v>0.16961326386</v>
      </c>
    </row>
    <row r="104" spans="1:11" ht="14.4" customHeight="1" thickBot="1" x14ac:dyDescent="0.35">
      <c r="A104" s="342" t="s">
        <v>314</v>
      </c>
      <c r="B104" s="322">
        <v>264.00002383378597</v>
      </c>
      <c r="C104" s="322">
        <v>294.35154</v>
      </c>
      <c r="D104" s="323">
        <v>30.351516166214001</v>
      </c>
      <c r="E104" s="324">
        <v>1.1149678538859999</v>
      </c>
      <c r="F104" s="322">
        <v>395</v>
      </c>
      <c r="G104" s="323">
        <v>65.833333333333002</v>
      </c>
      <c r="H104" s="325">
        <v>33.412190000000002</v>
      </c>
      <c r="I104" s="322">
        <v>67.234030000000004</v>
      </c>
      <c r="J104" s="323">
        <v>1.4006966666659999</v>
      </c>
      <c r="K104" s="326">
        <v>0.170212734177</v>
      </c>
    </row>
    <row r="105" spans="1:11" ht="14.4" customHeight="1" thickBot="1" x14ac:dyDescent="0.35">
      <c r="A105" s="343" t="s">
        <v>315</v>
      </c>
      <c r="B105" s="327">
        <v>264.00002383378597</v>
      </c>
      <c r="C105" s="327">
        <v>294.35154</v>
      </c>
      <c r="D105" s="328">
        <v>30.351516166214001</v>
      </c>
      <c r="E105" s="334">
        <v>1.1149678538859999</v>
      </c>
      <c r="F105" s="327">
        <v>395</v>
      </c>
      <c r="G105" s="328">
        <v>65.833333333333002</v>
      </c>
      <c r="H105" s="330">
        <v>33.412190000000002</v>
      </c>
      <c r="I105" s="327">
        <v>67.234030000000004</v>
      </c>
      <c r="J105" s="328">
        <v>1.4006966666659999</v>
      </c>
      <c r="K105" s="335">
        <v>0.170212734177</v>
      </c>
    </row>
    <row r="106" spans="1:11" ht="14.4" customHeight="1" thickBot="1" x14ac:dyDescent="0.35">
      <c r="A106" s="344" t="s">
        <v>316</v>
      </c>
      <c r="B106" s="322">
        <v>264.00002383378597</v>
      </c>
      <c r="C106" s="322">
        <v>294.35154</v>
      </c>
      <c r="D106" s="323">
        <v>30.351516166214001</v>
      </c>
      <c r="E106" s="324">
        <v>1.1149678538859999</v>
      </c>
      <c r="F106" s="322">
        <v>395</v>
      </c>
      <c r="G106" s="323">
        <v>65.833333333333002</v>
      </c>
      <c r="H106" s="325">
        <v>33.412190000000002</v>
      </c>
      <c r="I106" s="322">
        <v>67.234030000000004</v>
      </c>
      <c r="J106" s="323">
        <v>1.4006966666659999</v>
      </c>
      <c r="K106" s="326">
        <v>0.170212734177</v>
      </c>
    </row>
    <row r="107" spans="1:11" ht="14.4" customHeight="1" thickBot="1" x14ac:dyDescent="0.35">
      <c r="A107" s="341" t="s">
        <v>317</v>
      </c>
      <c r="B107" s="322">
        <v>0</v>
      </c>
      <c r="C107" s="322">
        <v>55.59778</v>
      </c>
      <c r="D107" s="323">
        <v>55.59778</v>
      </c>
      <c r="E107" s="332" t="s">
        <v>218</v>
      </c>
      <c r="F107" s="322">
        <v>0</v>
      </c>
      <c r="G107" s="323">
        <v>0</v>
      </c>
      <c r="H107" s="325">
        <v>0</v>
      </c>
      <c r="I107" s="322">
        <v>6.9980000000000002</v>
      </c>
      <c r="J107" s="323">
        <v>6.9980000000000002</v>
      </c>
      <c r="K107" s="333" t="s">
        <v>218</v>
      </c>
    </row>
    <row r="108" spans="1:11" ht="14.4" customHeight="1" thickBot="1" x14ac:dyDescent="0.35">
      <c r="A108" s="342" t="s">
        <v>318</v>
      </c>
      <c r="B108" s="322">
        <v>0</v>
      </c>
      <c r="C108" s="322">
        <v>55.59778</v>
      </c>
      <c r="D108" s="323">
        <v>55.59778</v>
      </c>
      <c r="E108" s="332" t="s">
        <v>218</v>
      </c>
      <c r="F108" s="322">
        <v>0</v>
      </c>
      <c r="G108" s="323">
        <v>0</v>
      </c>
      <c r="H108" s="325">
        <v>0</v>
      </c>
      <c r="I108" s="322">
        <v>6.9980000000000002</v>
      </c>
      <c r="J108" s="323">
        <v>6.9980000000000002</v>
      </c>
      <c r="K108" s="333" t="s">
        <v>218</v>
      </c>
    </row>
    <row r="109" spans="1:11" ht="14.4" customHeight="1" thickBot="1" x14ac:dyDescent="0.35">
      <c r="A109" s="343" t="s">
        <v>319</v>
      </c>
      <c r="B109" s="327">
        <v>0</v>
      </c>
      <c r="C109" s="327">
        <v>54.647779999999997</v>
      </c>
      <c r="D109" s="328">
        <v>54.647779999999997</v>
      </c>
      <c r="E109" s="329" t="s">
        <v>218</v>
      </c>
      <c r="F109" s="327">
        <v>0</v>
      </c>
      <c r="G109" s="328">
        <v>0</v>
      </c>
      <c r="H109" s="330">
        <v>0</v>
      </c>
      <c r="I109" s="327">
        <v>6.9980000000000002</v>
      </c>
      <c r="J109" s="328">
        <v>6.9980000000000002</v>
      </c>
      <c r="K109" s="331" t="s">
        <v>218</v>
      </c>
    </row>
    <row r="110" spans="1:11" ht="14.4" customHeight="1" thickBot="1" x14ac:dyDescent="0.35">
      <c r="A110" s="344" t="s">
        <v>320</v>
      </c>
      <c r="B110" s="322">
        <v>0</v>
      </c>
      <c r="C110" s="322">
        <v>8.7217800000000008</v>
      </c>
      <c r="D110" s="323">
        <v>8.7217800000000008</v>
      </c>
      <c r="E110" s="332" t="s">
        <v>218</v>
      </c>
      <c r="F110" s="322">
        <v>0</v>
      </c>
      <c r="G110" s="323">
        <v>0</v>
      </c>
      <c r="H110" s="325">
        <v>0</v>
      </c>
      <c r="I110" s="322">
        <v>0</v>
      </c>
      <c r="J110" s="323">
        <v>0</v>
      </c>
      <c r="K110" s="333" t="s">
        <v>218</v>
      </c>
    </row>
    <row r="111" spans="1:11" ht="14.4" customHeight="1" thickBot="1" x14ac:dyDescent="0.35">
      <c r="A111" s="344" t="s">
        <v>321</v>
      </c>
      <c r="B111" s="322">
        <v>0</v>
      </c>
      <c r="C111" s="322">
        <v>0.5</v>
      </c>
      <c r="D111" s="323">
        <v>0.5</v>
      </c>
      <c r="E111" s="332" t="s">
        <v>243</v>
      </c>
      <c r="F111" s="322">
        <v>0</v>
      </c>
      <c r="G111" s="323">
        <v>0</v>
      </c>
      <c r="H111" s="325">
        <v>0</v>
      </c>
      <c r="I111" s="322">
        <v>0</v>
      </c>
      <c r="J111" s="323">
        <v>0</v>
      </c>
      <c r="K111" s="333" t="s">
        <v>218</v>
      </c>
    </row>
    <row r="112" spans="1:11" ht="14.4" customHeight="1" thickBot="1" x14ac:dyDescent="0.35">
      <c r="A112" s="344" t="s">
        <v>322</v>
      </c>
      <c r="B112" s="322">
        <v>0</v>
      </c>
      <c r="C112" s="322">
        <v>45.426000000000002</v>
      </c>
      <c r="D112" s="323">
        <v>45.426000000000002</v>
      </c>
      <c r="E112" s="332" t="s">
        <v>218</v>
      </c>
      <c r="F112" s="322">
        <v>0</v>
      </c>
      <c r="G112" s="323">
        <v>0</v>
      </c>
      <c r="H112" s="325">
        <v>0</v>
      </c>
      <c r="I112" s="322">
        <v>6.9980000000000002</v>
      </c>
      <c r="J112" s="323">
        <v>6.9980000000000002</v>
      </c>
      <c r="K112" s="333" t="s">
        <v>218</v>
      </c>
    </row>
    <row r="113" spans="1:11" ht="14.4" customHeight="1" thickBot="1" x14ac:dyDescent="0.35">
      <c r="A113" s="346" t="s">
        <v>323</v>
      </c>
      <c r="B113" s="322">
        <v>0</v>
      </c>
      <c r="C113" s="322">
        <v>0.95</v>
      </c>
      <c r="D113" s="323">
        <v>0.95</v>
      </c>
      <c r="E113" s="332" t="s">
        <v>218</v>
      </c>
      <c r="F113" s="322">
        <v>0</v>
      </c>
      <c r="G113" s="323">
        <v>0</v>
      </c>
      <c r="H113" s="325">
        <v>0</v>
      </c>
      <c r="I113" s="322">
        <v>0</v>
      </c>
      <c r="J113" s="323">
        <v>0</v>
      </c>
      <c r="K113" s="333" t="s">
        <v>218</v>
      </c>
    </row>
    <row r="114" spans="1:11" ht="14.4" customHeight="1" thickBot="1" x14ac:dyDescent="0.35">
      <c r="A114" s="344" t="s">
        <v>324</v>
      </c>
      <c r="B114" s="322">
        <v>0</v>
      </c>
      <c r="C114" s="322">
        <v>0.95</v>
      </c>
      <c r="D114" s="323">
        <v>0.95</v>
      </c>
      <c r="E114" s="332" t="s">
        <v>218</v>
      </c>
      <c r="F114" s="322">
        <v>0</v>
      </c>
      <c r="G114" s="323">
        <v>0</v>
      </c>
      <c r="H114" s="325">
        <v>0</v>
      </c>
      <c r="I114" s="322">
        <v>0</v>
      </c>
      <c r="J114" s="323">
        <v>0</v>
      </c>
      <c r="K114" s="333" t="s">
        <v>218</v>
      </c>
    </row>
    <row r="115" spans="1:11" ht="14.4" customHeight="1" thickBot="1" x14ac:dyDescent="0.35">
      <c r="A115" s="341" t="s">
        <v>325</v>
      </c>
      <c r="B115" s="322">
        <v>18848.043485668499</v>
      </c>
      <c r="C115" s="322">
        <v>19040.645990000001</v>
      </c>
      <c r="D115" s="323">
        <v>192.60250433146601</v>
      </c>
      <c r="E115" s="324">
        <v>1.010218700125</v>
      </c>
      <c r="F115" s="322">
        <v>14372</v>
      </c>
      <c r="G115" s="323">
        <v>2395.3333333333399</v>
      </c>
      <c r="H115" s="325">
        <v>1387.0896499999999</v>
      </c>
      <c r="I115" s="322">
        <v>2765.9766500000001</v>
      </c>
      <c r="J115" s="323">
        <v>370.64331666666197</v>
      </c>
      <c r="K115" s="326">
        <v>0.19245593167200001</v>
      </c>
    </row>
    <row r="116" spans="1:11" ht="14.4" customHeight="1" thickBot="1" x14ac:dyDescent="0.35">
      <c r="A116" s="342" t="s">
        <v>326</v>
      </c>
      <c r="B116" s="322">
        <v>18804.043423318501</v>
      </c>
      <c r="C116" s="322">
        <v>18933.848999999998</v>
      </c>
      <c r="D116" s="323">
        <v>129.80557668148001</v>
      </c>
      <c r="E116" s="324">
        <v>1.006903067269</v>
      </c>
      <c r="F116" s="322">
        <v>14372</v>
      </c>
      <c r="G116" s="323">
        <v>2395.3333333333399</v>
      </c>
      <c r="H116" s="325">
        <v>1376.3630000000001</v>
      </c>
      <c r="I116" s="322">
        <v>2755.25</v>
      </c>
      <c r="J116" s="323">
        <v>359.91666666666299</v>
      </c>
      <c r="K116" s="326">
        <v>0.19170957417199999</v>
      </c>
    </row>
    <row r="117" spans="1:11" ht="14.4" customHeight="1" thickBot="1" x14ac:dyDescent="0.35">
      <c r="A117" s="343" t="s">
        <v>327</v>
      </c>
      <c r="B117" s="327">
        <v>18804.043423318501</v>
      </c>
      <c r="C117" s="327">
        <v>18834.002</v>
      </c>
      <c r="D117" s="328">
        <v>29.958576681480999</v>
      </c>
      <c r="E117" s="334">
        <v>1.0015931986540001</v>
      </c>
      <c r="F117" s="327">
        <v>14372</v>
      </c>
      <c r="G117" s="328">
        <v>2395.3333333333399</v>
      </c>
      <c r="H117" s="330">
        <v>1376.3630000000001</v>
      </c>
      <c r="I117" s="327">
        <v>2755.25</v>
      </c>
      <c r="J117" s="328">
        <v>359.91666666666299</v>
      </c>
      <c r="K117" s="335">
        <v>0.19170957417199999</v>
      </c>
    </row>
    <row r="118" spans="1:11" ht="14.4" customHeight="1" thickBot="1" x14ac:dyDescent="0.35">
      <c r="A118" s="344" t="s">
        <v>328</v>
      </c>
      <c r="B118" s="322">
        <v>362.00083595199499</v>
      </c>
      <c r="C118" s="322">
        <v>367.62400000000002</v>
      </c>
      <c r="D118" s="323">
        <v>5.623164048005</v>
      </c>
      <c r="E118" s="324">
        <v>1.0155335664709999</v>
      </c>
      <c r="F118" s="322">
        <v>381.00000000000102</v>
      </c>
      <c r="G118" s="323">
        <v>63.5</v>
      </c>
      <c r="H118" s="325">
        <v>31.879000000000001</v>
      </c>
      <c r="I118" s="322">
        <v>63.673000000000002</v>
      </c>
      <c r="J118" s="323">
        <v>0.17299999999900001</v>
      </c>
      <c r="K118" s="326">
        <v>0.167120734908</v>
      </c>
    </row>
    <row r="119" spans="1:11" ht="14.4" customHeight="1" thickBot="1" x14ac:dyDescent="0.35">
      <c r="A119" s="344" t="s">
        <v>329</v>
      </c>
      <c r="B119" s="322">
        <v>6475.0149524562603</v>
      </c>
      <c r="C119" s="322">
        <v>6486.652</v>
      </c>
      <c r="D119" s="323">
        <v>11.637047543745</v>
      </c>
      <c r="E119" s="324">
        <v>1.001797223269</v>
      </c>
      <c r="F119" s="322">
        <v>5847.00000000001</v>
      </c>
      <c r="G119" s="323">
        <v>974.50000000000102</v>
      </c>
      <c r="H119" s="325">
        <v>536.84400000000005</v>
      </c>
      <c r="I119" s="322">
        <v>1073.6890000000001</v>
      </c>
      <c r="J119" s="323">
        <v>99.188999999998003</v>
      </c>
      <c r="K119" s="326">
        <v>0.183630750812</v>
      </c>
    </row>
    <row r="120" spans="1:11" ht="14.4" customHeight="1" thickBot="1" x14ac:dyDescent="0.35">
      <c r="A120" s="344" t="s">
        <v>330</v>
      </c>
      <c r="B120" s="322">
        <v>418.000965270535</v>
      </c>
      <c r="C120" s="322">
        <v>418.38299999999998</v>
      </c>
      <c r="D120" s="323">
        <v>0.38203472946400002</v>
      </c>
      <c r="E120" s="324">
        <v>1.000913956572</v>
      </c>
      <c r="F120" s="322">
        <v>394.00000000000102</v>
      </c>
      <c r="G120" s="323">
        <v>65.666666666666003</v>
      </c>
      <c r="H120" s="325">
        <v>32.835000000000001</v>
      </c>
      <c r="I120" s="322">
        <v>65.67</v>
      </c>
      <c r="J120" s="323">
        <v>3.3333333329999999E-3</v>
      </c>
      <c r="K120" s="326">
        <v>0.16667512690299999</v>
      </c>
    </row>
    <row r="121" spans="1:11" ht="14.4" customHeight="1" thickBot="1" x14ac:dyDescent="0.35">
      <c r="A121" s="344" t="s">
        <v>331</v>
      </c>
      <c r="B121" s="322">
        <v>2167.00500416567</v>
      </c>
      <c r="C121" s="322">
        <v>2178.6880000000001</v>
      </c>
      <c r="D121" s="323">
        <v>11.682995834330001</v>
      </c>
      <c r="E121" s="324">
        <v>1.005391310039</v>
      </c>
      <c r="F121" s="322">
        <v>2202</v>
      </c>
      <c r="G121" s="323">
        <v>367.00000000000102</v>
      </c>
      <c r="H121" s="325">
        <v>183.523</v>
      </c>
      <c r="I121" s="322">
        <v>367.03800000000001</v>
      </c>
      <c r="J121" s="323">
        <v>3.7999999999E-2</v>
      </c>
      <c r="K121" s="326">
        <v>0.16668392370499999</v>
      </c>
    </row>
    <row r="122" spans="1:11" ht="14.4" customHeight="1" thickBot="1" x14ac:dyDescent="0.35">
      <c r="A122" s="344" t="s">
        <v>332</v>
      </c>
      <c r="B122" s="322">
        <v>9354.0216008148</v>
      </c>
      <c r="C122" s="322">
        <v>9354.1190000000006</v>
      </c>
      <c r="D122" s="323">
        <v>9.7399185201999999E-2</v>
      </c>
      <c r="E122" s="324">
        <v>1.0000104125460001</v>
      </c>
      <c r="F122" s="322">
        <v>5520.00000000001</v>
      </c>
      <c r="G122" s="323">
        <v>920.00000000000102</v>
      </c>
      <c r="H122" s="325">
        <v>588.91200000000003</v>
      </c>
      <c r="I122" s="322">
        <v>1180.4380000000001</v>
      </c>
      <c r="J122" s="323">
        <v>260.43799999999902</v>
      </c>
      <c r="K122" s="326">
        <v>0.21384746376800001</v>
      </c>
    </row>
    <row r="123" spans="1:11" ht="14.4" customHeight="1" thickBot="1" x14ac:dyDescent="0.35">
      <c r="A123" s="344" t="s">
        <v>333</v>
      </c>
      <c r="B123" s="322">
        <v>28.000064659269999</v>
      </c>
      <c r="C123" s="322">
        <v>28.536000000000001</v>
      </c>
      <c r="D123" s="323">
        <v>0.53593534072899995</v>
      </c>
      <c r="E123" s="324">
        <v>1.019140503682</v>
      </c>
      <c r="F123" s="322">
        <v>28</v>
      </c>
      <c r="G123" s="323">
        <v>4.6666666666659999</v>
      </c>
      <c r="H123" s="325">
        <v>2.37</v>
      </c>
      <c r="I123" s="322">
        <v>4.742</v>
      </c>
      <c r="J123" s="323">
        <v>7.5333333333000005E-2</v>
      </c>
      <c r="K123" s="326">
        <v>0.16935714285699999</v>
      </c>
    </row>
    <row r="124" spans="1:11" ht="14.4" customHeight="1" thickBot="1" x14ac:dyDescent="0.35">
      <c r="A124" s="343" t="s">
        <v>334</v>
      </c>
      <c r="B124" s="327">
        <v>0</v>
      </c>
      <c r="C124" s="327">
        <v>99.846999999999994</v>
      </c>
      <c r="D124" s="328">
        <v>99.846999999999994</v>
      </c>
      <c r="E124" s="329" t="s">
        <v>218</v>
      </c>
      <c r="F124" s="327">
        <v>0</v>
      </c>
      <c r="G124" s="328">
        <v>0</v>
      </c>
      <c r="H124" s="330">
        <v>0</v>
      </c>
      <c r="I124" s="327">
        <v>0</v>
      </c>
      <c r="J124" s="328">
        <v>0</v>
      </c>
      <c r="K124" s="335">
        <v>2</v>
      </c>
    </row>
    <row r="125" spans="1:11" ht="14.4" customHeight="1" thickBot="1" x14ac:dyDescent="0.35">
      <c r="A125" s="344" t="s">
        <v>335</v>
      </c>
      <c r="B125" s="322">
        <v>0</v>
      </c>
      <c r="C125" s="322">
        <v>99.846999999999994</v>
      </c>
      <c r="D125" s="323">
        <v>99.846999999999994</v>
      </c>
      <c r="E125" s="332" t="s">
        <v>243</v>
      </c>
      <c r="F125" s="322">
        <v>0</v>
      </c>
      <c r="G125" s="323">
        <v>0</v>
      </c>
      <c r="H125" s="325">
        <v>0</v>
      </c>
      <c r="I125" s="322">
        <v>0</v>
      </c>
      <c r="J125" s="323">
        <v>0</v>
      </c>
      <c r="K125" s="326">
        <v>2</v>
      </c>
    </row>
    <row r="126" spans="1:11" ht="14.4" customHeight="1" thickBot="1" x14ac:dyDescent="0.35">
      <c r="A126" s="342" t="s">
        <v>336</v>
      </c>
      <c r="B126" s="322">
        <v>44.000062350009998</v>
      </c>
      <c r="C126" s="322">
        <v>106.79698999999999</v>
      </c>
      <c r="D126" s="323">
        <v>62.796927649989001</v>
      </c>
      <c r="E126" s="324">
        <v>2.4272008787270001</v>
      </c>
      <c r="F126" s="322">
        <v>0</v>
      </c>
      <c r="G126" s="323">
        <v>0</v>
      </c>
      <c r="H126" s="325">
        <v>10.726649999999999</v>
      </c>
      <c r="I126" s="322">
        <v>10.726649999999999</v>
      </c>
      <c r="J126" s="323">
        <v>10.726649999999999</v>
      </c>
      <c r="K126" s="333" t="s">
        <v>218</v>
      </c>
    </row>
    <row r="127" spans="1:11" ht="14.4" customHeight="1" thickBot="1" x14ac:dyDescent="0.35">
      <c r="A127" s="343" t="s">
        <v>337</v>
      </c>
      <c r="B127" s="327">
        <v>44.000062350009998</v>
      </c>
      <c r="C127" s="327">
        <v>60.82667</v>
      </c>
      <c r="D127" s="328">
        <v>16.826607649989</v>
      </c>
      <c r="E127" s="334">
        <v>1.3824223592260001</v>
      </c>
      <c r="F127" s="327">
        <v>0</v>
      </c>
      <c r="G127" s="328">
        <v>0</v>
      </c>
      <c r="H127" s="330">
        <v>10.726649999999999</v>
      </c>
      <c r="I127" s="327">
        <v>10.726649999999999</v>
      </c>
      <c r="J127" s="328">
        <v>10.726649999999999</v>
      </c>
      <c r="K127" s="331" t="s">
        <v>218</v>
      </c>
    </row>
    <row r="128" spans="1:11" ht="14.4" customHeight="1" thickBot="1" x14ac:dyDescent="0.35">
      <c r="A128" s="344" t="s">
        <v>338</v>
      </c>
      <c r="B128" s="322">
        <v>44.000062350009998</v>
      </c>
      <c r="C128" s="322">
        <v>44.051740000000002</v>
      </c>
      <c r="D128" s="323">
        <v>5.1677649988999999E-2</v>
      </c>
      <c r="E128" s="324">
        <v>1.0011744903799999</v>
      </c>
      <c r="F128" s="322">
        <v>0</v>
      </c>
      <c r="G128" s="323">
        <v>0</v>
      </c>
      <c r="H128" s="325">
        <v>0</v>
      </c>
      <c r="I128" s="322">
        <v>0</v>
      </c>
      <c r="J128" s="323">
        <v>0</v>
      </c>
      <c r="K128" s="333" t="s">
        <v>218</v>
      </c>
    </row>
    <row r="129" spans="1:11" ht="14.4" customHeight="1" thickBot="1" x14ac:dyDescent="0.35">
      <c r="A129" s="344" t="s">
        <v>339</v>
      </c>
      <c r="B129" s="322">
        <v>0</v>
      </c>
      <c r="C129" s="322">
        <v>16.774930000000001</v>
      </c>
      <c r="D129" s="323">
        <v>16.774930000000001</v>
      </c>
      <c r="E129" s="332" t="s">
        <v>218</v>
      </c>
      <c r="F129" s="322">
        <v>0</v>
      </c>
      <c r="G129" s="323">
        <v>0</v>
      </c>
      <c r="H129" s="325">
        <v>10.726649999999999</v>
      </c>
      <c r="I129" s="322">
        <v>10.726649999999999</v>
      </c>
      <c r="J129" s="323">
        <v>10.726649999999999</v>
      </c>
      <c r="K129" s="333" t="s">
        <v>218</v>
      </c>
    </row>
    <row r="130" spans="1:11" ht="14.4" customHeight="1" thickBot="1" x14ac:dyDescent="0.35">
      <c r="A130" s="343" t="s">
        <v>340</v>
      </c>
      <c r="B130" s="327">
        <v>0</v>
      </c>
      <c r="C130" s="327">
        <v>26.73132</v>
      </c>
      <c r="D130" s="328">
        <v>26.73132</v>
      </c>
      <c r="E130" s="329" t="s">
        <v>243</v>
      </c>
      <c r="F130" s="327">
        <v>0</v>
      </c>
      <c r="G130" s="328">
        <v>0</v>
      </c>
      <c r="H130" s="330">
        <v>0</v>
      </c>
      <c r="I130" s="327">
        <v>0</v>
      </c>
      <c r="J130" s="328">
        <v>0</v>
      </c>
      <c r="K130" s="331" t="s">
        <v>218</v>
      </c>
    </row>
    <row r="131" spans="1:11" ht="14.4" customHeight="1" thickBot="1" x14ac:dyDescent="0.35">
      <c r="A131" s="344" t="s">
        <v>341</v>
      </c>
      <c r="B131" s="322">
        <v>0</v>
      </c>
      <c r="C131" s="322">
        <v>26.73132</v>
      </c>
      <c r="D131" s="323">
        <v>26.73132</v>
      </c>
      <c r="E131" s="332" t="s">
        <v>243</v>
      </c>
      <c r="F131" s="322">
        <v>0</v>
      </c>
      <c r="G131" s="323">
        <v>0</v>
      </c>
      <c r="H131" s="325">
        <v>0</v>
      </c>
      <c r="I131" s="322">
        <v>0</v>
      </c>
      <c r="J131" s="323">
        <v>0</v>
      </c>
      <c r="K131" s="333" t="s">
        <v>218</v>
      </c>
    </row>
    <row r="132" spans="1:11" ht="14.4" customHeight="1" thickBot="1" x14ac:dyDescent="0.35">
      <c r="A132" s="343" t="s">
        <v>342</v>
      </c>
      <c r="B132" s="327">
        <v>0</v>
      </c>
      <c r="C132" s="327">
        <v>19.239000000000001</v>
      </c>
      <c r="D132" s="328">
        <v>19.239000000000001</v>
      </c>
      <c r="E132" s="329" t="s">
        <v>218</v>
      </c>
      <c r="F132" s="327">
        <v>0</v>
      </c>
      <c r="G132" s="328">
        <v>0</v>
      </c>
      <c r="H132" s="330">
        <v>0</v>
      </c>
      <c r="I132" s="327">
        <v>0</v>
      </c>
      <c r="J132" s="328">
        <v>0</v>
      </c>
      <c r="K132" s="331" t="s">
        <v>218</v>
      </c>
    </row>
    <row r="133" spans="1:11" ht="14.4" customHeight="1" thickBot="1" x14ac:dyDescent="0.35">
      <c r="A133" s="344" t="s">
        <v>343</v>
      </c>
      <c r="B133" s="322">
        <v>0</v>
      </c>
      <c r="C133" s="322">
        <v>19.239000000000001</v>
      </c>
      <c r="D133" s="323">
        <v>19.239000000000001</v>
      </c>
      <c r="E133" s="332" t="s">
        <v>218</v>
      </c>
      <c r="F133" s="322">
        <v>0</v>
      </c>
      <c r="G133" s="323">
        <v>0</v>
      </c>
      <c r="H133" s="325">
        <v>0</v>
      </c>
      <c r="I133" s="322">
        <v>0</v>
      </c>
      <c r="J133" s="323">
        <v>0</v>
      </c>
      <c r="K133" s="333" t="s">
        <v>218</v>
      </c>
    </row>
    <row r="134" spans="1:11" ht="14.4" customHeight="1" thickBot="1" x14ac:dyDescent="0.35">
      <c r="A134" s="341" t="s">
        <v>344</v>
      </c>
      <c r="B134" s="322">
        <v>0</v>
      </c>
      <c r="C134" s="322">
        <v>105.78145000000001</v>
      </c>
      <c r="D134" s="323">
        <v>105.78145000000001</v>
      </c>
      <c r="E134" s="332" t="s">
        <v>218</v>
      </c>
      <c r="F134" s="322">
        <v>0</v>
      </c>
      <c r="G134" s="323">
        <v>0</v>
      </c>
      <c r="H134" s="325">
        <v>6.4686599999999999</v>
      </c>
      <c r="I134" s="322">
        <v>14.7821</v>
      </c>
      <c r="J134" s="323">
        <v>14.7821</v>
      </c>
      <c r="K134" s="333" t="s">
        <v>218</v>
      </c>
    </row>
    <row r="135" spans="1:11" ht="14.4" customHeight="1" thickBot="1" x14ac:dyDescent="0.35">
      <c r="A135" s="342" t="s">
        <v>345</v>
      </c>
      <c r="B135" s="322">
        <v>0</v>
      </c>
      <c r="C135" s="322">
        <v>105.78145000000001</v>
      </c>
      <c r="D135" s="323">
        <v>105.78145000000001</v>
      </c>
      <c r="E135" s="332" t="s">
        <v>218</v>
      </c>
      <c r="F135" s="322">
        <v>0</v>
      </c>
      <c r="G135" s="323">
        <v>0</v>
      </c>
      <c r="H135" s="325">
        <v>6.4686599999999999</v>
      </c>
      <c r="I135" s="322">
        <v>14.7821</v>
      </c>
      <c r="J135" s="323">
        <v>14.7821</v>
      </c>
      <c r="K135" s="333" t="s">
        <v>218</v>
      </c>
    </row>
    <row r="136" spans="1:11" ht="14.4" customHeight="1" thickBot="1" x14ac:dyDescent="0.35">
      <c r="A136" s="343" t="s">
        <v>346</v>
      </c>
      <c r="B136" s="327">
        <v>0</v>
      </c>
      <c r="C136" s="327">
        <v>105.78145000000001</v>
      </c>
      <c r="D136" s="328">
        <v>105.78145000000001</v>
      </c>
      <c r="E136" s="329" t="s">
        <v>218</v>
      </c>
      <c r="F136" s="327">
        <v>0</v>
      </c>
      <c r="G136" s="328">
        <v>0</v>
      </c>
      <c r="H136" s="330">
        <v>6.4686599999999999</v>
      </c>
      <c r="I136" s="327">
        <v>14.7821</v>
      </c>
      <c r="J136" s="328">
        <v>14.7821</v>
      </c>
      <c r="K136" s="331" t="s">
        <v>218</v>
      </c>
    </row>
    <row r="137" spans="1:11" ht="14.4" customHeight="1" thickBot="1" x14ac:dyDescent="0.35">
      <c r="A137" s="344" t="s">
        <v>347</v>
      </c>
      <c r="B137" s="322">
        <v>0</v>
      </c>
      <c r="C137" s="322">
        <v>105.78145000000001</v>
      </c>
      <c r="D137" s="323">
        <v>105.78145000000001</v>
      </c>
      <c r="E137" s="332" t="s">
        <v>218</v>
      </c>
      <c r="F137" s="322">
        <v>0</v>
      </c>
      <c r="G137" s="323">
        <v>0</v>
      </c>
      <c r="H137" s="325">
        <v>6.4686599999999999</v>
      </c>
      <c r="I137" s="322">
        <v>14.7821</v>
      </c>
      <c r="J137" s="323">
        <v>14.7821</v>
      </c>
      <c r="K137" s="333" t="s">
        <v>218</v>
      </c>
    </row>
    <row r="138" spans="1:11" ht="14.4" customHeight="1" thickBot="1" x14ac:dyDescent="0.35">
      <c r="A138" s="340" t="s">
        <v>348</v>
      </c>
      <c r="B138" s="322">
        <v>171.36220877416301</v>
      </c>
      <c r="C138" s="322">
        <v>215.87902</v>
      </c>
      <c r="D138" s="323">
        <v>44.516811225836001</v>
      </c>
      <c r="E138" s="324">
        <v>1.2597819644379999</v>
      </c>
      <c r="F138" s="322">
        <v>22.585827391849001</v>
      </c>
      <c r="G138" s="323">
        <v>3.7643045653080001</v>
      </c>
      <c r="H138" s="325">
        <v>5.1559999999999997</v>
      </c>
      <c r="I138" s="322">
        <v>12.54341</v>
      </c>
      <c r="J138" s="323">
        <v>8.7791054346909991</v>
      </c>
      <c r="K138" s="326">
        <v>0.55536641551199994</v>
      </c>
    </row>
    <row r="139" spans="1:11" ht="14.4" customHeight="1" thickBot="1" x14ac:dyDescent="0.35">
      <c r="A139" s="341" t="s">
        <v>349</v>
      </c>
      <c r="B139" s="322">
        <v>0</v>
      </c>
      <c r="C139" s="322">
        <v>4.4628199999999998</v>
      </c>
      <c r="D139" s="323">
        <v>4.4628199999999998</v>
      </c>
      <c r="E139" s="332" t="s">
        <v>243</v>
      </c>
      <c r="F139" s="322">
        <v>0</v>
      </c>
      <c r="G139" s="323">
        <v>0</v>
      </c>
      <c r="H139" s="325">
        <v>0</v>
      </c>
      <c r="I139" s="322">
        <v>2.2314099999999999</v>
      </c>
      <c r="J139" s="323">
        <v>2.2314099999999999</v>
      </c>
      <c r="K139" s="333" t="s">
        <v>218</v>
      </c>
    </row>
    <row r="140" spans="1:11" ht="14.4" customHeight="1" thickBot="1" x14ac:dyDescent="0.35">
      <c r="A140" s="347" t="s">
        <v>350</v>
      </c>
      <c r="B140" s="327">
        <v>0</v>
      </c>
      <c r="C140" s="327">
        <v>4.4628199999999998</v>
      </c>
      <c r="D140" s="328">
        <v>4.4628199999999998</v>
      </c>
      <c r="E140" s="329" t="s">
        <v>243</v>
      </c>
      <c r="F140" s="327">
        <v>0</v>
      </c>
      <c r="G140" s="328">
        <v>0</v>
      </c>
      <c r="H140" s="330">
        <v>0</v>
      </c>
      <c r="I140" s="327">
        <v>2.2314099999999999</v>
      </c>
      <c r="J140" s="328">
        <v>2.2314099999999999</v>
      </c>
      <c r="K140" s="331" t="s">
        <v>218</v>
      </c>
    </row>
    <row r="141" spans="1:11" ht="14.4" customHeight="1" thickBot="1" x14ac:dyDescent="0.35">
      <c r="A141" s="343" t="s">
        <v>351</v>
      </c>
      <c r="B141" s="327">
        <v>0</v>
      </c>
      <c r="C141" s="327">
        <v>2.0000000000000002E-5</v>
      </c>
      <c r="D141" s="328">
        <v>2.0000000000000002E-5</v>
      </c>
      <c r="E141" s="329" t="s">
        <v>243</v>
      </c>
      <c r="F141" s="327">
        <v>0</v>
      </c>
      <c r="G141" s="328">
        <v>0</v>
      </c>
      <c r="H141" s="330">
        <v>0</v>
      </c>
      <c r="I141" s="327">
        <v>1.0000000000000001E-5</v>
      </c>
      <c r="J141" s="328">
        <v>1.0000000000000001E-5</v>
      </c>
      <c r="K141" s="331" t="s">
        <v>218</v>
      </c>
    </row>
    <row r="142" spans="1:11" ht="14.4" customHeight="1" thickBot="1" x14ac:dyDescent="0.35">
      <c r="A142" s="344" t="s">
        <v>352</v>
      </c>
      <c r="B142" s="322">
        <v>0</v>
      </c>
      <c r="C142" s="322">
        <v>2.0000000000000002E-5</v>
      </c>
      <c r="D142" s="323">
        <v>2.0000000000000002E-5</v>
      </c>
      <c r="E142" s="332" t="s">
        <v>243</v>
      </c>
      <c r="F142" s="322">
        <v>0</v>
      </c>
      <c r="G142" s="323">
        <v>0</v>
      </c>
      <c r="H142" s="325">
        <v>0</v>
      </c>
      <c r="I142" s="322">
        <v>1.0000000000000001E-5</v>
      </c>
      <c r="J142" s="323">
        <v>1.0000000000000001E-5</v>
      </c>
      <c r="K142" s="333" t="s">
        <v>218</v>
      </c>
    </row>
    <row r="143" spans="1:11" ht="14.4" customHeight="1" thickBot="1" x14ac:dyDescent="0.35">
      <c r="A143" s="343" t="s">
        <v>353</v>
      </c>
      <c r="B143" s="327">
        <v>0</v>
      </c>
      <c r="C143" s="327">
        <v>4.4627999999999997</v>
      </c>
      <c r="D143" s="328">
        <v>4.4627999999999997</v>
      </c>
      <c r="E143" s="329" t="s">
        <v>243</v>
      </c>
      <c r="F143" s="327">
        <v>0</v>
      </c>
      <c r="G143" s="328">
        <v>0</v>
      </c>
      <c r="H143" s="330">
        <v>0</v>
      </c>
      <c r="I143" s="327">
        <v>2.2313999999999998</v>
      </c>
      <c r="J143" s="328">
        <v>2.2313999999999998</v>
      </c>
      <c r="K143" s="331" t="s">
        <v>218</v>
      </c>
    </row>
    <row r="144" spans="1:11" ht="14.4" customHeight="1" thickBot="1" x14ac:dyDescent="0.35">
      <c r="A144" s="344" t="s">
        <v>354</v>
      </c>
      <c r="B144" s="322">
        <v>0</v>
      </c>
      <c r="C144" s="322">
        <v>4.4627999999999997</v>
      </c>
      <c r="D144" s="323">
        <v>4.4627999999999997</v>
      </c>
      <c r="E144" s="332" t="s">
        <v>243</v>
      </c>
      <c r="F144" s="322">
        <v>0</v>
      </c>
      <c r="G144" s="323">
        <v>0</v>
      </c>
      <c r="H144" s="325">
        <v>0</v>
      </c>
      <c r="I144" s="322">
        <v>2.2313999999999998</v>
      </c>
      <c r="J144" s="323">
        <v>2.2313999999999998</v>
      </c>
      <c r="K144" s="333" t="s">
        <v>218</v>
      </c>
    </row>
    <row r="145" spans="1:11" ht="14.4" customHeight="1" thickBot="1" x14ac:dyDescent="0.35">
      <c r="A145" s="341" t="s">
        <v>355</v>
      </c>
      <c r="B145" s="322">
        <v>0</v>
      </c>
      <c r="C145" s="322">
        <v>6.4199999999999993E-2</v>
      </c>
      <c r="D145" s="323">
        <v>6.4199999999999993E-2</v>
      </c>
      <c r="E145" s="332" t="s">
        <v>218</v>
      </c>
      <c r="F145" s="322">
        <v>0</v>
      </c>
      <c r="G145" s="323">
        <v>0</v>
      </c>
      <c r="H145" s="325">
        <v>0</v>
      </c>
      <c r="I145" s="322">
        <v>0</v>
      </c>
      <c r="J145" s="323">
        <v>0</v>
      </c>
      <c r="K145" s="333" t="s">
        <v>218</v>
      </c>
    </row>
    <row r="146" spans="1:11" ht="14.4" customHeight="1" thickBot="1" x14ac:dyDescent="0.35">
      <c r="A146" s="347" t="s">
        <v>356</v>
      </c>
      <c r="B146" s="327">
        <v>0</v>
      </c>
      <c r="C146" s="327">
        <v>6.4199999999999993E-2</v>
      </c>
      <c r="D146" s="328">
        <v>6.4199999999999993E-2</v>
      </c>
      <c r="E146" s="329" t="s">
        <v>218</v>
      </c>
      <c r="F146" s="327">
        <v>0</v>
      </c>
      <c r="G146" s="328">
        <v>0</v>
      </c>
      <c r="H146" s="330">
        <v>0</v>
      </c>
      <c r="I146" s="327">
        <v>0</v>
      </c>
      <c r="J146" s="328">
        <v>0</v>
      </c>
      <c r="K146" s="331" t="s">
        <v>218</v>
      </c>
    </row>
    <row r="147" spans="1:11" ht="14.4" customHeight="1" thickBot="1" x14ac:dyDescent="0.35">
      <c r="A147" s="343" t="s">
        <v>357</v>
      </c>
      <c r="B147" s="327">
        <v>0</v>
      </c>
      <c r="C147" s="327">
        <v>6.4199999999999993E-2</v>
      </c>
      <c r="D147" s="328">
        <v>6.4199999999999993E-2</v>
      </c>
      <c r="E147" s="329" t="s">
        <v>218</v>
      </c>
      <c r="F147" s="327">
        <v>0</v>
      </c>
      <c r="G147" s="328">
        <v>0</v>
      </c>
      <c r="H147" s="330">
        <v>0</v>
      </c>
      <c r="I147" s="327">
        <v>0</v>
      </c>
      <c r="J147" s="328">
        <v>0</v>
      </c>
      <c r="K147" s="331" t="s">
        <v>218</v>
      </c>
    </row>
    <row r="148" spans="1:11" ht="14.4" customHeight="1" thickBot="1" x14ac:dyDescent="0.35">
      <c r="A148" s="344" t="s">
        <v>358</v>
      </c>
      <c r="B148" s="322">
        <v>0</v>
      </c>
      <c r="C148" s="322">
        <v>6.4199999999999993E-2</v>
      </c>
      <c r="D148" s="323">
        <v>6.4199999999999993E-2</v>
      </c>
      <c r="E148" s="332" t="s">
        <v>218</v>
      </c>
      <c r="F148" s="322">
        <v>0</v>
      </c>
      <c r="G148" s="323">
        <v>0</v>
      </c>
      <c r="H148" s="325">
        <v>0</v>
      </c>
      <c r="I148" s="322">
        <v>0</v>
      </c>
      <c r="J148" s="323">
        <v>0</v>
      </c>
      <c r="K148" s="333" t="s">
        <v>218</v>
      </c>
    </row>
    <row r="149" spans="1:11" ht="14.4" customHeight="1" thickBot="1" x14ac:dyDescent="0.35">
      <c r="A149" s="341" t="s">
        <v>359</v>
      </c>
      <c r="B149" s="322">
        <v>171.36220877416301</v>
      </c>
      <c r="C149" s="322">
        <v>211.352</v>
      </c>
      <c r="D149" s="323">
        <v>39.989791225836001</v>
      </c>
      <c r="E149" s="324">
        <v>1.2333641210149999</v>
      </c>
      <c r="F149" s="322">
        <v>22.585827391849001</v>
      </c>
      <c r="G149" s="323">
        <v>3.7643045653080001</v>
      </c>
      <c r="H149" s="325">
        <v>5.1559999999999997</v>
      </c>
      <c r="I149" s="322">
        <v>10.311999999999999</v>
      </c>
      <c r="J149" s="323">
        <v>6.5476954346909997</v>
      </c>
      <c r="K149" s="326">
        <v>0.456569503569</v>
      </c>
    </row>
    <row r="150" spans="1:11" ht="14.4" customHeight="1" thickBot="1" x14ac:dyDescent="0.35">
      <c r="A150" s="347" t="s">
        <v>360</v>
      </c>
      <c r="B150" s="327">
        <v>171.36220877416301</v>
      </c>
      <c r="C150" s="327">
        <v>211.352</v>
      </c>
      <c r="D150" s="328">
        <v>39.989791225836001</v>
      </c>
      <c r="E150" s="334">
        <v>1.2333641210149999</v>
      </c>
      <c r="F150" s="327">
        <v>22.585827391849001</v>
      </c>
      <c r="G150" s="328">
        <v>3.7643045653080001</v>
      </c>
      <c r="H150" s="330">
        <v>5.1559999999999997</v>
      </c>
      <c r="I150" s="327">
        <v>10.311999999999999</v>
      </c>
      <c r="J150" s="328">
        <v>6.5476954346909997</v>
      </c>
      <c r="K150" s="335">
        <v>0.456569503569</v>
      </c>
    </row>
    <row r="151" spans="1:11" ht="14.4" customHeight="1" thickBot="1" x14ac:dyDescent="0.35">
      <c r="A151" s="343" t="s">
        <v>361</v>
      </c>
      <c r="B151" s="327">
        <v>113.505190362985</v>
      </c>
      <c r="C151" s="327">
        <v>149.47999999999999</v>
      </c>
      <c r="D151" s="328">
        <v>35.974809637014999</v>
      </c>
      <c r="E151" s="334">
        <v>1.3169441813360001</v>
      </c>
      <c r="F151" s="327">
        <v>22.585827391849001</v>
      </c>
      <c r="G151" s="328">
        <v>3.7643045653080001</v>
      </c>
      <c r="H151" s="330">
        <v>0</v>
      </c>
      <c r="I151" s="327">
        <v>0</v>
      </c>
      <c r="J151" s="328">
        <v>-3.7643045653080001</v>
      </c>
      <c r="K151" s="335">
        <v>0</v>
      </c>
    </row>
    <row r="152" spans="1:11" ht="14.4" customHeight="1" thickBot="1" x14ac:dyDescent="0.35">
      <c r="A152" s="344" t="s">
        <v>362</v>
      </c>
      <c r="B152" s="322">
        <v>113.505190362985</v>
      </c>
      <c r="C152" s="322">
        <v>149.47999999999999</v>
      </c>
      <c r="D152" s="323">
        <v>35.974809637014999</v>
      </c>
      <c r="E152" s="324">
        <v>1.3169441813360001</v>
      </c>
      <c r="F152" s="322">
        <v>22.585827391849001</v>
      </c>
      <c r="G152" s="323">
        <v>3.7643045653080001</v>
      </c>
      <c r="H152" s="325">
        <v>0</v>
      </c>
      <c r="I152" s="322">
        <v>0</v>
      </c>
      <c r="J152" s="323">
        <v>-3.7643045653080001</v>
      </c>
      <c r="K152" s="326">
        <v>0</v>
      </c>
    </row>
    <row r="153" spans="1:11" ht="14.4" customHeight="1" thickBot="1" x14ac:dyDescent="0.35">
      <c r="A153" s="346" t="s">
        <v>363</v>
      </c>
      <c r="B153" s="322">
        <v>57.857018411177997</v>
      </c>
      <c r="C153" s="322">
        <v>61.872</v>
      </c>
      <c r="D153" s="323">
        <v>4.0149815888209996</v>
      </c>
      <c r="E153" s="324">
        <v>1.0693948927729999</v>
      </c>
      <c r="F153" s="322">
        <v>0</v>
      </c>
      <c r="G153" s="323">
        <v>0</v>
      </c>
      <c r="H153" s="325">
        <v>5.1559999999999997</v>
      </c>
      <c r="I153" s="322">
        <v>10.311999999999999</v>
      </c>
      <c r="J153" s="323">
        <v>10.311999999999999</v>
      </c>
      <c r="K153" s="333" t="s">
        <v>218</v>
      </c>
    </row>
    <row r="154" spans="1:11" ht="14.4" customHeight="1" thickBot="1" x14ac:dyDescent="0.35">
      <c r="A154" s="344" t="s">
        <v>364</v>
      </c>
      <c r="B154" s="322">
        <v>57.857018411177997</v>
      </c>
      <c r="C154" s="322">
        <v>61.872</v>
      </c>
      <c r="D154" s="323">
        <v>4.0149815888209996</v>
      </c>
      <c r="E154" s="324">
        <v>1.0693948927729999</v>
      </c>
      <c r="F154" s="322">
        <v>0</v>
      </c>
      <c r="G154" s="323">
        <v>0</v>
      </c>
      <c r="H154" s="325">
        <v>5.1559999999999997</v>
      </c>
      <c r="I154" s="322">
        <v>10.311999999999999</v>
      </c>
      <c r="J154" s="323">
        <v>10.311999999999999</v>
      </c>
      <c r="K154" s="333" t="s">
        <v>218</v>
      </c>
    </row>
    <row r="155" spans="1:11" ht="14.4" customHeight="1" thickBot="1" x14ac:dyDescent="0.35">
      <c r="A155" s="340" t="s">
        <v>365</v>
      </c>
      <c r="B155" s="322">
        <v>3587.2099797718602</v>
      </c>
      <c r="C155" s="322">
        <v>3651.5608499999998</v>
      </c>
      <c r="D155" s="323">
        <v>64.350870228136998</v>
      </c>
      <c r="E155" s="324">
        <v>1.017938975022</v>
      </c>
      <c r="F155" s="322">
        <v>0</v>
      </c>
      <c r="G155" s="323">
        <v>0</v>
      </c>
      <c r="H155" s="325">
        <v>261.02278999999999</v>
      </c>
      <c r="I155" s="322">
        <v>531.02083000000005</v>
      </c>
      <c r="J155" s="323">
        <v>531.02083000000005</v>
      </c>
      <c r="K155" s="333" t="s">
        <v>243</v>
      </c>
    </row>
    <row r="156" spans="1:11" ht="14.4" customHeight="1" thickBot="1" x14ac:dyDescent="0.35">
      <c r="A156" s="345" t="s">
        <v>366</v>
      </c>
      <c r="B156" s="327">
        <v>3587.2099797718602</v>
      </c>
      <c r="C156" s="327">
        <v>3651.5608499999998</v>
      </c>
      <c r="D156" s="328">
        <v>64.350870228136998</v>
      </c>
      <c r="E156" s="334">
        <v>1.017938975022</v>
      </c>
      <c r="F156" s="327">
        <v>0</v>
      </c>
      <c r="G156" s="328">
        <v>0</v>
      </c>
      <c r="H156" s="330">
        <v>261.02278999999999</v>
      </c>
      <c r="I156" s="327">
        <v>531.02083000000005</v>
      </c>
      <c r="J156" s="328">
        <v>531.02083000000005</v>
      </c>
      <c r="K156" s="331" t="s">
        <v>243</v>
      </c>
    </row>
    <row r="157" spans="1:11" ht="14.4" customHeight="1" thickBot="1" x14ac:dyDescent="0.35">
      <c r="A157" s="347" t="s">
        <v>38</v>
      </c>
      <c r="B157" s="327">
        <v>3587.2099797718602</v>
      </c>
      <c r="C157" s="327">
        <v>3651.5608499999998</v>
      </c>
      <c r="D157" s="328">
        <v>64.350870228136998</v>
      </c>
      <c r="E157" s="334">
        <v>1.017938975022</v>
      </c>
      <c r="F157" s="327">
        <v>0</v>
      </c>
      <c r="G157" s="328">
        <v>0</v>
      </c>
      <c r="H157" s="330">
        <v>261.02278999999999</v>
      </c>
      <c r="I157" s="327">
        <v>531.02083000000005</v>
      </c>
      <c r="J157" s="328">
        <v>531.02083000000005</v>
      </c>
      <c r="K157" s="331" t="s">
        <v>243</v>
      </c>
    </row>
    <row r="158" spans="1:11" ht="14.4" customHeight="1" thickBot="1" x14ac:dyDescent="0.35">
      <c r="A158" s="346" t="s">
        <v>367</v>
      </c>
      <c r="B158" s="322">
        <v>0</v>
      </c>
      <c r="C158" s="322">
        <v>0</v>
      </c>
      <c r="D158" s="323">
        <v>0</v>
      </c>
      <c r="E158" s="324">
        <v>1</v>
      </c>
      <c r="F158" s="322">
        <v>0</v>
      </c>
      <c r="G158" s="323">
        <v>0</v>
      </c>
      <c r="H158" s="325">
        <v>0.26162999999999997</v>
      </c>
      <c r="I158" s="322">
        <v>0.45038</v>
      </c>
      <c r="J158" s="323">
        <v>0.45038</v>
      </c>
      <c r="K158" s="333" t="s">
        <v>243</v>
      </c>
    </row>
    <row r="159" spans="1:11" ht="14.4" customHeight="1" thickBot="1" x14ac:dyDescent="0.35">
      <c r="A159" s="344" t="s">
        <v>368</v>
      </c>
      <c r="B159" s="322">
        <v>0</v>
      </c>
      <c r="C159" s="322">
        <v>0</v>
      </c>
      <c r="D159" s="323">
        <v>0</v>
      </c>
      <c r="E159" s="324">
        <v>1</v>
      </c>
      <c r="F159" s="322">
        <v>0</v>
      </c>
      <c r="G159" s="323">
        <v>0</v>
      </c>
      <c r="H159" s="325">
        <v>0.26162999999999997</v>
      </c>
      <c r="I159" s="322">
        <v>0.45038</v>
      </c>
      <c r="J159" s="323">
        <v>0.45038</v>
      </c>
      <c r="K159" s="333" t="s">
        <v>243</v>
      </c>
    </row>
    <row r="160" spans="1:11" ht="14.4" customHeight="1" thickBot="1" x14ac:dyDescent="0.35">
      <c r="A160" s="343" t="s">
        <v>369</v>
      </c>
      <c r="B160" s="327">
        <v>26.598658467172001</v>
      </c>
      <c r="C160" s="327">
        <v>24.6</v>
      </c>
      <c r="D160" s="328">
        <v>-1.998658467172</v>
      </c>
      <c r="E160" s="334">
        <v>0.92485867399499999</v>
      </c>
      <c r="F160" s="327">
        <v>0</v>
      </c>
      <c r="G160" s="328">
        <v>0</v>
      </c>
      <c r="H160" s="330">
        <v>2.0499999999999998</v>
      </c>
      <c r="I160" s="327">
        <v>4.0999999999999996</v>
      </c>
      <c r="J160" s="328">
        <v>4.0999999999999996</v>
      </c>
      <c r="K160" s="331" t="s">
        <v>243</v>
      </c>
    </row>
    <row r="161" spans="1:11" ht="14.4" customHeight="1" thickBot="1" x14ac:dyDescent="0.35">
      <c r="A161" s="344" t="s">
        <v>370</v>
      </c>
      <c r="B161" s="322">
        <v>26.598658467172001</v>
      </c>
      <c r="C161" s="322">
        <v>24.6</v>
      </c>
      <c r="D161" s="323">
        <v>-1.998658467172</v>
      </c>
      <c r="E161" s="324">
        <v>0.92485867399499999</v>
      </c>
      <c r="F161" s="322">
        <v>0</v>
      </c>
      <c r="G161" s="323">
        <v>0</v>
      </c>
      <c r="H161" s="325">
        <v>2.0499999999999998</v>
      </c>
      <c r="I161" s="322">
        <v>4.0999999999999996</v>
      </c>
      <c r="J161" s="323">
        <v>4.0999999999999996</v>
      </c>
      <c r="K161" s="333" t="s">
        <v>243</v>
      </c>
    </row>
    <row r="162" spans="1:11" ht="14.4" customHeight="1" thickBot="1" x14ac:dyDescent="0.35">
      <c r="A162" s="343" t="s">
        <v>371</v>
      </c>
      <c r="B162" s="327">
        <v>142.247553236382</v>
      </c>
      <c r="C162" s="327">
        <v>129.4427</v>
      </c>
      <c r="D162" s="328">
        <v>-12.804853236382</v>
      </c>
      <c r="E162" s="334">
        <v>0.90998190868600004</v>
      </c>
      <c r="F162" s="327">
        <v>0</v>
      </c>
      <c r="G162" s="328">
        <v>0</v>
      </c>
      <c r="H162" s="330">
        <v>11.7807</v>
      </c>
      <c r="I162" s="327">
        <v>24.279699999999998</v>
      </c>
      <c r="J162" s="328">
        <v>24.279699999999998</v>
      </c>
      <c r="K162" s="331" t="s">
        <v>243</v>
      </c>
    </row>
    <row r="163" spans="1:11" ht="14.4" customHeight="1" thickBot="1" x14ac:dyDescent="0.35">
      <c r="A163" s="344" t="s">
        <v>372</v>
      </c>
      <c r="B163" s="322">
        <v>0</v>
      </c>
      <c r="C163" s="322">
        <v>0</v>
      </c>
      <c r="D163" s="323">
        <v>0</v>
      </c>
      <c r="E163" s="324">
        <v>1</v>
      </c>
      <c r="F163" s="322">
        <v>0</v>
      </c>
      <c r="G163" s="323">
        <v>0</v>
      </c>
      <c r="H163" s="325">
        <v>0.74</v>
      </c>
      <c r="I163" s="322">
        <v>1.92</v>
      </c>
      <c r="J163" s="323">
        <v>1.92</v>
      </c>
      <c r="K163" s="333" t="s">
        <v>243</v>
      </c>
    </row>
    <row r="164" spans="1:11" ht="14.4" customHeight="1" thickBot="1" x14ac:dyDescent="0.35">
      <c r="A164" s="344" t="s">
        <v>373</v>
      </c>
      <c r="B164" s="322">
        <v>2.169398256255</v>
      </c>
      <c r="C164" s="322">
        <v>0.74419999999999997</v>
      </c>
      <c r="D164" s="323">
        <v>-1.4251982562550001</v>
      </c>
      <c r="E164" s="324">
        <v>0.34304443541099999</v>
      </c>
      <c r="F164" s="322">
        <v>0</v>
      </c>
      <c r="G164" s="323">
        <v>0</v>
      </c>
      <c r="H164" s="325">
        <v>0.67720000000000002</v>
      </c>
      <c r="I164" s="322">
        <v>0.67720000000000002</v>
      </c>
      <c r="J164" s="323">
        <v>0.67720000000000002</v>
      </c>
      <c r="K164" s="333" t="s">
        <v>243</v>
      </c>
    </row>
    <row r="165" spans="1:11" ht="14.4" customHeight="1" thickBot="1" x14ac:dyDescent="0.35">
      <c r="A165" s="344" t="s">
        <v>374</v>
      </c>
      <c r="B165" s="322">
        <v>140.07815498012701</v>
      </c>
      <c r="C165" s="322">
        <v>128.6985</v>
      </c>
      <c r="D165" s="323">
        <v>-11.379654980126</v>
      </c>
      <c r="E165" s="324">
        <v>0.91876210118699997</v>
      </c>
      <c r="F165" s="322">
        <v>0</v>
      </c>
      <c r="G165" s="323">
        <v>0</v>
      </c>
      <c r="H165" s="325">
        <v>10.3635</v>
      </c>
      <c r="I165" s="322">
        <v>21.682500000000001</v>
      </c>
      <c r="J165" s="323">
        <v>21.682500000000001</v>
      </c>
      <c r="K165" s="333" t="s">
        <v>243</v>
      </c>
    </row>
    <row r="166" spans="1:11" ht="14.4" customHeight="1" thickBot="1" x14ac:dyDescent="0.35">
      <c r="A166" s="343" t="s">
        <v>375</v>
      </c>
      <c r="B166" s="327">
        <v>63.968403413885</v>
      </c>
      <c r="C166" s="327">
        <v>72.989549999999994</v>
      </c>
      <c r="D166" s="328">
        <v>9.0211465861139999</v>
      </c>
      <c r="E166" s="334">
        <v>1.1410250389979999</v>
      </c>
      <c r="F166" s="327">
        <v>0</v>
      </c>
      <c r="G166" s="328">
        <v>0</v>
      </c>
      <c r="H166" s="330">
        <v>6.0161100000000003</v>
      </c>
      <c r="I166" s="327">
        <v>12.52819</v>
      </c>
      <c r="J166" s="328">
        <v>12.52819</v>
      </c>
      <c r="K166" s="331" t="s">
        <v>243</v>
      </c>
    </row>
    <row r="167" spans="1:11" ht="14.4" customHeight="1" thickBot="1" x14ac:dyDescent="0.35">
      <c r="A167" s="344" t="s">
        <v>376</v>
      </c>
      <c r="B167" s="322">
        <v>63.968403413885</v>
      </c>
      <c r="C167" s="322">
        <v>72.989549999999994</v>
      </c>
      <c r="D167" s="323">
        <v>9.0211465861139999</v>
      </c>
      <c r="E167" s="324">
        <v>1.1410250389979999</v>
      </c>
      <c r="F167" s="322">
        <v>0</v>
      </c>
      <c r="G167" s="323">
        <v>0</v>
      </c>
      <c r="H167" s="325">
        <v>6.0161100000000003</v>
      </c>
      <c r="I167" s="322">
        <v>12.52819</v>
      </c>
      <c r="J167" s="323">
        <v>12.52819</v>
      </c>
      <c r="K167" s="333" t="s">
        <v>243</v>
      </c>
    </row>
    <row r="168" spans="1:11" ht="14.4" customHeight="1" thickBot="1" x14ac:dyDescent="0.35">
      <c r="A168" s="343" t="s">
        <v>377</v>
      </c>
      <c r="B168" s="327">
        <v>844.58157028886501</v>
      </c>
      <c r="C168" s="327">
        <v>808.08538999999996</v>
      </c>
      <c r="D168" s="328">
        <v>-36.496180288864998</v>
      </c>
      <c r="E168" s="334">
        <v>0.956787856173</v>
      </c>
      <c r="F168" s="327">
        <v>0</v>
      </c>
      <c r="G168" s="328">
        <v>0</v>
      </c>
      <c r="H168" s="330">
        <v>45.831589999999998</v>
      </c>
      <c r="I168" s="327">
        <v>93.897369999999995</v>
      </c>
      <c r="J168" s="328">
        <v>93.897369999999995</v>
      </c>
      <c r="K168" s="331" t="s">
        <v>243</v>
      </c>
    </row>
    <row r="169" spans="1:11" ht="14.4" customHeight="1" thickBot="1" x14ac:dyDescent="0.35">
      <c r="A169" s="344" t="s">
        <v>378</v>
      </c>
      <c r="B169" s="322">
        <v>844.58157028886501</v>
      </c>
      <c r="C169" s="322">
        <v>808.08538999999996</v>
      </c>
      <c r="D169" s="323">
        <v>-36.496180288864998</v>
      </c>
      <c r="E169" s="324">
        <v>0.956787856173</v>
      </c>
      <c r="F169" s="322">
        <v>0</v>
      </c>
      <c r="G169" s="323">
        <v>0</v>
      </c>
      <c r="H169" s="325">
        <v>45.831589999999998</v>
      </c>
      <c r="I169" s="322">
        <v>93.897369999999995</v>
      </c>
      <c r="J169" s="323">
        <v>93.897369999999995</v>
      </c>
      <c r="K169" s="333" t="s">
        <v>243</v>
      </c>
    </row>
    <row r="170" spans="1:11" ht="14.4" customHeight="1" thickBot="1" x14ac:dyDescent="0.35">
      <c r="A170" s="343" t="s">
        <v>379</v>
      </c>
      <c r="B170" s="327">
        <v>2509.8137943655602</v>
      </c>
      <c r="C170" s="327">
        <v>2616.4432099999999</v>
      </c>
      <c r="D170" s="328">
        <v>106.629415634442</v>
      </c>
      <c r="E170" s="334">
        <v>1.042484990668</v>
      </c>
      <c r="F170" s="327">
        <v>0</v>
      </c>
      <c r="G170" s="328">
        <v>0</v>
      </c>
      <c r="H170" s="330">
        <v>195.08276000000001</v>
      </c>
      <c r="I170" s="327">
        <v>395.76519000000002</v>
      </c>
      <c r="J170" s="328">
        <v>395.76519000000002</v>
      </c>
      <c r="K170" s="331" t="s">
        <v>243</v>
      </c>
    </row>
    <row r="171" spans="1:11" ht="14.4" customHeight="1" thickBot="1" x14ac:dyDescent="0.35">
      <c r="A171" s="344" t="s">
        <v>380</v>
      </c>
      <c r="B171" s="322">
        <v>2509.8137943655602</v>
      </c>
      <c r="C171" s="322">
        <v>2616.4432099999999</v>
      </c>
      <c r="D171" s="323">
        <v>106.629415634442</v>
      </c>
      <c r="E171" s="324">
        <v>1.042484990668</v>
      </c>
      <c r="F171" s="322">
        <v>0</v>
      </c>
      <c r="G171" s="323">
        <v>0</v>
      </c>
      <c r="H171" s="325">
        <v>195.08276000000001</v>
      </c>
      <c r="I171" s="322">
        <v>395.76519000000002</v>
      </c>
      <c r="J171" s="323">
        <v>395.76519000000002</v>
      </c>
      <c r="K171" s="333" t="s">
        <v>243</v>
      </c>
    </row>
    <row r="172" spans="1:11" ht="14.4" customHeight="1" thickBot="1" x14ac:dyDescent="0.35">
      <c r="A172" s="348"/>
      <c r="B172" s="322">
        <v>-80139.936083174398</v>
      </c>
      <c r="C172" s="322">
        <v>-85608.52536</v>
      </c>
      <c r="D172" s="323">
        <v>-5468.5892768256499</v>
      </c>
      <c r="E172" s="324">
        <v>1.0682380039720001</v>
      </c>
      <c r="F172" s="322">
        <v>-76093.392269967604</v>
      </c>
      <c r="G172" s="323">
        <v>-12682.2320449946</v>
      </c>
      <c r="H172" s="325">
        <v>-6049.83745</v>
      </c>
      <c r="I172" s="322">
        <v>-12103.24595</v>
      </c>
      <c r="J172" s="323">
        <v>578.98609499459599</v>
      </c>
      <c r="K172" s="326">
        <v>0.159057778723</v>
      </c>
    </row>
    <row r="173" spans="1:11" ht="14.4" customHeight="1" thickBot="1" x14ac:dyDescent="0.35">
      <c r="A173" s="349" t="s">
        <v>50</v>
      </c>
      <c r="B173" s="336">
        <v>-80139.936083174398</v>
      </c>
      <c r="C173" s="336">
        <v>-85608.52536</v>
      </c>
      <c r="D173" s="337">
        <v>-5468.5892768256499</v>
      </c>
      <c r="E173" s="338">
        <v>-0.82917454025000004</v>
      </c>
      <c r="F173" s="336">
        <v>-76093.392269967604</v>
      </c>
      <c r="G173" s="337">
        <v>-12682.2320449946</v>
      </c>
      <c r="H173" s="336">
        <v>-6049.83745</v>
      </c>
      <c r="I173" s="336">
        <v>-12103.24595</v>
      </c>
      <c r="J173" s="337">
        <v>578.98609499459803</v>
      </c>
      <c r="K173" s="339">
        <v>0.159057778723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4" t="s">
        <v>77</v>
      </c>
      <c r="B1" s="305"/>
      <c r="C1" s="305"/>
      <c r="D1" s="305"/>
      <c r="E1" s="305"/>
      <c r="F1" s="305"/>
      <c r="G1" s="275"/>
      <c r="H1" s="306"/>
      <c r="I1" s="306"/>
    </row>
    <row r="2" spans="1:10" ht="14.4" customHeight="1" thickBot="1" x14ac:dyDescent="0.35">
      <c r="A2" s="173" t="s">
        <v>217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69"/>
      <c r="C3" s="268">
        <v>2015</v>
      </c>
      <c r="D3" s="234">
        <v>2016</v>
      </c>
      <c r="E3" s="7"/>
      <c r="F3" s="283">
        <v>2017</v>
      </c>
      <c r="G3" s="301"/>
      <c r="H3" s="301"/>
      <c r="I3" s="284"/>
    </row>
    <row r="4" spans="1:10" ht="14.4" customHeight="1" thickBot="1" x14ac:dyDescent="0.35">
      <c r="A4" s="238" t="s">
        <v>0</v>
      </c>
      <c r="B4" s="239" t="s">
        <v>162</v>
      </c>
      <c r="C4" s="302" t="s">
        <v>55</v>
      </c>
      <c r="D4" s="303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50" t="s">
        <v>381</v>
      </c>
      <c r="B5" s="351" t="s">
        <v>382</v>
      </c>
      <c r="C5" s="352" t="s">
        <v>383</v>
      </c>
      <c r="D5" s="352" t="s">
        <v>383</v>
      </c>
      <c r="E5" s="352"/>
      <c r="F5" s="352" t="s">
        <v>383</v>
      </c>
      <c r="G5" s="352" t="s">
        <v>383</v>
      </c>
      <c r="H5" s="352" t="s">
        <v>383</v>
      </c>
      <c r="I5" s="353" t="s">
        <v>383</v>
      </c>
      <c r="J5" s="354" t="s">
        <v>53</v>
      </c>
    </row>
    <row r="6" spans="1:10" ht="14.4" customHeight="1" x14ac:dyDescent="0.3">
      <c r="A6" s="350" t="s">
        <v>381</v>
      </c>
      <c r="B6" s="351" t="s">
        <v>226</v>
      </c>
      <c r="C6" s="352">
        <v>94.231729999999999</v>
      </c>
      <c r="D6" s="352">
        <v>108.25781000000001</v>
      </c>
      <c r="E6" s="352"/>
      <c r="F6" s="352">
        <v>81.097729999999999</v>
      </c>
      <c r="G6" s="352">
        <v>116.33333333333317</v>
      </c>
      <c r="H6" s="352">
        <v>-35.235603333333174</v>
      </c>
      <c r="I6" s="353">
        <v>0.69711515759312415</v>
      </c>
      <c r="J6" s="354" t="s">
        <v>1</v>
      </c>
    </row>
    <row r="7" spans="1:10" ht="14.4" customHeight="1" x14ac:dyDescent="0.3">
      <c r="A7" s="350" t="s">
        <v>381</v>
      </c>
      <c r="B7" s="351" t="s">
        <v>227</v>
      </c>
      <c r="C7" s="352">
        <v>1.20194</v>
      </c>
      <c r="D7" s="352">
        <v>0</v>
      </c>
      <c r="E7" s="352"/>
      <c r="F7" s="352">
        <v>0.35283999999999999</v>
      </c>
      <c r="G7" s="352">
        <v>2.5</v>
      </c>
      <c r="H7" s="352">
        <v>-2.14716</v>
      </c>
      <c r="I7" s="353">
        <v>0.14113599999999998</v>
      </c>
      <c r="J7" s="354" t="s">
        <v>1</v>
      </c>
    </row>
    <row r="8" spans="1:10" ht="14.4" customHeight="1" x14ac:dyDescent="0.3">
      <c r="A8" s="350" t="s">
        <v>381</v>
      </c>
      <c r="B8" s="351" t="s">
        <v>228</v>
      </c>
      <c r="C8" s="352">
        <v>36.29074</v>
      </c>
      <c r="D8" s="352">
        <v>44.776510000000002</v>
      </c>
      <c r="E8" s="352"/>
      <c r="F8" s="352">
        <v>38.731430000000003</v>
      </c>
      <c r="G8" s="352">
        <v>31.666666666666668</v>
      </c>
      <c r="H8" s="352">
        <v>7.0647633333333353</v>
      </c>
      <c r="I8" s="353">
        <v>1.2230977894736843</v>
      </c>
      <c r="J8" s="354" t="s">
        <v>1</v>
      </c>
    </row>
    <row r="9" spans="1:10" ht="14.4" customHeight="1" x14ac:dyDescent="0.3">
      <c r="A9" s="350" t="s">
        <v>381</v>
      </c>
      <c r="B9" s="351" t="s">
        <v>384</v>
      </c>
      <c r="C9" s="352">
        <v>131.72440999999998</v>
      </c>
      <c r="D9" s="352">
        <v>153.03432000000001</v>
      </c>
      <c r="E9" s="352"/>
      <c r="F9" s="352">
        <v>120.182</v>
      </c>
      <c r="G9" s="352">
        <v>150.49999999999983</v>
      </c>
      <c r="H9" s="352">
        <v>-30.317999999999827</v>
      </c>
      <c r="I9" s="353">
        <v>0.79855149501661227</v>
      </c>
      <c r="J9" s="354" t="s">
        <v>385</v>
      </c>
    </row>
    <row r="11" spans="1:10" ht="14.4" customHeight="1" x14ac:dyDescent="0.3">
      <c r="A11" s="350" t="s">
        <v>381</v>
      </c>
      <c r="B11" s="351" t="s">
        <v>382</v>
      </c>
      <c r="C11" s="352" t="s">
        <v>383</v>
      </c>
      <c r="D11" s="352" t="s">
        <v>383</v>
      </c>
      <c r="E11" s="352"/>
      <c r="F11" s="352" t="s">
        <v>383</v>
      </c>
      <c r="G11" s="352" t="s">
        <v>383</v>
      </c>
      <c r="H11" s="352" t="s">
        <v>383</v>
      </c>
      <c r="I11" s="353" t="s">
        <v>383</v>
      </c>
      <c r="J11" s="354" t="s">
        <v>53</v>
      </c>
    </row>
    <row r="12" spans="1:10" ht="14.4" customHeight="1" x14ac:dyDescent="0.3">
      <c r="A12" s="350" t="s">
        <v>386</v>
      </c>
      <c r="B12" s="351" t="s">
        <v>387</v>
      </c>
      <c r="C12" s="352" t="s">
        <v>383</v>
      </c>
      <c r="D12" s="352" t="s">
        <v>383</v>
      </c>
      <c r="E12" s="352"/>
      <c r="F12" s="352" t="s">
        <v>383</v>
      </c>
      <c r="G12" s="352" t="s">
        <v>383</v>
      </c>
      <c r="H12" s="352" t="s">
        <v>383</v>
      </c>
      <c r="I12" s="353" t="s">
        <v>383</v>
      </c>
      <c r="J12" s="354" t="s">
        <v>0</v>
      </c>
    </row>
    <row r="13" spans="1:10" ht="14.4" customHeight="1" x14ac:dyDescent="0.3">
      <c r="A13" s="350" t="s">
        <v>386</v>
      </c>
      <c r="B13" s="351" t="s">
        <v>226</v>
      </c>
      <c r="C13" s="352">
        <v>93.986919999999998</v>
      </c>
      <c r="D13" s="352">
        <v>104.94371000000001</v>
      </c>
      <c r="E13" s="352"/>
      <c r="F13" s="352">
        <v>80.394049999999993</v>
      </c>
      <c r="G13" s="352">
        <v>114.01508309370433</v>
      </c>
      <c r="H13" s="352">
        <v>-33.621033093704341</v>
      </c>
      <c r="I13" s="353">
        <v>0.70511767231645495</v>
      </c>
      <c r="J13" s="354" t="s">
        <v>1</v>
      </c>
    </row>
    <row r="14" spans="1:10" ht="14.4" customHeight="1" x14ac:dyDescent="0.3">
      <c r="A14" s="350" t="s">
        <v>386</v>
      </c>
      <c r="B14" s="351" t="s">
        <v>227</v>
      </c>
      <c r="C14" s="352">
        <v>1.20194</v>
      </c>
      <c r="D14" s="352">
        <v>0</v>
      </c>
      <c r="E14" s="352"/>
      <c r="F14" s="352">
        <v>0.35283999999999999</v>
      </c>
      <c r="G14" s="352">
        <v>2.5</v>
      </c>
      <c r="H14" s="352">
        <v>-2.14716</v>
      </c>
      <c r="I14" s="353">
        <v>0.14113599999999998</v>
      </c>
      <c r="J14" s="354" t="s">
        <v>1</v>
      </c>
    </row>
    <row r="15" spans="1:10" ht="14.4" customHeight="1" x14ac:dyDescent="0.3">
      <c r="A15" s="350" t="s">
        <v>386</v>
      </c>
      <c r="B15" s="351" t="s">
        <v>228</v>
      </c>
      <c r="C15" s="352">
        <v>36.29074</v>
      </c>
      <c r="D15" s="352">
        <v>44.776510000000002</v>
      </c>
      <c r="E15" s="352"/>
      <c r="F15" s="352">
        <v>38.731430000000003</v>
      </c>
      <c r="G15" s="352">
        <v>31.666666666666668</v>
      </c>
      <c r="H15" s="352">
        <v>7.0647633333333353</v>
      </c>
      <c r="I15" s="353">
        <v>1.2230977894736843</v>
      </c>
      <c r="J15" s="354" t="s">
        <v>1</v>
      </c>
    </row>
    <row r="16" spans="1:10" ht="14.4" customHeight="1" x14ac:dyDescent="0.3">
      <c r="A16" s="350" t="s">
        <v>386</v>
      </c>
      <c r="B16" s="351" t="s">
        <v>388</v>
      </c>
      <c r="C16" s="352">
        <v>131.4796</v>
      </c>
      <c r="D16" s="352">
        <v>149.72022000000001</v>
      </c>
      <c r="E16" s="352"/>
      <c r="F16" s="352">
        <v>119.47832</v>
      </c>
      <c r="G16" s="352">
        <v>148.18174976037099</v>
      </c>
      <c r="H16" s="352">
        <v>-28.703429760370994</v>
      </c>
      <c r="I16" s="353">
        <v>0.80629578334182084</v>
      </c>
      <c r="J16" s="354" t="s">
        <v>389</v>
      </c>
    </row>
    <row r="17" spans="1:10" ht="14.4" customHeight="1" x14ac:dyDescent="0.3">
      <c r="A17" s="350" t="s">
        <v>383</v>
      </c>
      <c r="B17" s="351" t="s">
        <v>383</v>
      </c>
      <c r="C17" s="352" t="s">
        <v>383</v>
      </c>
      <c r="D17" s="352" t="s">
        <v>383</v>
      </c>
      <c r="E17" s="352"/>
      <c r="F17" s="352" t="s">
        <v>383</v>
      </c>
      <c r="G17" s="352" t="s">
        <v>383</v>
      </c>
      <c r="H17" s="352" t="s">
        <v>383</v>
      </c>
      <c r="I17" s="353" t="s">
        <v>383</v>
      </c>
      <c r="J17" s="354" t="s">
        <v>390</v>
      </c>
    </row>
    <row r="18" spans="1:10" ht="14.4" customHeight="1" x14ac:dyDescent="0.3">
      <c r="A18" s="350" t="s">
        <v>391</v>
      </c>
      <c r="B18" s="351" t="s">
        <v>392</v>
      </c>
      <c r="C18" s="352" t="s">
        <v>383</v>
      </c>
      <c r="D18" s="352" t="s">
        <v>383</v>
      </c>
      <c r="E18" s="352"/>
      <c r="F18" s="352" t="s">
        <v>383</v>
      </c>
      <c r="G18" s="352" t="s">
        <v>383</v>
      </c>
      <c r="H18" s="352" t="s">
        <v>383</v>
      </c>
      <c r="I18" s="353" t="s">
        <v>383</v>
      </c>
      <c r="J18" s="354" t="s">
        <v>0</v>
      </c>
    </row>
    <row r="19" spans="1:10" ht="14.4" customHeight="1" x14ac:dyDescent="0.3">
      <c r="A19" s="350" t="s">
        <v>391</v>
      </c>
      <c r="B19" s="351" t="s">
        <v>226</v>
      </c>
      <c r="C19" s="352">
        <v>0.24481</v>
      </c>
      <c r="D19" s="352">
        <v>3.3140999999999998</v>
      </c>
      <c r="E19" s="352"/>
      <c r="F19" s="352">
        <v>0.70367999999999997</v>
      </c>
      <c r="G19" s="352">
        <v>2.3182502396288336</v>
      </c>
      <c r="H19" s="352">
        <v>-1.6145702396288337</v>
      </c>
      <c r="I19" s="353">
        <v>0.30353927629170163</v>
      </c>
      <c r="J19" s="354" t="s">
        <v>1</v>
      </c>
    </row>
    <row r="20" spans="1:10" ht="14.4" customHeight="1" x14ac:dyDescent="0.3">
      <c r="A20" s="350" t="s">
        <v>391</v>
      </c>
      <c r="B20" s="351" t="s">
        <v>393</v>
      </c>
      <c r="C20" s="352">
        <v>0.24481</v>
      </c>
      <c r="D20" s="352">
        <v>3.3140999999999998</v>
      </c>
      <c r="E20" s="352"/>
      <c r="F20" s="352">
        <v>0.70367999999999997</v>
      </c>
      <c r="G20" s="352">
        <v>2.3182502396288336</v>
      </c>
      <c r="H20" s="352">
        <v>-1.6145702396288337</v>
      </c>
      <c r="I20" s="353">
        <v>0.30353927629170163</v>
      </c>
      <c r="J20" s="354" t="s">
        <v>389</v>
      </c>
    </row>
    <row r="21" spans="1:10" ht="14.4" customHeight="1" x14ac:dyDescent="0.3">
      <c r="A21" s="350" t="s">
        <v>383</v>
      </c>
      <c r="B21" s="351" t="s">
        <v>383</v>
      </c>
      <c r="C21" s="352" t="s">
        <v>383</v>
      </c>
      <c r="D21" s="352" t="s">
        <v>383</v>
      </c>
      <c r="E21" s="352"/>
      <c r="F21" s="352" t="s">
        <v>383</v>
      </c>
      <c r="G21" s="352" t="s">
        <v>383</v>
      </c>
      <c r="H21" s="352" t="s">
        <v>383</v>
      </c>
      <c r="I21" s="353" t="s">
        <v>383</v>
      </c>
      <c r="J21" s="354" t="s">
        <v>390</v>
      </c>
    </row>
    <row r="22" spans="1:10" ht="14.4" customHeight="1" x14ac:dyDescent="0.3">
      <c r="A22" s="350" t="s">
        <v>381</v>
      </c>
      <c r="B22" s="351" t="s">
        <v>384</v>
      </c>
      <c r="C22" s="352">
        <v>131.72441000000001</v>
      </c>
      <c r="D22" s="352">
        <v>153.03432000000001</v>
      </c>
      <c r="E22" s="352"/>
      <c r="F22" s="352">
        <v>120.182</v>
      </c>
      <c r="G22" s="352">
        <v>150.49999999999983</v>
      </c>
      <c r="H22" s="352">
        <v>-30.317999999999827</v>
      </c>
      <c r="I22" s="353">
        <v>0.79855149501661227</v>
      </c>
      <c r="J22" s="354" t="s">
        <v>385</v>
      </c>
    </row>
  </sheetData>
  <mergeCells count="3">
    <mergeCell ref="F3:I3"/>
    <mergeCell ref="C4:D4"/>
    <mergeCell ref="A1:I1"/>
  </mergeCells>
  <conditionalFormatting sqref="F10 F23:F65537">
    <cfRule type="cellIs" dxfId="42" priority="18" stopIfTrue="1" operator="greaterThan">
      <formula>1</formula>
    </cfRule>
  </conditionalFormatting>
  <conditionalFormatting sqref="H5:H9">
    <cfRule type="expression" dxfId="41" priority="14">
      <formula>$H5&gt;0</formula>
    </cfRule>
  </conditionalFormatting>
  <conditionalFormatting sqref="I5:I9">
    <cfRule type="expression" dxfId="40" priority="15">
      <formula>$I5&gt;1</formula>
    </cfRule>
  </conditionalFormatting>
  <conditionalFormatting sqref="B5:B9">
    <cfRule type="expression" dxfId="39" priority="11">
      <formula>OR($J5="NS",$J5="SumaNS",$J5="Účet")</formula>
    </cfRule>
  </conditionalFormatting>
  <conditionalFormatting sqref="B5:D9 F5:I9">
    <cfRule type="expression" dxfId="38" priority="17">
      <formula>AND($J5&lt;&gt;"",$J5&lt;&gt;"mezeraKL")</formula>
    </cfRule>
  </conditionalFormatting>
  <conditionalFormatting sqref="B5:D9 F5:I9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6" priority="13">
      <formula>OR($J5="SumaNS",$J5="NS")</formula>
    </cfRule>
  </conditionalFormatting>
  <conditionalFormatting sqref="A5:A9">
    <cfRule type="expression" dxfId="35" priority="9">
      <formula>AND($J5&lt;&gt;"mezeraKL",$J5&lt;&gt;"")</formula>
    </cfRule>
  </conditionalFormatting>
  <conditionalFormatting sqref="A5:A9">
    <cfRule type="expression" dxfId="34" priority="10">
      <formula>AND($J5&lt;&gt;"",$J5&lt;&gt;"mezeraKL")</formula>
    </cfRule>
  </conditionalFormatting>
  <conditionalFormatting sqref="H11:H22">
    <cfRule type="expression" dxfId="33" priority="5">
      <formula>$H11&gt;0</formula>
    </cfRule>
  </conditionalFormatting>
  <conditionalFormatting sqref="A11:A22">
    <cfRule type="expression" dxfId="32" priority="2">
      <formula>AND($J11&lt;&gt;"mezeraKL",$J11&lt;&gt;"")</formula>
    </cfRule>
  </conditionalFormatting>
  <conditionalFormatting sqref="I11:I22">
    <cfRule type="expression" dxfId="31" priority="6">
      <formula>$I11&gt;1</formula>
    </cfRule>
  </conditionalFormatting>
  <conditionalFormatting sqref="B11:B22">
    <cfRule type="expression" dxfId="30" priority="1">
      <formula>OR($J11="NS",$J11="SumaNS",$J11="Účet")</formula>
    </cfRule>
  </conditionalFormatting>
  <conditionalFormatting sqref="A11:D22 F11:I22">
    <cfRule type="expression" dxfId="29" priority="8">
      <formula>AND($J11&lt;&gt;"",$J11&lt;&gt;"mezeraKL")</formula>
    </cfRule>
  </conditionalFormatting>
  <conditionalFormatting sqref="B11:D22 F11:I22">
    <cfRule type="expression" dxfId="2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2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311" t="s">
        <v>93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4.4" customHeight="1" thickBot="1" x14ac:dyDescent="0.35">
      <c r="A2" s="173" t="s">
        <v>217</v>
      </c>
      <c r="B2" s="57"/>
      <c r="C2" s="165"/>
      <c r="D2" s="165"/>
      <c r="E2" s="165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307"/>
      <c r="D3" s="308"/>
      <c r="E3" s="308"/>
      <c r="F3" s="308"/>
      <c r="G3" s="308"/>
      <c r="H3" s="308"/>
      <c r="I3" s="308"/>
      <c r="J3" s="309" t="s">
        <v>75</v>
      </c>
      <c r="K3" s="310"/>
      <c r="L3" s="71">
        <f>IF(M3&lt;&gt;0,N3/M3,0)</f>
        <v>147.14586927471711</v>
      </c>
      <c r="M3" s="71">
        <f>SUBTOTAL(9,M5:M1048576)</f>
        <v>553</v>
      </c>
      <c r="N3" s="72">
        <f>SUBTOTAL(9,N5:N1048576)</f>
        <v>81371.665708918561</v>
      </c>
    </row>
    <row r="4" spans="1:14" s="162" customFormat="1" ht="14.4" customHeight="1" thickBot="1" x14ac:dyDescent="0.35">
      <c r="A4" s="355" t="s">
        <v>3</v>
      </c>
      <c r="B4" s="356" t="s">
        <v>4</v>
      </c>
      <c r="C4" s="356" t="s">
        <v>0</v>
      </c>
      <c r="D4" s="356" t="s">
        <v>5</v>
      </c>
      <c r="E4" s="356" t="s">
        <v>6</v>
      </c>
      <c r="F4" s="356" t="s">
        <v>1</v>
      </c>
      <c r="G4" s="356" t="s">
        <v>7</v>
      </c>
      <c r="H4" s="356" t="s">
        <v>8</v>
      </c>
      <c r="I4" s="356" t="s">
        <v>9</v>
      </c>
      <c r="J4" s="357" t="s">
        <v>10</v>
      </c>
      <c r="K4" s="357" t="s">
        <v>11</v>
      </c>
      <c r="L4" s="358" t="s">
        <v>81</v>
      </c>
      <c r="M4" s="358" t="s">
        <v>12</v>
      </c>
      <c r="N4" s="359" t="s">
        <v>89</v>
      </c>
    </row>
    <row r="5" spans="1:14" ht="14.4" customHeight="1" x14ac:dyDescent="0.3">
      <c r="A5" s="360" t="s">
        <v>381</v>
      </c>
      <c r="B5" s="361" t="s">
        <v>449</v>
      </c>
      <c r="C5" s="362" t="s">
        <v>386</v>
      </c>
      <c r="D5" s="363" t="s">
        <v>450</v>
      </c>
      <c r="E5" s="362" t="s">
        <v>394</v>
      </c>
      <c r="F5" s="363" t="s">
        <v>452</v>
      </c>
      <c r="G5" s="362" t="s">
        <v>395</v>
      </c>
      <c r="H5" s="362" t="s">
        <v>396</v>
      </c>
      <c r="I5" s="362" t="s">
        <v>397</v>
      </c>
      <c r="J5" s="362" t="s">
        <v>398</v>
      </c>
      <c r="K5" s="362" t="s">
        <v>399</v>
      </c>
      <c r="L5" s="364">
        <v>87.05833333333338</v>
      </c>
      <c r="M5" s="364">
        <v>6</v>
      </c>
      <c r="N5" s="365">
        <v>522.35000000000025</v>
      </c>
    </row>
    <row r="6" spans="1:14" ht="14.4" customHeight="1" x14ac:dyDescent="0.3">
      <c r="A6" s="366" t="s">
        <v>381</v>
      </c>
      <c r="B6" s="367" t="s">
        <v>449</v>
      </c>
      <c r="C6" s="368" t="s">
        <v>386</v>
      </c>
      <c r="D6" s="369" t="s">
        <v>450</v>
      </c>
      <c r="E6" s="368" t="s">
        <v>394</v>
      </c>
      <c r="F6" s="369" t="s">
        <v>452</v>
      </c>
      <c r="G6" s="368" t="s">
        <v>395</v>
      </c>
      <c r="H6" s="368" t="s">
        <v>400</v>
      </c>
      <c r="I6" s="368" t="s">
        <v>401</v>
      </c>
      <c r="J6" s="368" t="s">
        <v>402</v>
      </c>
      <c r="K6" s="368" t="s">
        <v>403</v>
      </c>
      <c r="L6" s="370">
        <v>177.21</v>
      </c>
      <c r="M6" s="370">
        <v>6</v>
      </c>
      <c r="N6" s="371">
        <v>1063.26</v>
      </c>
    </row>
    <row r="7" spans="1:14" ht="14.4" customHeight="1" x14ac:dyDescent="0.3">
      <c r="A7" s="366" t="s">
        <v>381</v>
      </c>
      <c r="B7" s="367" t="s">
        <v>449</v>
      </c>
      <c r="C7" s="368" t="s">
        <v>386</v>
      </c>
      <c r="D7" s="369" t="s">
        <v>450</v>
      </c>
      <c r="E7" s="368" t="s">
        <v>394</v>
      </c>
      <c r="F7" s="369" t="s">
        <v>452</v>
      </c>
      <c r="G7" s="368" t="s">
        <v>395</v>
      </c>
      <c r="H7" s="368" t="s">
        <v>404</v>
      </c>
      <c r="I7" s="368" t="s">
        <v>405</v>
      </c>
      <c r="J7" s="368" t="s">
        <v>406</v>
      </c>
      <c r="K7" s="368" t="s">
        <v>407</v>
      </c>
      <c r="L7" s="370">
        <v>73.098504747977259</v>
      </c>
      <c r="M7" s="370">
        <v>6</v>
      </c>
      <c r="N7" s="371">
        <v>438.59102848786358</v>
      </c>
    </row>
    <row r="8" spans="1:14" ht="14.4" customHeight="1" x14ac:dyDescent="0.3">
      <c r="A8" s="366" t="s">
        <v>381</v>
      </c>
      <c r="B8" s="367" t="s">
        <v>449</v>
      </c>
      <c r="C8" s="368" t="s">
        <v>386</v>
      </c>
      <c r="D8" s="369" t="s">
        <v>450</v>
      </c>
      <c r="E8" s="368" t="s">
        <v>394</v>
      </c>
      <c r="F8" s="369" t="s">
        <v>452</v>
      </c>
      <c r="G8" s="368" t="s">
        <v>395</v>
      </c>
      <c r="H8" s="368" t="s">
        <v>408</v>
      </c>
      <c r="I8" s="368" t="s">
        <v>409</v>
      </c>
      <c r="J8" s="368" t="s">
        <v>410</v>
      </c>
      <c r="K8" s="368" t="s">
        <v>411</v>
      </c>
      <c r="L8" s="370">
        <v>74.649694741098457</v>
      </c>
      <c r="M8" s="370">
        <v>12</v>
      </c>
      <c r="N8" s="371">
        <v>895.79633689318143</v>
      </c>
    </row>
    <row r="9" spans="1:14" ht="14.4" customHeight="1" x14ac:dyDescent="0.3">
      <c r="A9" s="366" t="s">
        <v>381</v>
      </c>
      <c r="B9" s="367" t="s">
        <v>449</v>
      </c>
      <c r="C9" s="368" t="s">
        <v>386</v>
      </c>
      <c r="D9" s="369" t="s">
        <v>450</v>
      </c>
      <c r="E9" s="368" t="s">
        <v>394</v>
      </c>
      <c r="F9" s="369" t="s">
        <v>452</v>
      </c>
      <c r="G9" s="368" t="s">
        <v>395</v>
      </c>
      <c r="H9" s="368" t="s">
        <v>412</v>
      </c>
      <c r="I9" s="368" t="s">
        <v>413</v>
      </c>
      <c r="J9" s="368" t="s">
        <v>414</v>
      </c>
      <c r="K9" s="368"/>
      <c r="L9" s="370">
        <v>416.99</v>
      </c>
      <c r="M9" s="370">
        <v>4</v>
      </c>
      <c r="N9" s="371">
        <v>1667.96</v>
      </c>
    </row>
    <row r="10" spans="1:14" ht="14.4" customHeight="1" x14ac:dyDescent="0.3">
      <c r="A10" s="366" t="s">
        <v>381</v>
      </c>
      <c r="B10" s="367" t="s">
        <v>449</v>
      </c>
      <c r="C10" s="368" t="s">
        <v>386</v>
      </c>
      <c r="D10" s="369" t="s">
        <v>450</v>
      </c>
      <c r="E10" s="368" t="s">
        <v>394</v>
      </c>
      <c r="F10" s="369" t="s">
        <v>452</v>
      </c>
      <c r="G10" s="368" t="s">
        <v>395</v>
      </c>
      <c r="H10" s="368" t="s">
        <v>415</v>
      </c>
      <c r="I10" s="368" t="s">
        <v>416</v>
      </c>
      <c r="J10" s="368" t="s">
        <v>417</v>
      </c>
      <c r="K10" s="368" t="s">
        <v>418</v>
      </c>
      <c r="L10" s="370">
        <v>201.3</v>
      </c>
      <c r="M10" s="370">
        <v>135</v>
      </c>
      <c r="N10" s="371">
        <v>27175.5</v>
      </c>
    </row>
    <row r="11" spans="1:14" ht="14.4" customHeight="1" x14ac:dyDescent="0.3">
      <c r="A11" s="366" t="s">
        <v>381</v>
      </c>
      <c r="B11" s="367" t="s">
        <v>449</v>
      </c>
      <c r="C11" s="368" t="s">
        <v>386</v>
      </c>
      <c r="D11" s="369" t="s">
        <v>450</v>
      </c>
      <c r="E11" s="368" t="s">
        <v>394</v>
      </c>
      <c r="F11" s="369" t="s">
        <v>452</v>
      </c>
      <c r="G11" s="368" t="s">
        <v>395</v>
      </c>
      <c r="H11" s="368" t="s">
        <v>419</v>
      </c>
      <c r="I11" s="368" t="s">
        <v>420</v>
      </c>
      <c r="J11" s="368" t="s">
        <v>421</v>
      </c>
      <c r="K11" s="368"/>
      <c r="L11" s="370">
        <v>252.97799829411852</v>
      </c>
      <c r="M11" s="370">
        <v>24</v>
      </c>
      <c r="N11" s="371">
        <v>6071.4719590588447</v>
      </c>
    </row>
    <row r="12" spans="1:14" ht="14.4" customHeight="1" x14ac:dyDescent="0.3">
      <c r="A12" s="366" t="s">
        <v>381</v>
      </c>
      <c r="B12" s="367" t="s">
        <v>449</v>
      </c>
      <c r="C12" s="368" t="s">
        <v>386</v>
      </c>
      <c r="D12" s="369" t="s">
        <v>450</v>
      </c>
      <c r="E12" s="368" t="s">
        <v>394</v>
      </c>
      <c r="F12" s="369" t="s">
        <v>452</v>
      </c>
      <c r="G12" s="368" t="s">
        <v>395</v>
      </c>
      <c r="H12" s="368" t="s">
        <v>422</v>
      </c>
      <c r="I12" s="368" t="s">
        <v>423</v>
      </c>
      <c r="J12" s="368" t="s">
        <v>424</v>
      </c>
      <c r="K12" s="368"/>
      <c r="L12" s="370">
        <v>60.013728630044554</v>
      </c>
      <c r="M12" s="370">
        <v>10</v>
      </c>
      <c r="N12" s="371">
        <v>600.13728630044557</v>
      </c>
    </row>
    <row r="13" spans="1:14" ht="14.4" customHeight="1" x14ac:dyDescent="0.3">
      <c r="A13" s="366" t="s">
        <v>381</v>
      </c>
      <c r="B13" s="367" t="s">
        <v>449</v>
      </c>
      <c r="C13" s="368" t="s">
        <v>386</v>
      </c>
      <c r="D13" s="369" t="s">
        <v>450</v>
      </c>
      <c r="E13" s="368" t="s">
        <v>394</v>
      </c>
      <c r="F13" s="369" t="s">
        <v>452</v>
      </c>
      <c r="G13" s="368" t="s">
        <v>395</v>
      </c>
      <c r="H13" s="368" t="s">
        <v>425</v>
      </c>
      <c r="I13" s="368" t="s">
        <v>423</v>
      </c>
      <c r="J13" s="368" t="s">
        <v>426</v>
      </c>
      <c r="K13" s="368"/>
      <c r="L13" s="370">
        <v>461.62153932112909</v>
      </c>
      <c r="M13" s="370">
        <v>30</v>
      </c>
      <c r="N13" s="371">
        <v>13848.646179633874</v>
      </c>
    </row>
    <row r="14" spans="1:14" ht="14.4" customHeight="1" x14ac:dyDescent="0.3">
      <c r="A14" s="366" t="s">
        <v>381</v>
      </c>
      <c r="B14" s="367" t="s">
        <v>449</v>
      </c>
      <c r="C14" s="368" t="s">
        <v>386</v>
      </c>
      <c r="D14" s="369" t="s">
        <v>450</v>
      </c>
      <c r="E14" s="368" t="s">
        <v>394</v>
      </c>
      <c r="F14" s="369" t="s">
        <v>452</v>
      </c>
      <c r="G14" s="368" t="s">
        <v>395</v>
      </c>
      <c r="H14" s="368" t="s">
        <v>427</v>
      </c>
      <c r="I14" s="368" t="s">
        <v>423</v>
      </c>
      <c r="J14" s="368" t="s">
        <v>428</v>
      </c>
      <c r="K14" s="368"/>
      <c r="L14" s="370">
        <v>62.859291854434673</v>
      </c>
      <c r="M14" s="370">
        <v>10</v>
      </c>
      <c r="N14" s="371">
        <v>628.59291854434673</v>
      </c>
    </row>
    <row r="15" spans="1:14" ht="14.4" customHeight="1" x14ac:dyDescent="0.3">
      <c r="A15" s="366" t="s">
        <v>381</v>
      </c>
      <c r="B15" s="367" t="s">
        <v>449</v>
      </c>
      <c r="C15" s="368" t="s">
        <v>386</v>
      </c>
      <c r="D15" s="369" t="s">
        <v>450</v>
      </c>
      <c r="E15" s="368" t="s">
        <v>394</v>
      </c>
      <c r="F15" s="369" t="s">
        <v>452</v>
      </c>
      <c r="G15" s="368" t="s">
        <v>395</v>
      </c>
      <c r="H15" s="368" t="s">
        <v>429</v>
      </c>
      <c r="I15" s="368" t="s">
        <v>423</v>
      </c>
      <c r="J15" s="368" t="s">
        <v>430</v>
      </c>
      <c r="K15" s="368" t="s">
        <v>431</v>
      </c>
      <c r="L15" s="370">
        <v>95.8</v>
      </c>
      <c r="M15" s="370">
        <v>272</v>
      </c>
      <c r="N15" s="371">
        <v>26057.599999999999</v>
      </c>
    </row>
    <row r="16" spans="1:14" ht="14.4" customHeight="1" x14ac:dyDescent="0.3">
      <c r="A16" s="366" t="s">
        <v>381</v>
      </c>
      <c r="B16" s="367" t="s">
        <v>449</v>
      </c>
      <c r="C16" s="368" t="s">
        <v>386</v>
      </c>
      <c r="D16" s="369" t="s">
        <v>450</v>
      </c>
      <c r="E16" s="368" t="s">
        <v>394</v>
      </c>
      <c r="F16" s="369" t="s">
        <v>452</v>
      </c>
      <c r="G16" s="368" t="s">
        <v>395</v>
      </c>
      <c r="H16" s="368" t="s">
        <v>432</v>
      </c>
      <c r="I16" s="368" t="s">
        <v>432</v>
      </c>
      <c r="J16" s="368" t="s">
        <v>433</v>
      </c>
      <c r="K16" s="368" t="s">
        <v>434</v>
      </c>
      <c r="L16" s="370">
        <v>482.46</v>
      </c>
      <c r="M16" s="370">
        <v>2</v>
      </c>
      <c r="N16" s="371">
        <v>964.92</v>
      </c>
    </row>
    <row r="17" spans="1:14" ht="14.4" customHeight="1" x14ac:dyDescent="0.3">
      <c r="A17" s="366" t="s">
        <v>381</v>
      </c>
      <c r="B17" s="367" t="s">
        <v>449</v>
      </c>
      <c r="C17" s="368" t="s">
        <v>386</v>
      </c>
      <c r="D17" s="369" t="s">
        <v>450</v>
      </c>
      <c r="E17" s="368" t="s">
        <v>394</v>
      </c>
      <c r="F17" s="369" t="s">
        <v>452</v>
      </c>
      <c r="G17" s="368" t="s">
        <v>395</v>
      </c>
      <c r="H17" s="368" t="s">
        <v>435</v>
      </c>
      <c r="I17" s="368" t="s">
        <v>423</v>
      </c>
      <c r="J17" s="368" t="s">
        <v>436</v>
      </c>
      <c r="K17" s="368" t="s">
        <v>431</v>
      </c>
      <c r="L17" s="370">
        <v>95.080000000000013</v>
      </c>
      <c r="M17" s="370">
        <v>4</v>
      </c>
      <c r="N17" s="371">
        <v>380.32000000000005</v>
      </c>
    </row>
    <row r="18" spans="1:14" ht="14.4" customHeight="1" x14ac:dyDescent="0.3">
      <c r="A18" s="366" t="s">
        <v>381</v>
      </c>
      <c r="B18" s="367" t="s">
        <v>449</v>
      </c>
      <c r="C18" s="368" t="s">
        <v>386</v>
      </c>
      <c r="D18" s="369" t="s">
        <v>450</v>
      </c>
      <c r="E18" s="368" t="s">
        <v>437</v>
      </c>
      <c r="F18" s="369" t="s">
        <v>453</v>
      </c>
      <c r="G18" s="368" t="s">
        <v>395</v>
      </c>
      <c r="H18" s="368" t="s">
        <v>438</v>
      </c>
      <c r="I18" s="368" t="s">
        <v>439</v>
      </c>
      <c r="J18" s="368" t="s">
        <v>440</v>
      </c>
      <c r="K18" s="368" t="s">
        <v>441</v>
      </c>
      <c r="L18" s="370">
        <v>88.20999999999998</v>
      </c>
      <c r="M18" s="370">
        <v>4</v>
      </c>
      <c r="N18" s="371">
        <v>352.83999999999992</v>
      </c>
    </row>
    <row r="19" spans="1:14" ht="14.4" customHeight="1" x14ac:dyDescent="0.3">
      <c r="A19" s="366" t="s">
        <v>381</v>
      </c>
      <c r="B19" s="367" t="s">
        <v>449</v>
      </c>
      <c r="C19" s="368" t="s">
        <v>391</v>
      </c>
      <c r="D19" s="369" t="s">
        <v>451</v>
      </c>
      <c r="E19" s="368" t="s">
        <v>394</v>
      </c>
      <c r="F19" s="369" t="s">
        <v>452</v>
      </c>
      <c r="G19" s="368" t="s">
        <v>395</v>
      </c>
      <c r="H19" s="368" t="s">
        <v>442</v>
      </c>
      <c r="I19" s="368" t="s">
        <v>423</v>
      </c>
      <c r="J19" s="368" t="s">
        <v>443</v>
      </c>
      <c r="K19" s="368" t="s">
        <v>444</v>
      </c>
      <c r="L19" s="370">
        <v>23.7</v>
      </c>
      <c r="M19" s="370">
        <v>24</v>
      </c>
      <c r="N19" s="371">
        <v>568.79999999999995</v>
      </c>
    </row>
    <row r="20" spans="1:14" ht="14.4" customHeight="1" thickBot="1" x14ac:dyDescent="0.35">
      <c r="A20" s="372" t="s">
        <v>381</v>
      </c>
      <c r="B20" s="373" t="s">
        <v>449</v>
      </c>
      <c r="C20" s="374" t="s">
        <v>391</v>
      </c>
      <c r="D20" s="375" t="s">
        <v>451</v>
      </c>
      <c r="E20" s="374" t="s">
        <v>394</v>
      </c>
      <c r="F20" s="375" t="s">
        <v>452</v>
      </c>
      <c r="G20" s="374" t="s">
        <v>395</v>
      </c>
      <c r="H20" s="374" t="s">
        <v>445</v>
      </c>
      <c r="I20" s="374" t="s">
        <v>446</v>
      </c>
      <c r="J20" s="374" t="s">
        <v>447</v>
      </c>
      <c r="K20" s="374" t="s">
        <v>448</v>
      </c>
      <c r="L20" s="376">
        <v>33.720000000000006</v>
      </c>
      <c r="M20" s="376">
        <v>4</v>
      </c>
      <c r="N20" s="377">
        <v>134.88000000000002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312" t="s">
        <v>163</v>
      </c>
      <c r="B1" s="312"/>
      <c r="C1" s="312"/>
      <c r="D1" s="312"/>
      <c r="E1" s="312"/>
      <c r="F1" s="275"/>
      <c r="G1" s="275"/>
      <c r="H1" s="275"/>
      <c r="I1" s="275"/>
      <c r="J1" s="306"/>
      <c r="K1" s="306"/>
      <c r="L1" s="306"/>
      <c r="M1" s="306"/>
      <c r="N1" s="306"/>
      <c r="O1" s="306"/>
      <c r="P1" s="306"/>
      <c r="Q1" s="306"/>
    </row>
    <row r="2" spans="1:17" ht="14.4" customHeight="1" thickBot="1" x14ac:dyDescent="0.35">
      <c r="A2" s="173" t="s">
        <v>217</v>
      </c>
      <c r="B2" s="168"/>
      <c r="C2" s="168"/>
      <c r="D2" s="168"/>
      <c r="E2" s="168"/>
    </row>
    <row r="3" spans="1:17" ht="14.4" customHeight="1" thickBot="1" x14ac:dyDescent="0.35">
      <c r="A3" s="242" t="s">
        <v>2</v>
      </c>
      <c r="B3" s="246">
        <f>SUM(B6:B1048576)</f>
        <v>145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43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16" t="s">
        <v>165</v>
      </c>
      <c r="C4" s="317"/>
      <c r="D4" s="317"/>
      <c r="E4" s="318"/>
      <c r="F4" s="313" t="s">
        <v>170</v>
      </c>
      <c r="G4" s="314"/>
      <c r="H4" s="314"/>
      <c r="I4" s="315"/>
      <c r="J4" s="316" t="s">
        <v>171</v>
      </c>
      <c r="K4" s="317"/>
      <c r="L4" s="317"/>
      <c r="M4" s="318"/>
      <c r="N4" s="313" t="s">
        <v>172</v>
      </c>
      <c r="O4" s="314"/>
      <c r="P4" s="314"/>
      <c r="Q4" s="315"/>
    </row>
    <row r="5" spans="1:17" ht="14.4" customHeight="1" thickBot="1" x14ac:dyDescent="0.35">
      <c r="A5" s="378" t="s">
        <v>164</v>
      </c>
      <c r="B5" s="379" t="s">
        <v>166</v>
      </c>
      <c r="C5" s="379" t="s">
        <v>167</v>
      </c>
      <c r="D5" s="379" t="s">
        <v>168</v>
      </c>
      <c r="E5" s="380" t="s">
        <v>169</v>
      </c>
      <c r="F5" s="381" t="s">
        <v>166</v>
      </c>
      <c r="G5" s="382" t="s">
        <v>167</v>
      </c>
      <c r="H5" s="382" t="s">
        <v>168</v>
      </c>
      <c r="I5" s="383" t="s">
        <v>169</v>
      </c>
      <c r="J5" s="379" t="s">
        <v>166</v>
      </c>
      <c r="K5" s="379" t="s">
        <v>167</v>
      </c>
      <c r="L5" s="379" t="s">
        <v>168</v>
      </c>
      <c r="M5" s="380" t="s">
        <v>169</v>
      </c>
      <c r="N5" s="381" t="s">
        <v>166</v>
      </c>
      <c r="O5" s="382" t="s">
        <v>167</v>
      </c>
      <c r="P5" s="382" t="s">
        <v>168</v>
      </c>
      <c r="Q5" s="383" t="s">
        <v>169</v>
      </c>
    </row>
    <row r="6" spans="1:17" ht="14.4" customHeight="1" x14ac:dyDescent="0.3">
      <c r="A6" s="390" t="s">
        <v>454</v>
      </c>
      <c r="B6" s="396"/>
      <c r="C6" s="364"/>
      <c r="D6" s="364"/>
      <c r="E6" s="365"/>
      <c r="F6" s="393"/>
      <c r="G6" s="384"/>
      <c r="H6" s="384"/>
      <c r="I6" s="399"/>
      <c r="J6" s="396"/>
      <c r="K6" s="364"/>
      <c r="L6" s="364"/>
      <c r="M6" s="365"/>
      <c r="N6" s="393"/>
      <c r="O6" s="384"/>
      <c r="P6" s="384"/>
      <c r="Q6" s="385"/>
    </row>
    <row r="7" spans="1:17" ht="14.4" customHeight="1" x14ac:dyDescent="0.3">
      <c r="A7" s="391" t="s">
        <v>455</v>
      </c>
      <c r="B7" s="397">
        <v>137</v>
      </c>
      <c r="C7" s="370"/>
      <c r="D7" s="370"/>
      <c r="E7" s="371"/>
      <c r="F7" s="394">
        <v>1</v>
      </c>
      <c r="G7" s="386">
        <v>0</v>
      </c>
      <c r="H7" s="386">
        <v>0</v>
      </c>
      <c r="I7" s="400">
        <v>0</v>
      </c>
      <c r="J7" s="397">
        <v>38</v>
      </c>
      <c r="K7" s="370"/>
      <c r="L7" s="370"/>
      <c r="M7" s="371"/>
      <c r="N7" s="394">
        <v>1</v>
      </c>
      <c r="O7" s="386">
        <v>0</v>
      </c>
      <c r="P7" s="386">
        <v>0</v>
      </c>
      <c r="Q7" s="387">
        <v>0</v>
      </c>
    </row>
    <row r="8" spans="1:17" ht="14.4" customHeight="1" thickBot="1" x14ac:dyDescent="0.35">
      <c r="A8" s="392" t="s">
        <v>456</v>
      </c>
      <c r="B8" s="398">
        <v>8</v>
      </c>
      <c r="C8" s="376"/>
      <c r="D8" s="376"/>
      <c r="E8" s="377"/>
      <c r="F8" s="395">
        <v>1</v>
      </c>
      <c r="G8" s="388">
        <v>0</v>
      </c>
      <c r="H8" s="388">
        <v>0</v>
      </c>
      <c r="I8" s="401">
        <v>0</v>
      </c>
      <c r="J8" s="398">
        <v>5</v>
      </c>
      <c r="K8" s="376"/>
      <c r="L8" s="376"/>
      <c r="M8" s="377"/>
      <c r="N8" s="395">
        <v>1</v>
      </c>
      <c r="O8" s="388">
        <v>0</v>
      </c>
      <c r="P8" s="388">
        <v>0</v>
      </c>
      <c r="Q8" s="3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4" t="s">
        <v>78</v>
      </c>
      <c r="B1" s="305"/>
      <c r="C1" s="305"/>
      <c r="D1" s="305"/>
      <c r="E1" s="305"/>
      <c r="F1" s="305"/>
      <c r="G1" s="275"/>
      <c r="H1" s="306"/>
      <c r="I1" s="306"/>
    </row>
    <row r="2" spans="1:10" ht="14.4" customHeight="1" thickBot="1" x14ac:dyDescent="0.35">
      <c r="A2" s="173" t="s">
        <v>217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69"/>
      <c r="C3" s="233">
        <v>2015</v>
      </c>
      <c r="D3" s="234">
        <v>2016</v>
      </c>
      <c r="E3" s="7"/>
      <c r="F3" s="283">
        <v>2017</v>
      </c>
      <c r="G3" s="301"/>
      <c r="H3" s="301"/>
      <c r="I3" s="284"/>
    </row>
    <row r="4" spans="1:10" ht="14.4" customHeight="1" thickBot="1" x14ac:dyDescent="0.35">
      <c r="A4" s="238" t="s">
        <v>0</v>
      </c>
      <c r="B4" s="239" t="s">
        <v>162</v>
      </c>
      <c r="C4" s="302" t="s">
        <v>55</v>
      </c>
      <c r="D4" s="303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50" t="s">
        <v>381</v>
      </c>
      <c r="B5" s="351" t="s">
        <v>382</v>
      </c>
      <c r="C5" s="352" t="s">
        <v>383</v>
      </c>
      <c r="D5" s="352" t="s">
        <v>383</v>
      </c>
      <c r="E5" s="352"/>
      <c r="F5" s="352" t="s">
        <v>383</v>
      </c>
      <c r="G5" s="352" t="s">
        <v>383</v>
      </c>
      <c r="H5" s="352" t="s">
        <v>383</v>
      </c>
      <c r="I5" s="353" t="s">
        <v>383</v>
      </c>
      <c r="J5" s="354" t="s">
        <v>53</v>
      </c>
    </row>
    <row r="6" spans="1:10" ht="14.4" customHeight="1" x14ac:dyDescent="0.3">
      <c r="A6" s="350" t="s">
        <v>381</v>
      </c>
      <c r="B6" s="351" t="s">
        <v>230</v>
      </c>
      <c r="C6" s="352">
        <v>0</v>
      </c>
      <c r="D6" s="352">
        <v>0</v>
      </c>
      <c r="E6" s="352"/>
      <c r="F6" s="352" t="s">
        <v>383</v>
      </c>
      <c r="G6" s="352" t="s">
        <v>383</v>
      </c>
      <c r="H6" s="352" t="s">
        <v>383</v>
      </c>
      <c r="I6" s="353" t="s">
        <v>383</v>
      </c>
      <c r="J6" s="354" t="s">
        <v>1</v>
      </c>
    </row>
    <row r="7" spans="1:10" ht="14.4" customHeight="1" x14ac:dyDescent="0.3">
      <c r="A7" s="350" t="s">
        <v>381</v>
      </c>
      <c r="B7" s="351" t="s">
        <v>231</v>
      </c>
      <c r="C7" s="352">
        <v>420.00125000000003</v>
      </c>
      <c r="D7" s="352">
        <v>273.77206000000001</v>
      </c>
      <c r="E7" s="352"/>
      <c r="F7" s="352">
        <v>546.17179999999996</v>
      </c>
      <c r="G7" s="352">
        <v>611.27884617744837</v>
      </c>
      <c r="H7" s="352">
        <v>-65.10704617744841</v>
      </c>
      <c r="I7" s="353">
        <v>0.89349043143798168</v>
      </c>
      <c r="J7" s="354" t="s">
        <v>1</v>
      </c>
    </row>
    <row r="8" spans="1:10" ht="14.4" customHeight="1" x14ac:dyDescent="0.3">
      <c r="A8" s="350" t="s">
        <v>381</v>
      </c>
      <c r="B8" s="351" t="s">
        <v>232</v>
      </c>
      <c r="C8" s="352">
        <v>226.43786</v>
      </c>
      <c r="D8" s="352">
        <v>261.76295000000005</v>
      </c>
      <c r="E8" s="352"/>
      <c r="F8" s="352">
        <v>287.18917999999996</v>
      </c>
      <c r="G8" s="352">
        <v>299.95925056250235</v>
      </c>
      <c r="H8" s="352">
        <v>-12.770070562502383</v>
      </c>
      <c r="I8" s="353">
        <v>0.95742731541516002</v>
      </c>
      <c r="J8" s="354" t="s">
        <v>1</v>
      </c>
    </row>
    <row r="9" spans="1:10" ht="14.4" customHeight="1" x14ac:dyDescent="0.3">
      <c r="A9" s="350" t="s">
        <v>381</v>
      </c>
      <c r="B9" s="351" t="s">
        <v>233</v>
      </c>
      <c r="C9" s="352">
        <v>899.59765999999991</v>
      </c>
      <c r="D9" s="352">
        <v>126.88068999999996</v>
      </c>
      <c r="E9" s="352"/>
      <c r="F9" s="352">
        <v>381.56715000000003</v>
      </c>
      <c r="G9" s="352">
        <v>0</v>
      </c>
      <c r="H9" s="352">
        <v>381.56715000000003</v>
      </c>
      <c r="I9" s="353" t="s">
        <v>383</v>
      </c>
      <c r="J9" s="354" t="s">
        <v>1</v>
      </c>
    </row>
    <row r="10" spans="1:10" ht="14.4" customHeight="1" x14ac:dyDescent="0.3">
      <c r="A10" s="350" t="s">
        <v>381</v>
      </c>
      <c r="B10" s="351" t="s">
        <v>234</v>
      </c>
      <c r="C10" s="352">
        <v>0</v>
      </c>
      <c r="D10" s="352">
        <v>0</v>
      </c>
      <c r="E10" s="352"/>
      <c r="F10" s="352">
        <v>0</v>
      </c>
      <c r="G10" s="352">
        <v>8.3333333333333339</v>
      </c>
      <c r="H10" s="352">
        <v>-8.3333333333333339</v>
      </c>
      <c r="I10" s="353">
        <v>0</v>
      </c>
      <c r="J10" s="354" t="s">
        <v>1</v>
      </c>
    </row>
    <row r="11" spans="1:10" ht="14.4" customHeight="1" x14ac:dyDescent="0.3">
      <c r="A11" s="350" t="s">
        <v>381</v>
      </c>
      <c r="B11" s="351" t="s">
        <v>235</v>
      </c>
      <c r="C11" s="352">
        <v>603.95715000000098</v>
      </c>
      <c r="D11" s="352">
        <v>334.90322000000003</v>
      </c>
      <c r="E11" s="352"/>
      <c r="F11" s="352">
        <v>449.17930999999999</v>
      </c>
      <c r="G11" s="352">
        <v>666.66666666666583</v>
      </c>
      <c r="H11" s="352">
        <v>-217.48735666666585</v>
      </c>
      <c r="I11" s="353">
        <v>0.67376896500000083</v>
      </c>
      <c r="J11" s="354" t="s">
        <v>1</v>
      </c>
    </row>
    <row r="12" spans="1:10" ht="14.4" customHeight="1" x14ac:dyDescent="0.3">
      <c r="A12" s="350" t="s">
        <v>381</v>
      </c>
      <c r="B12" s="351" t="s">
        <v>236</v>
      </c>
      <c r="C12" s="352">
        <v>10.702020000000001</v>
      </c>
      <c r="D12" s="352">
        <v>5.5203200000000008</v>
      </c>
      <c r="E12" s="352"/>
      <c r="F12" s="352">
        <v>36.175080000000001</v>
      </c>
      <c r="G12" s="352">
        <v>16.666666666666501</v>
      </c>
      <c r="H12" s="352">
        <v>19.5084133333335</v>
      </c>
      <c r="I12" s="353">
        <v>2.1705048000000216</v>
      </c>
      <c r="J12" s="354" t="s">
        <v>1</v>
      </c>
    </row>
    <row r="13" spans="1:10" ht="14.4" customHeight="1" x14ac:dyDescent="0.3">
      <c r="A13" s="350" t="s">
        <v>381</v>
      </c>
      <c r="B13" s="351" t="s">
        <v>237</v>
      </c>
      <c r="C13" s="352">
        <v>0</v>
      </c>
      <c r="D13" s="352">
        <v>0</v>
      </c>
      <c r="E13" s="352"/>
      <c r="F13" s="352" t="s">
        <v>383</v>
      </c>
      <c r="G13" s="352" t="s">
        <v>383</v>
      </c>
      <c r="H13" s="352" t="s">
        <v>383</v>
      </c>
      <c r="I13" s="353" t="s">
        <v>383</v>
      </c>
      <c r="J13" s="354" t="s">
        <v>1</v>
      </c>
    </row>
    <row r="14" spans="1:10" ht="14.4" customHeight="1" x14ac:dyDescent="0.3">
      <c r="A14" s="350" t="s">
        <v>381</v>
      </c>
      <c r="B14" s="351" t="s">
        <v>238</v>
      </c>
      <c r="C14" s="352">
        <v>80.519799999999989</v>
      </c>
      <c r="D14" s="352">
        <v>61.322149999999993</v>
      </c>
      <c r="E14" s="352"/>
      <c r="F14" s="352">
        <v>157.61693000000002</v>
      </c>
      <c r="G14" s="352">
        <v>133.33333333333334</v>
      </c>
      <c r="H14" s="352">
        <v>24.283596666666682</v>
      </c>
      <c r="I14" s="353">
        <v>1.1821269750000001</v>
      </c>
      <c r="J14" s="354" t="s">
        <v>1</v>
      </c>
    </row>
    <row r="15" spans="1:10" ht="14.4" customHeight="1" x14ac:dyDescent="0.3">
      <c r="A15" s="350" t="s">
        <v>381</v>
      </c>
      <c r="B15" s="351" t="s">
        <v>239</v>
      </c>
      <c r="C15" s="352">
        <v>0</v>
      </c>
      <c r="D15" s="352">
        <v>0</v>
      </c>
      <c r="E15" s="352"/>
      <c r="F15" s="352" t="s">
        <v>383</v>
      </c>
      <c r="G15" s="352" t="s">
        <v>383</v>
      </c>
      <c r="H15" s="352" t="s">
        <v>383</v>
      </c>
      <c r="I15" s="353" t="s">
        <v>383</v>
      </c>
      <c r="J15" s="354" t="s">
        <v>1</v>
      </c>
    </row>
    <row r="16" spans="1:10" ht="14.4" customHeight="1" x14ac:dyDescent="0.3">
      <c r="A16" s="350" t="s">
        <v>381</v>
      </c>
      <c r="B16" s="351" t="s">
        <v>240</v>
      </c>
      <c r="C16" s="352">
        <v>133.74970999999999</v>
      </c>
      <c r="D16" s="352">
        <v>12.09632</v>
      </c>
      <c r="E16" s="352"/>
      <c r="F16" s="352">
        <v>22.40436</v>
      </c>
      <c r="G16" s="352">
        <v>29.173655390658165</v>
      </c>
      <c r="H16" s="352">
        <v>-6.769295390658165</v>
      </c>
      <c r="I16" s="353">
        <v>0.76796547090133271</v>
      </c>
      <c r="J16" s="354" t="s">
        <v>1</v>
      </c>
    </row>
    <row r="17" spans="1:10" ht="14.4" customHeight="1" x14ac:dyDescent="0.3">
      <c r="A17" s="350" t="s">
        <v>381</v>
      </c>
      <c r="B17" s="351" t="s">
        <v>241</v>
      </c>
      <c r="C17" s="352">
        <v>2.8716499999999998</v>
      </c>
      <c r="D17" s="352">
        <v>101.01881</v>
      </c>
      <c r="E17" s="352"/>
      <c r="F17" s="352">
        <v>0</v>
      </c>
      <c r="G17" s="352">
        <v>100</v>
      </c>
      <c r="H17" s="352">
        <v>-100</v>
      </c>
      <c r="I17" s="353">
        <v>0</v>
      </c>
      <c r="J17" s="354" t="s">
        <v>1</v>
      </c>
    </row>
    <row r="18" spans="1:10" ht="14.4" customHeight="1" x14ac:dyDescent="0.3">
      <c r="A18" s="350" t="s">
        <v>381</v>
      </c>
      <c r="B18" s="351" t="s">
        <v>384</v>
      </c>
      <c r="C18" s="352">
        <v>2377.8371000000011</v>
      </c>
      <c r="D18" s="352">
        <v>1177.2765200000001</v>
      </c>
      <c r="E18" s="352"/>
      <c r="F18" s="352">
        <v>1880.3038099999999</v>
      </c>
      <c r="G18" s="352">
        <v>1865.411752130608</v>
      </c>
      <c r="H18" s="352">
        <v>14.89205786939192</v>
      </c>
      <c r="I18" s="353">
        <v>1.007983255092278</v>
      </c>
      <c r="J18" s="354" t="s">
        <v>385</v>
      </c>
    </row>
    <row r="20" spans="1:10" ht="14.4" customHeight="1" x14ac:dyDescent="0.3">
      <c r="A20" s="350" t="s">
        <v>381</v>
      </c>
      <c r="B20" s="351" t="s">
        <v>382</v>
      </c>
      <c r="C20" s="352" t="s">
        <v>383</v>
      </c>
      <c r="D20" s="352" t="s">
        <v>383</v>
      </c>
      <c r="E20" s="352"/>
      <c r="F20" s="352" t="s">
        <v>383</v>
      </c>
      <c r="G20" s="352" t="s">
        <v>383</v>
      </c>
      <c r="H20" s="352" t="s">
        <v>383</v>
      </c>
      <c r="I20" s="353" t="s">
        <v>383</v>
      </c>
      <c r="J20" s="354" t="s">
        <v>53</v>
      </c>
    </row>
    <row r="21" spans="1:10" ht="14.4" customHeight="1" x14ac:dyDescent="0.3">
      <c r="A21" s="350" t="s">
        <v>386</v>
      </c>
      <c r="B21" s="351" t="s">
        <v>387</v>
      </c>
      <c r="C21" s="352" t="s">
        <v>383</v>
      </c>
      <c r="D21" s="352" t="s">
        <v>383</v>
      </c>
      <c r="E21" s="352"/>
      <c r="F21" s="352" t="s">
        <v>383</v>
      </c>
      <c r="G21" s="352" t="s">
        <v>383</v>
      </c>
      <c r="H21" s="352" t="s">
        <v>383</v>
      </c>
      <c r="I21" s="353" t="s">
        <v>383</v>
      </c>
      <c r="J21" s="354" t="s">
        <v>0</v>
      </c>
    </row>
    <row r="22" spans="1:10" ht="14.4" customHeight="1" x14ac:dyDescent="0.3">
      <c r="A22" s="350" t="s">
        <v>386</v>
      </c>
      <c r="B22" s="351" t="s">
        <v>230</v>
      </c>
      <c r="C22" s="352">
        <v>0</v>
      </c>
      <c r="D22" s="352">
        <v>0</v>
      </c>
      <c r="E22" s="352"/>
      <c r="F22" s="352" t="s">
        <v>383</v>
      </c>
      <c r="G22" s="352" t="s">
        <v>383</v>
      </c>
      <c r="H22" s="352" t="s">
        <v>383</v>
      </c>
      <c r="I22" s="353" t="s">
        <v>383</v>
      </c>
      <c r="J22" s="354" t="s">
        <v>1</v>
      </c>
    </row>
    <row r="23" spans="1:10" ht="14.4" customHeight="1" x14ac:dyDescent="0.3">
      <c r="A23" s="350" t="s">
        <v>386</v>
      </c>
      <c r="B23" s="351" t="s">
        <v>231</v>
      </c>
      <c r="C23" s="352">
        <v>247.80155999999999</v>
      </c>
      <c r="D23" s="352">
        <v>246.75621000000001</v>
      </c>
      <c r="E23" s="352"/>
      <c r="F23" s="352">
        <v>375.21849999999995</v>
      </c>
      <c r="G23" s="352">
        <v>414.25526162601335</v>
      </c>
      <c r="H23" s="352">
        <v>-39.036761626013401</v>
      </c>
      <c r="I23" s="353">
        <v>0.90576640723212953</v>
      </c>
      <c r="J23" s="354" t="s">
        <v>1</v>
      </c>
    </row>
    <row r="24" spans="1:10" ht="14.4" customHeight="1" x14ac:dyDescent="0.3">
      <c r="A24" s="350" t="s">
        <v>386</v>
      </c>
      <c r="B24" s="351" t="s">
        <v>232</v>
      </c>
      <c r="C24" s="352">
        <v>128.74435</v>
      </c>
      <c r="D24" s="352">
        <v>186.18738000000002</v>
      </c>
      <c r="E24" s="352"/>
      <c r="F24" s="352">
        <v>164.70014</v>
      </c>
      <c r="G24" s="352">
        <v>176.46617799287333</v>
      </c>
      <c r="H24" s="352">
        <v>-11.766037992873322</v>
      </c>
      <c r="I24" s="353">
        <v>0.93332411838517582</v>
      </c>
      <c r="J24" s="354" t="s">
        <v>1</v>
      </c>
    </row>
    <row r="25" spans="1:10" ht="14.4" customHeight="1" x14ac:dyDescent="0.3">
      <c r="A25" s="350" t="s">
        <v>386</v>
      </c>
      <c r="B25" s="351" t="s">
        <v>233</v>
      </c>
      <c r="C25" s="352">
        <v>899.59765999999991</v>
      </c>
      <c r="D25" s="352">
        <v>126.88068999999996</v>
      </c>
      <c r="E25" s="352"/>
      <c r="F25" s="352">
        <v>381.56715000000003</v>
      </c>
      <c r="G25" s="352">
        <v>0</v>
      </c>
      <c r="H25" s="352">
        <v>381.56715000000003</v>
      </c>
      <c r="I25" s="353" t="s">
        <v>383</v>
      </c>
      <c r="J25" s="354" t="s">
        <v>1</v>
      </c>
    </row>
    <row r="26" spans="1:10" ht="14.4" customHeight="1" x14ac:dyDescent="0.3">
      <c r="A26" s="350" t="s">
        <v>386</v>
      </c>
      <c r="B26" s="351" t="s">
        <v>234</v>
      </c>
      <c r="C26" s="352">
        <v>0</v>
      </c>
      <c r="D26" s="352">
        <v>0</v>
      </c>
      <c r="E26" s="352"/>
      <c r="F26" s="352">
        <v>0</v>
      </c>
      <c r="G26" s="352">
        <v>8.3333333333333339</v>
      </c>
      <c r="H26" s="352">
        <v>-8.3333333333333339</v>
      </c>
      <c r="I26" s="353">
        <v>0</v>
      </c>
      <c r="J26" s="354" t="s">
        <v>1</v>
      </c>
    </row>
    <row r="27" spans="1:10" ht="14.4" customHeight="1" x14ac:dyDescent="0.3">
      <c r="A27" s="350" t="s">
        <v>386</v>
      </c>
      <c r="B27" s="351" t="s">
        <v>235</v>
      </c>
      <c r="C27" s="352">
        <v>534.41605000000095</v>
      </c>
      <c r="D27" s="352">
        <v>334.90322000000003</v>
      </c>
      <c r="E27" s="352"/>
      <c r="F27" s="352">
        <v>449.17930999999999</v>
      </c>
      <c r="G27" s="352">
        <v>584.28491737612831</v>
      </c>
      <c r="H27" s="352">
        <v>-135.10560737612832</v>
      </c>
      <c r="I27" s="353">
        <v>0.76876759375742154</v>
      </c>
      <c r="J27" s="354" t="s">
        <v>1</v>
      </c>
    </row>
    <row r="28" spans="1:10" ht="14.4" customHeight="1" x14ac:dyDescent="0.3">
      <c r="A28" s="350" t="s">
        <v>386</v>
      </c>
      <c r="B28" s="351" t="s">
        <v>236</v>
      </c>
      <c r="C28" s="352">
        <v>10.702020000000001</v>
      </c>
      <c r="D28" s="352">
        <v>5.5203200000000008</v>
      </c>
      <c r="E28" s="352"/>
      <c r="F28" s="352">
        <v>35.95908</v>
      </c>
      <c r="G28" s="352">
        <v>15.594682097526332</v>
      </c>
      <c r="H28" s="352">
        <v>20.364397902473669</v>
      </c>
      <c r="I28" s="353">
        <v>2.3058552765050542</v>
      </c>
      <c r="J28" s="354" t="s">
        <v>1</v>
      </c>
    </row>
    <row r="29" spans="1:10" ht="14.4" customHeight="1" x14ac:dyDescent="0.3">
      <c r="A29" s="350" t="s">
        <v>386</v>
      </c>
      <c r="B29" s="351" t="s">
        <v>237</v>
      </c>
      <c r="C29" s="352">
        <v>0</v>
      </c>
      <c r="D29" s="352">
        <v>0</v>
      </c>
      <c r="E29" s="352"/>
      <c r="F29" s="352" t="s">
        <v>383</v>
      </c>
      <c r="G29" s="352" t="s">
        <v>383</v>
      </c>
      <c r="H29" s="352" t="s">
        <v>383</v>
      </c>
      <c r="I29" s="353" t="s">
        <v>383</v>
      </c>
      <c r="J29" s="354" t="s">
        <v>1</v>
      </c>
    </row>
    <row r="30" spans="1:10" ht="14.4" customHeight="1" x14ac:dyDescent="0.3">
      <c r="A30" s="350" t="s">
        <v>386</v>
      </c>
      <c r="B30" s="351" t="s">
        <v>238</v>
      </c>
      <c r="C30" s="352">
        <v>69.950199999999995</v>
      </c>
      <c r="D30" s="352">
        <v>48.522099999999995</v>
      </c>
      <c r="E30" s="352"/>
      <c r="F30" s="352">
        <v>102.08339000000001</v>
      </c>
      <c r="G30" s="352">
        <v>95.208882793119344</v>
      </c>
      <c r="H30" s="352">
        <v>6.874507206880665</v>
      </c>
      <c r="I30" s="353">
        <v>1.0722044729987892</v>
      </c>
      <c r="J30" s="354" t="s">
        <v>1</v>
      </c>
    </row>
    <row r="31" spans="1:10" ht="14.4" customHeight="1" x14ac:dyDescent="0.3">
      <c r="A31" s="350" t="s">
        <v>386</v>
      </c>
      <c r="B31" s="351" t="s">
        <v>239</v>
      </c>
      <c r="C31" s="352">
        <v>0</v>
      </c>
      <c r="D31" s="352">
        <v>0</v>
      </c>
      <c r="E31" s="352"/>
      <c r="F31" s="352" t="s">
        <v>383</v>
      </c>
      <c r="G31" s="352" t="s">
        <v>383</v>
      </c>
      <c r="H31" s="352" t="s">
        <v>383</v>
      </c>
      <c r="I31" s="353" t="s">
        <v>383</v>
      </c>
      <c r="J31" s="354" t="s">
        <v>1</v>
      </c>
    </row>
    <row r="32" spans="1:10" ht="14.4" customHeight="1" x14ac:dyDescent="0.3">
      <c r="A32" s="350" t="s">
        <v>386</v>
      </c>
      <c r="B32" s="351" t="s">
        <v>240</v>
      </c>
      <c r="C32" s="352">
        <v>66.403950000000009</v>
      </c>
      <c r="D32" s="352">
        <v>12.09632</v>
      </c>
      <c r="E32" s="352"/>
      <c r="F32" s="352">
        <v>22.40436</v>
      </c>
      <c r="G32" s="352">
        <v>29.173655390658165</v>
      </c>
      <c r="H32" s="352">
        <v>-6.769295390658165</v>
      </c>
      <c r="I32" s="353">
        <v>0.76796547090133271</v>
      </c>
      <c r="J32" s="354" t="s">
        <v>1</v>
      </c>
    </row>
    <row r="33" spans="1:10" ht="14.4" customHeight="1" x14ac:dyDescent="0.3">
      <c r="A33" s="350" t="s">
        <v>386</v>
      </c>
      <c r="B33" s="351" t="s">
        <v>241</v>
      </c>
      <c r="C33" s="352">
        <v>2.8716499999999998</v>
      </c>
      <c r="D33" s="352">
        <v>0</v>
      </c>
      <c r="E33" s="352"/>
      <c r="F33" s="352" t="s">
        <v>383</v>
      </c>
      <c r="G33" s="352" t="s">
        <v>383</v>
      </c>
      <c r="H33" s="352" t="s">
        <v>383</v>
      </c>
      <c r="I33" s="353" t="s">
        <v>383</v>
      </c>
      <c r="J33" s="354" t="s">
        <v>1</v>
      </c>
    </row>
    <row r="34" spans="1:10" ht="14.4" customHeight="1" x14ac:dyDescent="0.3">
      <c r="A34" s="350" t="s">
        <v>386</v>
      </c>
      <c r="B34" s="351" t="s">
        <v>388</v>
      </c>
      <c r="C34" s="352">
        <v>1960.4874400000008</v>
      </c>
      <c r="D34" s="352">
        <v>960.86624000000006</v>
      </c>
      <c r="E34" s="352"/>
      <c r="F34" s="352">
        <v>1531.11193</v>
      </c>
      <c r="G34" s="352">
        <v>1323.3169106096523</v>
      </c>
      <c r="H34" s="352">
        <v>207.79501939034776</v>
      </c>
      <c r="I34" s="353">
        <v>1.1570258928336499</v>
      </c>
      <c r="J34" s="354" t="s">
        <v>389</v>
      </c>
    </row>
    <row r="35" spans="1:10" ht="14.4" customHeight="1" x14ac:dyDescent="0.3">
      <c r="A35" s="350" t="s">
        <v>383</v>
      </c>
      <c r="B35" s="351" t="s">
        <v>383</v>
      </c>
      <c r="C35" s="352" t="s">
        <v>383</v>
      </c>
      <c r="D35" s="352" t="s">
        <v>383</v>
      </c>
      <c r="E35" s="352"/>
      <c r="F35" s="352" t="s">
        <v>383</v>
      </c>
      <c r="G35" s="352" t="s">
        <v>383</v>
      </c>
      <c r="H35" s="352" t="s">
        <v>383</v>
      </c>
      <c r="I35" s="353" t="s">
        <v>383</v>
      </c>
      <c r="J35" s="354" t="s">
        <v>390</v>
      </c>
    </row>
    <row r="36" spans="1:10" ht="14.4" customHeight="1" x14ac:dyDescent="0.3">
      <c r="A36" s="350" t="s">
        <v>391</v>
      </c>
      <c r="B36" s="351" t="s">
        <v>392</v>
      </c>
      <c r="C36" s="352" t="s">
        <v>383</v>
      </c>
      <c r="D36" s="352" t="s">
        <v>383</v>
      </c>
      <c r="E36" s="352"/>
      <c r="F36" s="352" t="s">
        <v>383</v>
      </c>
      <c r="G36" s="352" t="s">
        <v>383</v>
      </c>
      <c r="H36" s="352" t="s">
        <v>383</v>
      </c>
      <c r="I36" s="353" t="s">
        <v>383</v>
      </c>
      <c r="J36" s="354" t="s">
        <v>0</v>
      </c>
    </row>
    <row r="37" spans="1:10" ht="14.4" customHeight="1" x14ac:dyDescent="0.3">
      <c r="A37" s="350" t="s">
        <v>391</v>
      </c>
      <c r="B37" s="351" t="s">
        <v>230</v>
      </c>
      <c r="C37" s="352">
        <v>0</v>
      </c>
      <c r="D37" s="352" t="s">
        <v>383</v>
      </c>
      <c r="E37" s="352"/>
      <c r="F37" s="352" t="s">
        <v>383</v>
      </c>
      <c r="G37" s="352" t="s">
        <v>383</v>
      </c>
      <c r="H37" s="352" t="s">
        <v>383</v>
      </c>
      <c r="I37" s="353" t="s">
        <v>383</v>
      </c>
      <c r="J37" s="354" t="s">
        <v>1</v>
      </c>
    </row>
    <row r="38" spans="1:10" ht="14.4" customHeight="1" x14ac:dyDescent="0.3">
      <c r="A38" s="350" t="s">
        <v>391</v>
      </c>
      <c r="B38" s="351" t="s">
        <v>231</v>
      </c>
      <c r="C38" s="352">
        <v>172.19969</v>
      </c>
      <c r="D38" s="352">
        <v>27.01585</v>
      </c>
      <c r="E38" s="352"/>
      <c r="F38" s="352">
        <v>170.95329999999998</v>
      </c>
      <c r="G38" s="352">
        <v>197.02358455143499</v>
      </c>
      <c r="H38" s="352">
        <v>-26.070284551435009</v>
      </c>
      <c r="I38" s="353">
        <v>0.86767937142759122</v>
      </c>
      <c r="J38" s="354" t="s">
        <v>1</v>
      </c>
    </row>
    <row r="39" spans="1:10" ht="14.4" customHeight="1" x14ac:dyDescent="0.3">
      <c r="A39" s="350" t="s">
        <v>391</v>
      </c>
      <c r="B39" s="351" t="s">
        <v>232</v>
      </c>
      <c r="C39" s="352">
        <v>97.693510000000003</v>
      </c>
      <c r="D39" s="352">
        <v>75.575569999999999</v>
      </c>
      <c r="E39" s="352"/>
      <c r="F39" s="352">
        <v>122.48903999999999</v>
      </c>
      <c r="G39" s="352">
        <v>123.49307256962901</v>
      </c>
      <c r="H39" s="352">
        <v>-1.0040325696290182</v>
      </c>
      <c r="I39" s="353">
        <v>0.99186972557458297</v>
      </c>
      <c r="J39" s="354" t="s">
        <v>1</v>
      </c>
    </row>
    <row r="40" spans="1:10" ht="14.4" customHeight="1" x14ac:dyDescent="0.3">
      <c r="A40" s="350" t="s">
        <v>391</v>
      </c>
      <c r="B40" s="351" t="s">
        <v>235</v>
      </c>
      <c r="C40" s="352">
        <v>69.5411</v>
      </c>
      <c r="D40" s="352">
        <v>0</v>
      </c>
      <c r="E40" s="352"/>
      <c r="F40" s="352">
        <v>0</v>
      </c>
      <c r="G40" s="352">
        <v>82.381749290537499</v>
      </c>
      <c r="H40" s="352">
        <v>-82.381749290537499</v>
      </c>
      <c r="I40" s="353">
        <v>0</v>
      </c>
      <c r="J40" s="354" t="s">
        <v>1</v>
      </c>
    </row>
    <row r="41" spans="1:10" ht="14.4" customHeight="1" x14ac:dyDescent="0.3">
      <c r="A41" s="350" t="s">
        <v>391</v>
      </c>
      <c r="B41" s="351" t="s">
        <v>236</v>
      </c>
      <c r="C41" s="352">
        <v>0</v>
      </c>
      <c r="D41" s="352">
        <v>0</v>
      </c>
      <c r="E41" s="352"/>
      <c r="F41" s="352">
        <v>0.216</v>
      </c>
      <c r="G41" s="352">
        <v>1.0719845691401666</v>
      </c>
      <c r="H41" s="352">
        <v>-0.85598456914016663</v>
      </c>
      <c r="I41" s="353">
        <v>0.20149543773120959</v>
      </c>
      <c r="J41" s="354" t="s">
        <v>1</v>
      </c>
    </row>
    <row r="42" spans="1:10" ht="14.4" customHeight="1" x14ac:dyDescent="0.3">
      <c r="A42" s="350" t="s">
        <v>391</v>
      </c>
      <c r="B42" s="351" t="s">
        <v>238</v>
      </c>
      <c r="C42" s="352">
        <v>10.569599999999999</v>
      </c>
      <c r="D42" s="352">
        <v>12.800050000000001</v>
      </c>
      <c r="E42" s="352"/>
      <c r="F42" s="352">
        <v>55.533540000000002</v>
      </c>
      <c r="G42" s="352">
        <v>38.124450540213999</v>
      </c>
      <c r="H42" s="352">
        <v>17.409089459786003</v>
      </c>
      <c r="I42" s="353">
        <v>1.4566384357834283</v>
      </c>
      <c r="J42" s="354" t="s">
        <v>1</v>
      </c>
    </row>
    <row r="43" spans="1:10" ht="14.4" customHeight="1" x14ac:dyDescent="0.3">
      <c r="A43" s="350" t="s">
        <v>391</v>
      </c>
      <c r="B43" s="351" t="s">
        <v>240</v>
      </c>
      <c r="C43" s="352">
        <v>67.345759999999999</v>
      </c>
      <c r="D43" s="352">
        <v>0</v>
      </c>
      <c r="E43" s="352"/>
      <c r="F43" s="352" t="s">
        <v>383</v>
      </c>
      <c r="G43" s="352" t="s">
        <v>383</v>
      </c>
      <c r="H43" s="352" t="s">
        <v>383</v>
      </c>
      <c r="I43" s="353" t="s">
        <v>383</v>
      </c>
      <c r="J43" s="354" t="s">
        <v>1</v>
      </c>
    </row>
    <row r="44" spans="1:10" ht="14.4" customHeight="1" x14ac:dyDescent="0.3">
      <c r="A44" s="350" t="s">
        <v>391</v>
      </c>
      <c r="B44" s="351" t="s">
        <v>241</v>
      </c>
      <c r="C44" s="352">
        <v>0</v>
      </c>
      <c r="D44" s="352">
        <v>101.01881</v>
      </c>
      <c r="E44" s="352"/>
      <c r="F44" s="352">
        <v>0</v>
      </c>
      <c r="G44" s="352">
        <v>100</v>
      </c>
      <c r="H44" s="352">
        <v>-100</v>
      </c>
      <c r="I44" s="353">
        <v>0</v>
      </c>
      <c r="J44" s="354" t="s">
        <v>1</v>
      </c>
    </row>
    <row r="45" spans="1:10" ht="14.4" customHeight="1" x14ac:dyDescent="0.3">
      <c r="A45" s="350" t="s">
        <v>391</v>
      </c>
      <c r="B45" s="351" t="s">
        <v>393</v>
      </c>
      <c r="C45" s="352">
        <v>417.34965999999997</v>
      </c>
      <c r="D45" s="352">
        <v>216.41028</v>
      </c>
      <c r="E45" s="352"/>
      <c r="F45" s="352">
        <v>349.19187999999997</v>
      </c>
      <c r="G45" s="352">
        <v>542.0948415209557</v>
      </c>
      <c r="H45" s="352">
        <v>-192.90296152095573</v>
      </c>
      <c r="I45" s="353">
        <v>0.64415274460142835</v>
      </c>
      <c r="J45" s="354" t="s">
        <v>389</v>
      </c>
    </row>
    <row r="46" spans="1:10" ht="14.4" customHeight="1" x14ac:dyDescent="0.3">
      <c r="A46" s="350" t="s">
        <v>383</v>
      </c>
      <c r="B46" s="351" t="s">
        <v>383</v>
      </c>
      <c r="C46" s="352" t="s">
        <v>383</v>
      </c>
      <c r="D46" s="352" t="s">
        <v>383</v>
      </c>
      <c r="E46" s="352"/>
      <c r="F46" s="352" t="s">
        <v>383</v>
      </c>
      <c r="G46" s="352" t="s">
        <v>383</v>
      </c>
      <c r="H46" s="352" t="s">
        <v>383</v>
      </c>
      <c r="I46" s="353" t="s">
        <v>383</v>
      </c>
      <c r="J46" s="354" t="s">
        <v>390</v>
      </c>
    </row>
    <row r="47" spans="1:10" ht="14.4" customHeight="1" x14ac:dyDescent="0.3">
      <c r="A47" s="350" t="s">
        <v>381</v>
      </c>
      <c r="B47" s="351" t="s">
        <v>384</v>
      </c>
      <c r="C47" s="352">
        <v>2377.8371000000006</v>
      </c>
      <c r="D47" s="352">
        <v>1177.2765200000001</v>
      </c>
      <c r="E47" s="352"/>
      <c r="F47" s="352">
        <v>1880.3038099999997</v>
      </c>
      <c r="G47" s="352">
        <v>1865.411752130608</v>
      </c>
      <c r="H47" s="352">
        <v>14.892057869391692</v>
      </c>
      <c r="I47" s="353">
        <v>1.0079832550922778</v>
      </c>
      <c r="J47" s="354" t="s">
        <v>385</v>
      </c>
    </row>
  </sheetData>
  <mergeCells count="3">
    <mergeCell ref="A1:I1"/>
    <mergeCell ref="F3:I3"/>
    <mergeCell ref="C4:D4"/>
  </mergeCells>
  <conditionalFormatting sqref="F19 F48:F65537">
    <cfRule type="cellIs" dxfId="25" priority="18" stopIfTrue="1" operator="greaterThan">
      <formula>1</formula>
    </cfRule>
  </conditionalFormatting>
  <conditionalFormatting sqref="H5:H18">
    <cfRule type="expression" dxfId="24" priority="14">
      <formula>$H5&gt;0</formula>
    </cfRule>
  </conditionalFormatting>
  <conditionalFormatting sqref="I5:I18">
    <cfRule type="expression" dxfId="23" priority="15">
      <formula>$I5&gt;1</formula>
    </cfRule>
  </conditionalFormatting>
  <conditionalFormatting sqref="B5:B18">
    <cfRule type="expression" dxfId="22" priority="11">
      <formula>OR($J5="NS",$J5="SumaNS",$J5="Účet")</formula>
    </cfRule>
  </conditionalFormatting>
  <conditionalFormatting sqref="F5:I18 B5:D18">
    <cfRule type="expression" dxfId="21" priority="17">
      <formula>AND($J5&lt;&gt;"",$J5&lt;&gt;"mezeraKL")</formula>
    </cfRule>
  </conditionalFormatting>
  <conditionalFormatting sqref="B5:D18 F5:I18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9" priority="13">
      <formula>OR($J5="SumaNS",$J5="NS")</formula>
    </cfRule>
  </conditionalFormatting>
  <conditionalFormatting sqref="A5:A18">
    <cfRule type="expression" dxfId="18" priority="9">
      <formula>AND($J5&lt;&gt;"mezeraKL",$J5&lt;&gt;"")</formula>
    </cfRule>
  </conditionalFormatting>
  <conditionalFormatting sqref="A5:A18">
    <cfRule type="expression" dxfId="17" priority="10">
      <formula>AND($J5&lt;&gt;"",$J5&lt;&gt;"mezeraKL")</formula>
    </cfRule>
  </conditionalFormatting>
  <conditionalFormatting sqref="H20:H47">
    <cfRule type="expression" dxfId="16" priority="5">
      <formula>$H20&gt;0</formula>
    </cfRule>
  </conditionalFormatting>
  <conditionalFormatting sqref="A20:A47">
    <cfRule type="expression" dxfId="15" priority="2">
      <formula>AND($J20&lt;&gt;"mezeraKL",$J20&lt;&gt;"")</formula>
    </cfRule>
  </conditionalFormatting>
  <conditionalFormatting sqref="I20:I47">
    <cfRule type="expression" dxfId="14" priority="6">
      <formula>$I20&gt;1</formula>
    </cfRule>
  </conditionalFormatting>
  <conditionalFormatting sqref="B20:B47">
    <cfRule type="expression" dxfId="13" priority="1">
      <formula>OR($J20="NS",$J20="SumaNS",$J20="Účet")</formula>
    </cfRule>
  </conditionalFormatting>
  <conditionalFormatting sqref="A20:D47 F20:I47">
    <cfRule type="expression" dxfId="12" priority="8">
      <formula>AND($J20&lt;&gt;"",$J20&lt;&gt;"mezeraKL")</formula>
    </cfRule>
  </conditionalFormatting>
  <conditionalFormatting sqref="B20:D47 F20:I47">
    <cfRule type="expression" dxfId="11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47 F20:I47">
    <cfRule type="expression" dxfId="10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2017-03-31T13:29:35Z</dcterms:modified>
</cp:coreProperties>
</file>